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GoBack" localSheetId="0">'В титул'!#REF!</definedName>
    <definedName name="_xlnm.Print_Titles" localSheetId="0">'В титул'!$7:$7</definedName>
    <definedName name="_xlnm.Print_Area" localSheetId="0">'В титул'!$A$1:$E$211</definedName>
  </definedNames>
  <calcPr fullCalcOnLoad="1"/>
</workbook>
</file>

<file path=xl/sharedStrings.xml><?xml version="1.0" encoding="utf-8"?>
<sst xmlns="http://schemas.openxmlformats.org/spreadsheetml/2006/main" count="411" uniqueCount="397">
  <si>
    <t>Джерело фінансування</t>
  </si>
  <si>
    <t>Утримання підземних переходів</t>
  </si>
  <si>
    <t>1.2</t>
  </si>
  <si>
    <t>2.1</t>
  </si>
  <si>
    <t>2.2</t>
  </si>
  <si>
    <t>2.3</t>
  </si>
  <si>
    <t>2.4</t>
  </si>
  <si>
    <t>Найменування об`єкта</t>
  </si>
  <si>
    <t>Міський бюджет</t>
  </si>
  <si>
    <t>№ з/п</t>
  </si>
  <si>
    <t>1.1.1</t>
  </si>
  <si>
    <t>1.1.2</t>
  </si>
  <si>
    <t>Утримання місць поховань</t>
  </si>
  <si>
    <t>Кошторисна вартість, грн</t>
  </si>
  <si>
    <t>Загальний фонд, грн</t>
  </si>
  <si>
    <t>Спец. фонд (бюджет розвитку), грн</t>
  </si>
  <si>
    <t>1.3</t>
  </si>
  <si>
    <t>2.1.1</t>
  </si>
  <si>
    <t>1.4</t>
  </si>
  <si>
    <t>1.5</t>
  </si>
  <si>
    <t>Оплата послуг</t>
  </si>
  <si>
    <t>Оренда земельної ділянки під карєр грунту для забеспечення безпечної експлуатації полігону ТПВ</t>
  </si>
  <si>
    <t>Утримання вулично-дорожньої мережі</t>
  </si>
  <si>
    <t xml:space="preserve">Благоустрій озеленених територій </t>
  </si>
  <si>
    <t>Захоронення невідомих безрідних людей</t>
  </si>
  <si>
    <t xml:space="preserve">Викуп земельних паїв під кладовище </t>
  </si>
  <si>
    <t>Подача газу до Вічного вогню (КЕКВ 2274)</t>
  </si>
  <si>
    <t>Послуги з благоустрою, які виникають протягом року з них:</t>
  </si>
  <si>
    <t>Святкове оформлення міста до урочистих подій та свят</t>
  </si>
  <si>
    <t xml:space="preserve">2. Капітальні видатки </t>
  </si>
  <si>
    <t>2.6</t>
  </si>
  <si>
    <t>1.1.3</t>
  </si>
  <si>
    <t>1.1.4</t>
  </si>
  <si>
    <t>1.1.5</t>
  </si>
  <si>
    <t>1.1.6</t>
  </si>
  <si>
    <t>1.1.7</t>
  </si>
  <si>
    <t>1.1.8</t>
  </si>
  <si>
    <t>1.1.9</t>
  </si>
  <si>
    <t>Послуги з водопостачання та водовідведення фонтанів міста (КЕКВ 2272)</t>
  </si>
  <si>
    <t>Знесення окремих засохлих та пошкоджених дерев і кущів на прибудинкових територіях</t>
  </si>
  <si>
    <t>Послуги з поточного ремонту та  утримання громадських вбиралень</t>
  </si>
  <si>
    <t>Освітлення вулиць міста (КЕКВ 2273)</t>
  </si>
  <si>
    <t>Пслуги з проведення поточного ремонту та технічного обслуговування мереж зовнішнього освітлення міста</t>
  </si>
  <si>
    <t xml:space="preserve"> </t>
  </si>
  <si>
    <t>Регулювання чисельності безпритульних тварин методом біостерилізації (утримання пункту тимчасового утримання тварин по вул. Любченка (Володимира Дрозда) в м. Чернігові)</t>
  </si>
  <si>
    <t>Благоустрій територій місць відпочинку людей біля води</t>
  </si>
  <si>
    <t>Послуги з технічного супроводу роботи віртуальної мережі</t>
  </si>
  <si>
    <t>Технічне обслуговування системи відеоспостереження вулиць міста Чернігова</t>
  </si>
  <si>
    <t>Утримання вулично-дорожньої мережі (кредиторська заборгованість )</t>
  </si>
  <si>
    <t>Утримання підземних переходів (кредиторська заборгованість )</t>
  </si>
  <si>
    <t>Благоустрій озеленених територій (кредиторська заборгованість )</t>
  </si>
  <si>
    <t>Святкове оформлення міста до урочистих подій та свят (кредиторська заборгованість )</t>
  </si>
  <si>
    <t>Послуги з технічного супроводу роботи віртуальної мережі (кредиторська заборгованість )</t>
  </si>
  <si>
    <t>Технічне обслуговування системи відеоспостереження вулиць міста Чернігова (кредиторська заборгованість )</t>
  </si>
  <si>
    <t>Послуги по підключенню зупинок до послуги швидкісного доступу до  мережі Інтернет (кредиторська заборгованість )</t>
  </si>
  <si>
    <t>Погашення кредиторської заборгованості</t>
  </si>
  <si>
    <t>1.1.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</si>
  <si>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</si>
  <si>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</si>
  <si>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</si>
  <si>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</si>
  <si>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</si>
  <si>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</si>
  <si>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</si>
  <si>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</si>
  <si>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</si>
  <si>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</si>
  <si>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</si>
  <si>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</si>
  <si>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</si>
  <si>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</si>
  <si>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</si>
  <si>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</si>
  <si>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</si>
  <si>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</si>
  <si>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1.6</t>
  </si>
  <si>
    <t>Разом у  розділі 2:</t>
  </si>
  <si>
    <t>Разом у розділах 1 -2:</t>
  </si>
  <si>
    <t>Разом у розділі 1:</t>
  </si>
  <si>
    <t>Капітальний ремонт освітлення пішохідних переходів</t>
  </si>
  <si>
    <t xml:space="preserve">Послуги з проведення поточного ремонту та утримання фонтанів </t>
  </si>
  <si>
    <t>Послуги з технічного супроводу роботи віртуальної мережі за 1 точку підключення з швидкістю з'єднання 3 Гбіт/с за адресою просп. Перемоги,74 (кредиторська заборгованість)</t>
  </si>
  <si>
    <t>1.1.10</t>
  </si>
  <si>
    <t>1.1.11</t>
  </si>
  <si>
    <t>1.1.12</t>
  </si>
  <si>
    <t>Утримання місць поховань (кредиторська заборгованість)</t>
  </si>
  <si>
    <t>Регулювання чисельності безпритульних тварин методом біостерилізації (утримання пункту тимчасового утримання тварин по вул. Любченка (Володимира Дрозда) в м. Чернігові) (кредиторська заборгованість)</t>
  </si>
  <si>
    <t>Стерилізація безпритульних тварин (бюджет участі) (кредиторська заборогованість)</t>
  </si>
  <si>
    <t>1.1.13</t>
  </si>
  <si>
    <t>Поточний ремонт зеленої зони міста з влаштуванням системи автоматичного поливу (кредиторська заборгованість)</t>
  </si>
  <si>
    <t>Поточний ремонт зупинок громадського транспорту (кредиторська заборгованість )</t>
  </si>
  <si>
    <t>Послуга доступу до мережі інтернет (кредиторська заборгованість )</t>
  </si>
  <si>
    <t>Приєднання до електричних мереж  системи розподілу ПАТ «Чернігівобленерго»  в зв'язку з будівництвом по об'єкту " Будівництво централізованої каналізації по вул. Любомира Боднарука в м. Чернігові (КНС)" (кредиторська заборгованість )</t>
  </si>
  <si>
    <t>Поточний ремонт огорожі  (улаштування паркану) за адресою: вул. Олександра Молодчого (кредиторська заборгованість )</t>
  </si>
  <si>
    <t>Поточний ремонт сходів біля зупинки громадського транспорту  «Ринок Нива» по вул. Всіхсвятська (кредиторська заборгованість )</t>
  </si>
  <si>
    <t>Поточний ремонт перепускної труби зливової каналізації під проїздною частиною по просп. Миру на виїзді з міста Чернігів в напрямку міста Ріпки (кредиторська заборгованість )</t>
  </si>
  <si>
    <t>Послуги по підключенню зупинок громадського транспорту до електричних мереж (кредиторська заборгованість )</t>
  </si>
  <si>
    <t>1.1.14</t>
  </si>
  <si>
    <t>1.1.15</t>
  </si>
  <si>
    <t>1.1.16</t>
  </si>
  <si>
    <t>1.1.17</t>
  </si>
  <si>
    <t>1.1.17.1</t>
  </si>
  <si>
    <t>1.1.17.2</t>
  </si>
  <si>
    <t>1.1.17.3</t>
  </si>
  <si>
    <t>1.1.17.4</t>
  </si>
  <si>
    <t>1.1.17.5</t>
  </si>
  <si>
    <t>1.1.17.6</t>
  </si>
  <si>
    <t>Освітлення вулиць міста (кредиторська заборгованість) (КЕКВ 2273)</t>
  </si>
  <si>
    <t xml:space="preserve"> Капітальний ремонт внутрішньо-будинкових проїздів в житловій забудові, з них:</t>
  </si>
  <si>
    <t>Перелік об'єктів благоустрою міста Чернігова на 2020 рік</t>
  </si>
  <si>
    <t>Послуги з проведення поточного ремонту та технічного обслуговування мереж зовнішнього освітлення міста (кредиторська заборгованість)</t>
  </si>
  <si>
    <t>Разом погашення кредиторської заборгованісті:                      пункт 1.1.1. - 1.1.17. (КЕКВ 2240, 2273)</t>
  </si>
  <si>
    <t>Разом у пункті 1.6. КЕКВ (2800)</t>
  </si>
  <si>
    <t>Разом у пунктах  1.3. - 1.5. (КЕКВ 2272, 2273, 2274)</t>
  </si>
  <si>
    <t>Чіпування тварин (бюджет участі)</t>
  </si>
  <si>
    <t>2.1.2</t>
  </si>
  <si>
    <t>Плата за видачу сертифіката по об'єкту: "Реконструкція водопроводу до полігону твердих побутових відходів (район Масани) в м. Чернігів"</t>
  </si>
  <si>
    <t xml:space="preserve">Капітальний ремонт зупинок громадського транспорту </t>
  </si>
  <si>
    <t>Капітальний ремонт мереж зовнішнього освітлення</t>
  </si>
  <si>
    <t>Послуги з з проведення поточного ремонту, технічного обслуговування технічних засобів регулювання дорожнього руху (кредиторська заборгованість )</t>
  </si>
  <si>
    <t>Послуги з проведення поточного ремонту, технічного обслуговування технічних засобів регулювання дорожнього руху</t>
  </si>
  <si>
    <t>Плата за видачу сертифіката по реконструкції об'єкту: "Встановлення освітлення Катерининської церкви  та прилеглої  території в м. Чернігів"</t>
  </si>
  <si>
    <t>Плата за видачу сертифіката по реконструкції об'єкту: "Встановлення освітлення П’ятницької  церкви  та прилеглої  території в м. Чернігів"</t>
  </si>
  <si>
    <t>1.7.</t>
  </si>
  <si>
    <t>1.7.1</t>
  </si>
  <si>
    <t>Послуги по встановленню дорожніх знаків у дворі житлового будинку № 55 по проспекту Миру</t>
  </si>
  <si>
    <t>Послуги з експертної грошової оцінки земельної ділянки площею 12226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</si>
  <si>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земельної ділянки площею 12113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</si>
  <si>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земельної ділянки площею 12539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</si>
  <si>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земельної ділянки площею 15554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</si>
  <si>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земельної ділянки площею 12114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</si>
  <si>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Послуги з експертної грошової оцінки земельної ділянки площею 13513 кв.м. для будівництва та обслуговування інших будівель громадської забудови (кладовища), що знаходиться за адресою: Чернігівська обл., Чернігівський р-н, на території Вознесенської сільської ради (за межами населеного пункту)</t>
  </si>
  <si>
    <t>Нотаріальні послуги при оформленні договорів купівлі-продажу земелних ділянок для суспільних потреб (під розширення кладовища "Яцево")</t>
  </si>
  <si>
    <t>Послуги з експертної грошової оцінки земельної ділянки площею 12113 кв.м. для ведення товарного сільськогосподарського виробництва, що знаходиться за адресою: Чернігівська обл., Чернігівський р-н, на території Вознесенської сільської ради (за межами населеного пункту)</t>
  </si>
  <si>
    <t>Заходи у рамках Програми забезпечення діяльності та виконання доручень виборців депутатами Чернігівської міської ради на 2020 рік, в тому числі:</t>
  </si>
  <si>
    <t>Поточний ремонт модульної вбиральні у парку "Березовий гай" в м. Чернігів</t>
  </si>
  <si>
    <t>2.5</t>
  </si>
  <si>
    <t>1.7.2</t>
  </si>
  <si>
    <t>1.7.3</t>
  </si>
  <si>
    <t>1.7.4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</si>
  <si>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</si>
  <si>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</si>
  <si>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</si>
  <si>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</si>
  <si>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</si>
  <si>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</si>
  <si>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</si>
  <si>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</si>
  <si>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</si>
  <si>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</si>
  <si>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</si>
  <si>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</si>
  <si>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</si>
  <si>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</si>
  <si>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</si>
  <si>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</si>
  <si>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</si>
  <si>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</si>
  <si>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</si>
  <si>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2.3.1</t>
  </si>
  <si>
    <t>2.3.2</t>
  </si>
  <si>
    <t>2.3.3</t>
  </si>
  <si>
    <t>2.3.4</t>
  </si>
  <si>
    <t>2.3.5</t>
  </si>
  <si>
    <t>Капітальний ремонт освітлення пішохідного переходу біля житлового будинку по вул. Толстого,140</t>
  </si>
  <si>
    <t xml:space="preserve">Капітальний ремонт освітлення пішохідного переходу біля житлового будинку по вул. Толстого,94 </t>
  </si>
  <si>
    <t xml:space="preserve">Капітальний ремонт освітлення пішохідного переходу біля житлового будинку по вул. Толстого,80 </t>
  </si>
  <si>
    <t xml:space="preserve">Капітальний ремонт освітлення пішохідного переходу біля житлового будинку по вул. Ріпкинська,1 </t>
  </si>
  <si>
    <t xml:space="preserve">Капітальний ремонт освітлення пішохідного переходу біля житлового будинку по вул. Захисників України,12 </t>
  </si>
  <si>
    <t>2.3.6</t>
  </si>
  <si>
    <t>2.3.7</t>
  </si>
  <si>
    <t>2.3.8</t>
  </si>
  <si>
    <t>2.3.9</t>
  </si>
  <si>
    <t>2.3.10</t>
  </si>
  <si>
    <t>2.3.11</t>
  </si>
  <si>
    <t xml:space="preserve">Капітальний ремонт освітлення пішохідного переходу біля житлового будинку по вул. Толстого,152 </t>
  </si>
  <si>
    <t>Капітальний ремонт освітлення пішохідного переходу біля житлового будинку по вул. В’ячеслава Чорновола,9</t>
  </si>
  <si>
    <t>2.3.12</t>
  </si>
  <si>
    <t>2.3.13</t>
  </si>
  <si>
    <t>2.3.14</t>
  </si>
  <si>
    <t>2.3.15</t>
  </si>
  <si>
    <t>2.3.16</t>
  </si>
  <si>
    <t>2.3.17</t>
  </si>
  <si>
    <t>Капітальний ремонт освітлення пішохідного переходу біля житлового будинку по вул. Івана Мазепи, 53</t>
  </si>
  <si>
    <t>Капітальний ремонт освітлення пішохідного переходу біля житлового будинку по вул. Івана Мазепи, 48</t>
  </si>
  <si>
    <t>2.3.18</t>
  </si>
  <si>
    <t>Капітальний ремонт освітлення пішохідного переходу біля житлового будинку по вул. Всіхсвятська, 5</t>
  </si>
  <si>
    <t>Капітальний ремонт освітлення пішохідного переходу біля житлового будинку по вул. Козацька, 2</t>
  </si>
  <si>
    <t>2.4.1</t>
  </si>
  <si>
    <t>2.4.2</t>
  </si>
  <si>
    <t>2.4.3</t>
  </si>
  <si>
    <t xml:space="preserve">Капітальний ремонт мереж зовнішнього освітлення по проспекту Перемоги від вул. Рокоссовського до вул. Молодіжна </t>
  </si>
  <si>
    <t xml:space="preserve">Капітальний ремонт мереж зовнішнього освітлення по вул. Гонча від вул. Музейна до проспекту Перемоги </t>
  </si>
  <si>
    <t>Послуги з топографо-геодезичних робіт по об'єкту: "Розширення кладовища  «Коти» по вул. Володимира Дрозда  в  м. Чернігів" (КЕКВ 2281)</t>
  </si>
  <si>
    <t>Послуги з топографо-геодезичних робіт по об'єкту: "Влаштування водостоків на території парку "Березовий гай"  в  м. Чернігів" (КЕКВ 2281)</t>
  </si>
  <si>
    <t>Послуги з топографо-геодезичних робіт по об'єкту: "Реконструкція бульвару по просп. Миру від                 вул. Івана Мазепи до вул. С. Русової  в  м. Чернігів" (КЕКВ 2281)</t>
  </si>
  <si>
    <t>Послуги з топографо-геодезичних робіт по об'єкту: "Реконструкція мереж зливової каналізації від               просп. Миру до вул. Мстиславська в м. Чернігів" (КЕКВ 2281)</t>
  </si>
  <si>
    <t>Послуги з топографо-геодезичних робіт по об'єкту: "Реконструкція скверу ім. Попудренка в м. Чернігів" (КЕКВ 2281)</t>
  </si>
  <si>
    <t>2.1.3</t>
  </si>
  <si>
    <t>2.1.4</t>
  </si>
  <si>
    <t>2.1.5</t>
  </si>
  <si>
    <t>2.1.6</t>
  </si>
  <si>
    <t>2.1.7</t>
  </si>
  <si>
    <t>Капітальний ремонт внутрішньо-будинкових проїздів в житловій забудові за адресою вул. 1-ї Гвардійської Армії, 12</t>
  </si>
  <si>
    <t>2.1.8</t>
  </si>
  <si>
    <t>Капітальний ремонт внутрішньо-будинкових проїздів в житловій забудові за адресою вул. Шевчука, 8</t>
  </si>
  <si>
    <t>2.1.9</t>
  </si>
  <si>
    <t>Послуги з поточного ремонту та  утримання зливової каналізації (з влаштуванням оголовка перепускної труби та плануванням укосів)</t>
  </si>
  <si>
    <t xml:space="preserve">Послуга доступу до мережі інтернет </t>
  </si>
  <si>
    <t>Капітальний ремонт освітлення пішохідного переходу біля житлового будинку по вул. Генерала Пухова,140</t>
  </si>
  <si>
    <t xml:space="preserve">Послуги з поточного ремонту та утримання  очисних споруд та зливової каналізації </t>
  </si>
  <si>
    <t>1.2.18.1</t>
  </si>
  <si>
    <t>1.2.18.2</t>
  </si>
  <si>
    <t>1.2.18.3</t>
  </si>
  <si>
    <t>1.2.18.4</t>
  </si>
  <si>
    <t>1.2.18.5</t>
  </si>
  <si>
    <t>1.2.18.6</t>
  </si>
  <si>
    <t>1.2.18.7</t>
  </si>
  <si>
    <t>1.2.18.8</t>
  </si>
  <si>
    <t>1.2.18.9</t>
  </si>
  <si>
    <t>1.2.18.10</t>
  </si>
  <si>
    <t>1.2.18.11</t>
  </si>
  <si>
    <t>1.2.18.12</t>
  </si>
  <si>
    <t>1.2.18.13</t>
  </si>
  <si>
    <t>1.2.18.14</t>
  </si>
  <si>
    <t>1.2.18.15</t>
  </si>
  <si>
    <t>1.2.18.16</t>
  </si>
  <si>
    <t>1.2.18.17</t>
  </si>
  <si>
    <t>1.2.18.18</t>
  </si>
  <si>
    <t>1.2.18.19</t>
  </si>
  <si>
    <t>1.2.18.20</t>
  </si>
  <si>
    <t>1.2.18.21</t>
  </si>
  <si>
    <t>1.2.18.22</t>
  </si>
  <si>
    <t>1.2.18.23</t>
  </si>
  <si>
    <t>1.2.18.24</t>
  </si>
  <si>
    <t>1.2.18.25</t>
  </si>
  <si>
    <t>Поточний ремонт сходів в Центральному парку культури та відпочинку</t>
  </si>
  <si>
    <r>
      <t xml:space="preserve">Послуги з водопостачання для поливу зелених насаджень міста Чернігів </t>
    </r>
    <r>
      <rPr>
        <b/>
        <sz val="14"/>
        <rFont val="Times New Roman"/>
        <family val="1"/>
      </rPr>
      <t>(КЕКВ 2272)</t>
    </r>
  </si>
  <si>
    <r>
      <t>Плата за видачу сертифіката по об'єкту: "Будівництво ЛЕП-10 кВ, КТП-10/0,4 кВ 160 кВА, для електропостачання інфраструктури пляжу «Золотий берег» торгівельні кіоски, атракціони по вул. Берегова в   м. Чернігів"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(КЕКВ 2800)</t>
    </r>
  </si>
  <si>
    <t>1.2.18.26</t>
  </si>
  <si>
    <t>Плата за видачу сертифіката по об'єкту: "Реконструкція самопливного каналізаційного колектору по вулиці Героїв Чорнобиля від буд. №3 по  вул. Героїв Чорнобиля  до перехрестя з вул. Юрія Мезенцева в м. Чернігові" (КЕКВ 2800)</t>
  </si>
  <si>
    <t>2.1.10</t>
  </si>
  <si>
    <t>2.1.11</t>
  </si>
  <si>
    <t>Капітальний ремонт  внутрішньо-будинкових проїздів  в житловій забудові за адресою                        вул. Незалежності, 74</t>
  </si>
  <si>
    <t>1.2.18.27</t>
  </si>
  <si>
    <t>1.2.18.28</t>
  </si>
  <si>
    <t>1.2.18.29</t>
  </si>
  <si>
    <t>1.2.18.30</t>
  </si>
  <si>
    <t>Послуги з розроблення технічної документації із землеустрою щодо встановлення (відновлення) меж земельної ділянки в натурі (на місцевості) площею 0.9957 га Управлінню житлово-комунального господарства Чернігівської міської ради для розміщення та експлуатації будівель і споруд автомобільного транспорту та дорожнього господарства м. Чернігів, з  вул. Івана Мазепи до  вул. Текстильників в адміністративних межах Чернігівської міської ради, Чернігівської області</t>
  </si>
  <si>
    <t>1.7.5</t>
  </si>
  <si>
    <t>Капітальний ремонт  внутрішньо-будинкових проїздів  в житловій забудові від вулиці Тракторна до ліцею №22  вул. Рокоссовського, 45б</t>
  </si>
  <si>
    <t>Капітальний ремонт зупинки громадського транспорту "вул. Малясова" (вул. Івана Мазепи, 48)</t>
  </si>
  <si>
    <t>Капітальний ремонт зупинки громадського транспорту "Школа №12" (вул. Доценка,17)</t>
  </si>
  <si>
    <t>Капітальний ремонт зупинки громадського транспорту "Ремзавод" (просп. Миру,201)</t>
  </si>
  <si>
    <t>Капітальний ремонт зупинки громадського транспорту "Обласна лікарня" (просп. Миру,230)</t>
  </si>
  <si>
    <t>Капітальний ремонт зупинки громадського транспорту "Ремзавод" (просп. Миру,194)</t>
  </si>
  <si>
    <t>Капітальний ремонт зупинки громадського транспорту "Центральний ринок" (просп. Перемоги, 73) (автобусна)</t>
  </si>
  <si>
    <t>Капітальний ремонт зупинки громадського транспорту "Школа №35" (вул. Незалежності, непарна, поле)</t>
  </si>
  <si>
    <t>Капітальний ремонт зупинки громадського транспорту "вул. Малясова" (вул. Івана Мазепи, 43)</t>
  </si>
  <si>
    <t>Капітальний ремонт зупинки громадського транспорту "Площа Перемоги" (вул. Івана Мазепи, 37) (перерахунок у поточні ціни)</t>
  </si>
  <si>
    <t>Капітальний ремонт зупинки громадського транспорту "Ринок Нива" (вул. Всіхсвятська,18)</t>
  </si>
  <si>
    <t>Капітальний ремонт зупинки громадського транспорту "Ринок Нива" (вул. Всіхсвятська,5-а)</t>
  </si>
  <si>
    <t>Капітальний ремонт зупинки громадського транспорту "вул. Всіхсвятська" (вул. Всіхсвятська,2)</t>
  </si>
  <si>
    <t>Капітальний ремонт зупинки громадського транспорту "7-й мікрорайон" (вул. Генерала Бєлова, 4-а)</t>
  </si>
  <si>
    <t>Капітальний ремонт зупинки громадського транспорту "вул. Генерала Бєлова" (вул. Генерала Бєлова, 14)</t>
  </si>
  <si>
    <t>Капітальний ремонт зупинки громадського транспорту "вул. Генерала Бєлова" (вул. Генерала Бєлова, 11)</t>
  </si>
  <si>
    <t>Капітальний ремонт зупинки громадського транспорту "Районна лікарня" (вул. Шевченка,101)</t>
  </si>
  <si>
    <t>Капітальний ремонт зупинки громадського транспорту "Облсанепідемстанція" (вул. Любецька, 11-а)</t>
  </si>
  <si>
    <t>Послуги з розроблення технічної документації із землеустрою із землеустрою щодо встановлення меж частини земельної ділянки, на яку поширюється право строкового безоплатного сервітуту Управлінню житлово-комунального господарства Чернігівської міської ради площею 0.0031 га м. Чернігів, вул. Текстильників, 1, для проведення робіт по об’єкту: «Будівництво автомобільної дороги для під’їзду з вул. Івана Мазепи до житлового району по вул. Текстильників, м. Чернігів» в адміністративних межах Чернігівської міської ради, Чернігівської області</t>
  </si>
  <si>
    <t>Капітальний ремонт зупинки громадського транспорту "вул. Музична" (вул. Івана Мазепи,55)</t>
  </si>
  <si>
    <t>2.4.4</t>
  </si>
  <si>
    <t>Капітальний ремонт мереж зовнішнього освітлення по вул. Гетьмана Полуботка</t>
  </si>
  <si>
    <r>
      <t xml:space="preserve">Послуги з розроблення технічної документації із землеустрою щодо встановлення меж частини земельної ділянки, на яку поширюється право строкового безоплатного сервітуту Управлінню житлово-комунального господарства Чернігівської міської ради площею </t>
    </r>
    <r>
      <rPr>
        <b/>
        <sz val="14"/>
        <rFont val="Times New Roman"/>
        <family val="1"/>
      </rPr>
      <t>0.3913 га</t>
    </r>
    <r>
      <rPr>
        <sz val="14"/>
        <rFont val="Times New Roman"/>
        <family val="1"/>
      </rPr>
      <t xml:space="preserve"> м. Чернігів, вул. Івана Мазепи, 57-е, для проведення робіт по об’єкту: «Будівництво автомобільної дороги для під’їзду з                вул. Івана Мазепи до житлового району по вул. Текстильників, м. Чернігів»  в адміністративних межах Чернігівської міської ради, Чернігівської області</t>
    </r>
  </si>
  <si>
    <r>
      <t>Послуги з розроблення технічної документації із землеустрою щодо встановлення меж частини земельної ділянки, на яку поширюється право строкового безоплатного сервітуту Управлінню житлово-комунального господарства Чернігівської міської ради площею</t>
    </r>
    <r>
      <rPr>
        <b/>
        <sz val="14"/>
        <rFont val="Times New Roman"/>
        <family val="1"/>
      </rPr>
      <t xml:space="preserve"> 0.0412 г</t>
    </r>
    <r>
      <rPr>
        <sz val="14"/>
        <rFont val="Times New Roman"/>
        <family val="1"/>
      </rPr>
      <t>а м. Чернігів, вул. Івана Мазепи, 57, для проведення робіт по об’єкту: «Будівництво автомобільної дороги для під’їзду з             вул. Івана Мазепи до житлового району по вул. Текстильників, м. Чернігів» в адміністративних межах Чернігівської міської ради, Чернігівської області</t>
    </r>
  </si>
  <si>
    <t>1.7.6</t>
  </si>
  <si>
    <t>Поточний ремонт внутрішньо-будинкового проїзду вздовж житлових будинків по проспекту Миру №52, №54, №56</t>
  </si>
  <si>
    <t>1.2.18.31</t>
  </si>
  <si>
    <t xml:space="preserve">Плата за видачу сертифіката по об'єкту: Будівництво централізованої каналізації по вулицях Світанкова, Слов'янська, Славутицька, Льговська, Білогірська, Солов'їна у м. Чернігові (ОСН - вуличний комітет "Астра") (КЕКВ 2800)
</t>
  </si>
  <si>
    <t>2.1.12</t>
  </si>
  <si>
    <t>2.1.13</t>
  </si>
  <si>
    <t>2.1.14</t>
  </si>
  <si>
    <t>Капітальний ремонт пішохідної доріжки вздовж житлового будинку за адресою вул. Курсанта Єськова, 10</t>
  </si>
  <si>
    <t>2.1.15</t>
  </si>
  <si>
    <t>Капітальний ремонт внутрішньо-будинкових проїздів в житловій забудові за адресою  вул. Захисників України,6</t>
  </si>
  <si>
    <t>Капітальний ремонт внутрішньо-будинкових проїздів в житловій забудові за адресою   вул. Рокоссовського, 4а</t>
  </si>
  <si>
    <t>Капітальний ремонт ділянок внутрішньо-будинкових проїздів в житловій забудові за адресою  вул. Олега Кошового,29</t>
  </si>
  <si>
    <t>1.2.19</t>
  </si>
  <si>
    <t>Придбання та встановлення пісочниці біля житлового будинку за адресою вул. Доценка, буд. 4Б</t>
  </si>
  <si>
    <t>1.7.7</t>
  </si>
  <si>
    <t>1.7.8</t>
  </si>
  <si>
    <t>1.7.9</t>
  </si>
  <si>
    <t>Придбання та встановлення лавки зі спинкою біля будинків №3, №3А, №5 по вулиці Захисників України</t>
  </si>
  <si>
    <t>Придбання та встановлення малого балансиру біля будинків №3, №3А, №5 по вулиці Захисників України</t>
  </si>
  <si>
    <t>Разом у пункті 1.7.:  (КЕКВ  2210, 2240)</t>
  </si>
  <si>
    <t>1.7.10</t>
  </si>
  <si>
    <t>2.7</t>
  </si>
  <si>
    <t>Придбання комплекту обладнання  дитячого ігрового майданчика біля будинків №3, №3А, №5 по вулиці Захисників України</t>
  </si>
  <si>
    <t>2.3.19</t>
  </si>
  <si>
    <t>1.2.18.32</t>
  </si>
  <si>
    <t>Поточний ремонт малих архітектурних форм за адресою вулиця Красносільського, 71</t>
  </si>
  <si>
    <t>1.2.18.33</t>
  </si>
  <si>
    <t>Нестандартне приєднання до електричних мереж системи розподілу АТ «Чернігівобленерго» з проектуванням лінійної частини приєднання багатоквартирного житлового будинку № 6 по             вул. 2-й кілометр в м. Чернігів з окремо розташованою електричною котельнею (на умовах співфінансування 50/50 міський бюджет та кошти співвласників багатоквартирного будинку)</t>
  </si>
  <si>
    <t>2.1.16</t>
  </si>
  <si>
    <t>Капітальний ремонт внутрішньо-будинкових проїздів в житловій забудові за адресою  вул. Захисників України,10</t>
  </si>
  <si>
    <t>1.2.18.34</t>
  </si>
  <si>
    <t>1.2.18.35</t>
  </si>
  <si>
    <t>1.2.18.36</t>
  </si>
  <si>
    <t>1.7.11</t>
  </si>
  <si>
    <t>1.7.12</t>
  </si>
  <si>
    <t>1.7.13</t>
  </si>
  <si>
    <t>1.7.14</t>
  </si>
  <si>
    <t>Придбання та встановлення паркових лавок біля будинків №9, №11 по вул. Рокоссовського</t>
  </si>
  <si>
    <t>Придбання та встановлення урни з кришкою біля будинків №9, №11 по вул. Рокоссовського</t>
  </si>
  <si>
    <t>1.7.15</t>
  </si>
  <si>
    <t>Послуги з влаштування альтанки за адресою вулиця Елеваторна, буд. 8а</t>
  </si>
  <si>
    <t>Разом у пункті  2.8. (КЕКВ 3110)</t>
  </si>
  <si>
    <t>Послуги з розроблення технічних умов по                   ПАТ "Укртелеком" по об'єкту: "Реконструкція перехрестя  вул. Льотна з улаштуванням проїзду вздовж вул. Мезенцева  в м. Чернігів"</t>
  </si>
  <si>
    <t>1.2.20</t>
  </si>
  <si>
    <t>1.8</t>
  </si>
  <si>
    <t xml:space="preserve">Придбання та встановлення огорожі </t>
  </si>
  <si>
    <t>2.2.20</t>
  </si>
  <si>
    <t>Капітальний ремонт зупинки громадського транспорту "вул. Московська" (вул. Гагаріна, 4)</t>
  </si>
  <si>
    <t>Придбання та встановлення урн</t>
  </si>
  <si>
    <t>1.2.21</t>
  </si>
  <si>
    <t>2.2.21</t>
  </si>
  <si>
    <t>Капітальний ремонт зупинки громадського транспорту "вул. Генерала Пухова" (вул. Генерала Пухова,129)</t>
  </si>
  <si>
    <t>2.3.20</t>
  </si>
  <si>
    <t>Капітальний ремонт освітлення пішохідного переходу біля ЗОШ №1 по просп. Миру, 40</t>
  </si>
  <si>
    <t>Капітальний ремонт зеленої зони по вул. Шевченка від вул. Олександра Молодчого до вул. Академіка Павлова (парна сторона)</t>
  </si>
  <si>
    <t xml:space="preserve">Разом у пунктах  2.1. - 2.6. (КЕКВ 3132): </t>
  </si>
  <si>
    <t>Разом у пункті  2.7. (КЕКВ 3160)</t>
  </si>
  <si>
    <t>2.8</t>
  </si>
  <si>
    <t>2.8.1</t>
  </si>
  <si>
    <t>2.9</t>
  </si>
  <si>
    <t>Разом у пункті  2.9. (КЕКВ 3110)</t>
  </si>
  <si>
    <t>2.9.1</t>
  </si>
  <si>
    <t>2.9.2</t>
  </si>
  <si>
    <t>Придбання та встановлення орбітреку</t>
  </si>
  <si>
    <t>1.7.16</t>
  </si>
  <si>
    <t>Поточний ремонт внутрішньо-будинкового проїзду за адресою вул. Савчука, буд. №11 біля під'їздів №2, №3, №4</t>
  </si>
  <si>
    <t>Придбання та встановлення паркану для будинку за адресою вул. Елеваторна, буд. 8а</t>
  </si>
  <si>
    <t xml:space="preserve">Капітальний ремонт зупинки громадського транспорту "Поліклініка №3" (просп. Миру,44 (автобусна) (коригування 2) </t>
  </si>
  <si>
    <t>Відновлення дитячих та спортивних майданчиків (придбання та встановлення )</t>
  </si>
  <si>
    <t>1.8.1</t>
  </si>
  <si>
    <t>1.8.2</t>
  </si>
  <si>
    <t>1.8.3</t>
  </si>
  <si>
    <t>Відновлення дитячих та спортивних майданчиків (придбання та встановлення ), з них:</t>
  </si>
  <si>
    <t>Послуги з озеленення міста (садіння дерев)</t>
  </si>
  <si>
    <t>1.2.22</t>
  </si>
  <si>
    <t>Капітальний ремонт мереж зовнішнього освітлення по вул. Реміснича від вул. Князя Чорного  до проспекту Перемоги та по вул. Коцюбинського від   вул. Реміснича до вул. Кирпоноса</t>
  </si>
  <si>
    <t>Секретар міської ради</t>
  </si>
  <si>
    <t>Послуги з топографо-геодезичних робіт по об'єкту: "Розширення міського кладовища  «Яцево»  в  м. Чернігів" (КЕКВ 2281)</t>
  </si>
  <si>
    <t>Приєднання до електричних мереж  системи розподілу  ПАТ «Чернігівобленерго»  в зв'язку з будівництвом  по об'єкту:  "Будівництво автомобільної дороги для під’їзду з вул. Івана Мазепи до житлового району  по вул. Текстильників, м. Чернігів"</t>
  </si>
  <si>
    <t>Послуги з розроблення технічних умов по               ПАТ "Укртелеком" по об'єкту: "Будівництво автомобільної дороги для під'їзду з  вул. Івана Мазепи до житлового району по вул. Текстильників, м. Чернігів"</t>
  </si>
  <si>
    <t>Послуги з розроблення технічних умов по                   ПАТ "Укртелеком" по об'єкту: "Реконструкція перехрестя вул. Доценка з   вул. Космонавтів в  м. Чернігів"</t>
  </si>
  <si>
    <t>Придбання та встановлення парканчику для огородження дитячого майданчика по                         вул. Красносільського,79</t>
  </si>
  <si>
    <t>Поточний ремонт мереж зовнішнього освітлення (заміна світильників) по вулицям: вул. Лугова,            вул. Бжевського, вул. Піщана</t>
  </si>
  <si>
    <t>Придбання та встановлення лавочок за адресою         вул. В'ячеслава Радченка буд.,14</t>
  </si>
  <si>
    <t>Придбання та встановлення огорожі контейнерного майданчику для збору сміття за адресою                      вул. Волковича біля будинків №3, №5, №7</t>
  </si>
  <si>
    <t>1.7.17</t>
  </si>
  <si>
    <t>1.7.18</t>
  </si>
  <si>
    <t>1.7.19</t>
  </si>
  <si>
    <t>1.7.20</t>
  </si>
  <si>
    <t>Поточний ремонт внутрішньо-будинкового проїзду біля житлового будинку по вул. Незалежності, буд. 56</t>
  </si>
  <si>
    <t>Поточний ремонт вимощення біля житлового будинку №38-А по  вул. Івана Мазепи</t>
  </si>
  <si>
    <t>Придбання та встановлення декоративного паркану за адресами вул. Савчука, буд. 7, вул. Савчука,             буд. 11</t>
  </si>
  <si>
    <t xml:space="preserve">Капітальний ремонт внутрішньо-будинкових проїздів в житловій забудові від  ДНЗ №73                                       вул. Рокоссовського, 52 до вул. Доценка </t>
  </si>
  <si>
    <t>Капітальний ремонт внутрішньо-будинкових проїздів в житловій забудові за адресою вул. Самострова, 11</t>
  </si>
  <si>
    <t>Капітальний ремонт внутрішньо-будинкових проїздів в житловій забудові за адресою просп. Перемоги, 162</t>
  </si>
  <si>
    <t>Капітальний ремонт внутрішньо-будинкових проїздів в житловій забудові за адресою просп. Перемоги, 164</t>
  </si>
  <si>
    <t>Капітальний ремонт внутрішньо-будинкових проїздів в житловій забудові за адресою  просп. Перемоги, 166</t>
  </si>
  <si>
    <t>Капітальний ремонт внутрішньо-будинкових проїздів в житловій забудові за адресою просп. Перемоги, 168</t>
  </si>
  <si>
    <t>Капітальний ремонт внутрішньо-будинкових проїздів в житловій забудові за адресою  вул. Самострова, 13</t>
  </si>
  <si>
    <t>Капітальний ремонт освітлення пішохідного переходу біля житлового будинку по   вул. Всіхсвятська, 16</t>
  </si>
  <si>
    <t>Капітальний ремонт освітлення пішохідного переходу біля житлового будинку по  вул. Всіхсвятська, 8</t>
  </si>
  <si>
    <t>Капітальний ремонт освітлення пішохідного переходу біля житлового будинку по  вул. Всіхсвятська, 14</t>
  </si>
  <si>
    <t>Капітальний ремонт освітлення пішохідного переходу біля житлового будинку по  вул. Магістратська,5</t>
  </si>
  <si>
    <t>Капітальний ремонт освітлення пішохідного переходу на перехресті вул. Магістратська -вул. Кирпоноса</t>
  </si>
  <si>
    <t xml:space="preserve">Капітальний ремонт освітлення пішохідного переходу на перехресті вул. Генерала Пухова – вул. Всіхсвятська </t>
  </si>
  <si>
    <t xml:space="preserve">Капітальний ремонт освітлення пішохідного переходу на перехресті вул. Генерала Пухова – вул. Доценка </t>
  </si>
  <si>
    <t>Поточний ремонт внутрішньо-будинкового проїзду за адресою вул. Савчука від буд. №7-Б в напрямку               буд. № 7-А</t>
  </si>
  <si>
    <t>Поточний ремонт внутрішньо-будинкових проїздів вжитловій забудові</t>
  </si>
  <si>
    <t>О. ЛОМАКО</t>
  </si>
  <si>
    <t xml:space="preserve">Додаток 1
до рішення виконавчого    комітету міської ради                  грудня 2020 року №                               </t>
  </si>
  <si>
    <t>Придбання та встановлення паркових лавочек</t>
  </si>
  <si>
    <t>Разом у пункті 1.8: КЕКВ 2210</t>
  </si>
  <si>
    <t>Капітальний ремонт парку ім. Коцюбинського в         м. Чернігові</t>
  </si>
  <si>
    <t>Послуги з влаштування габіонів на бульварі по             просп. Миру від просп. Перемоги до вул. Івана Мазепи</t>
  </si>
  <si>
    <t>Послуги з експертної грошової оцінки двох  земельних ділянок (паїв):                                                                    -земельної ділянки площею 12257 кв.м. для  ведення товарного сільськогосподарського виробництва, що знаходиться за адресою: Чернігівська обл., Чернігівський р-н, на території Вознесенської сільської ради (за межами населеного пункту)              -земельної ділянки площею 13044 кв.м. для  ведення товарного сільськогосподарського виробництва, що знаходиться за адресою: Чернігівська обл., Чернігівський р-н, на території Вознесенської сільської ради (за межами населеного пункту)</t>
  </si>
  <si>
    <t>Приєднання до електричних мереж  системи розподілу  ПАТ «Чернігівобленерго»  в зв'язку з будівництвом  по об'єкту:  "Будівництво централізованої каналізації вулиці Сосницької від буд. №4 до буд. №49, провулку Сосницького, вулиці Озерної №3, вулиці Шевченка від буд. №123 до буд. №151, вулиці Механізаторів від буд. №15 до буд. №25 в м. Чернігові з виділенням пускових комплексів І-й пусковий комплекс"</t>
  </si>
  <si>
    <t>Приєднання до електричних мереж  системи розподілу  ПАТ «Чернігівобленерго»  в зв'язку з будівництвом  по об'єкту:  "Будівництво вулиць Сіверянської, Ватутіна, Фабричної, Василенка, Колоскових, Толстого, № 19а, 27а в м. Чернігові"</t>
  </si>
  <si>
    <t xml:space="preserve">Приєднання до електричних мереж  системи розподілу  ПАТ «Чернігівобленерго»  в зв'язку з будівництвом  по об'єкту:  "Будівництво централізованої каналізації вулиці Московська (від будинку №46 до вулиці Кримської); вулиці Перемоги (від будинку №13 до вулиці Кримської);  вулиці 21 Вересня (від будинку №21 до вулиці Кримської);  вулиці Панаса Мирного (від будинку №11 до будинку №24); вулиці Кримської (від будинку №75 до вулиці Керченської) в м. Чернігові"   (І черга будівництва) </t>
  </si>
  <si>
    <t>Разом у пунктах 1.2.1. -  1.2.25. (КЕКВ 2240,                КЕКВ 2272, КЕКВ 2281, КЕКВ 2800)</t>
  </si>
  <si>
    <t>1.2.18.37</t>
  </si>
  <si>
    <t>1.2.18.38</t>
  </si>
  <si>
    <t>1.2.18.39</t>
  </si>
  <si>
    <t>Придбання та встановлення лавочек за адресами             вул. Савчука, буд. 7, вул. Савчука, буд. 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</si>
</sst>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0&quot;р.&quot;"/>
    <numFmt numFmtId="181" formatCode="_-* #,##0_р_._-;\-* #,##0_р_._-;_-* &quot;-&quot;??_р_._-;_-@_-"/>
    <numFmt numFmtId="182" formatCode="_-* #,##0.0_р_._-;\-* #,##0.0_р_._-;_-* &quot;-&quot;??_р_._-;_-@_-"/>
    <numFmt numFmtId="183" formatCode="#,##0.00_ ;\-#,##0.00\ "/>
    <numFmt numFmtId="184" formatCode="0.00_ ;\-0.00\ 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2" fillId="33" borderId="0" xfId="0" applyNumberFormat="1" applyFont="1" applyFill="1" applyAlignment="1">
      <alignment/>
    </xf>
    <xf numFmtId="0" fontId="6" fillId="34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2" fontId="3" fillId="34" borderId="1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right" vertical="center" wrapText="1"/>
    </xf>
    <xf numFmtId="0" fontId="3" fillId="34" borderId="10" xfId="53" applyFont="1" applyFill="1" applyBorder="1" applyAlignment="1">
      <alignment vertical="center" wrapText="1"/>
      <protection/>
    </xf>
    <xf numFmtId="0" fontId="3" fillId="34" borderId="10" xfId="54" applyFont="1" applyFill="1" applyBorder="1" applyAlignment="1">
      <alignment vertical="center" wrapText="1"/>
      <protection/>
    </xf>
    <xf numFmtId="0" fontId="3" fillId="34" borderId="15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justify"/>
    </xf>
    <xf numFmtId="0" fontId="3" fillId="34" borderId="10" xfId="0" applyFont="1" applyFill="1" applyBorder="1" applyAlignment="1">
      <alignment horizontal="justify" vertical="center" wrapText="1"/>
    </xf>
    <xf numFmtId="2" fontId="3" fillId="34" borderId="15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right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right" vertical="center" wrapText="1"/>
    </xf>
    <xf numFmtId="4" fontId="3" fillId="34" borderId="17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vertical="center" wrapText="1"/>
    </xf>
    <xf numFmtId="4" fontId="3" fillId="34" borderId="13" xfId="0" applyNumberFormat="1" applyFont="1" applyFill="1" applyBorder="1" applyAlignment="1">
      <alignment horizontal="right" vertical="center" wrapText="1"/>
    </xf>
    <xf numFmtId="4" fontId="9" fillId="33" borderId="0" xfId="0" applyNumberFormat="1" applyFont="1" applyFill="1" applyAlignment="1">
      <alignment/>
    </xf>
    <xf numFmtId="0" fontId="3" fillId="34" borderId="13" xfId="0" applyFont="1" applyFill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11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" fontId="10" fillId="0" borderId="0" xfId="0" applyNumberFormat="1" applyFont="1" applyAlignment="1">
      <alignment/>
    </xf>
    <xf numFmtId="4" fontId="6" fillId="34" borderId="18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tabSelected="1" view="pageBreakPreview" zoomScale="84" zoomScaleNormal="112" zoomScaleSheetLayoutView="84" workbookViewId="0" topLeftCell="A1">
      <selection activeCell="B122" sqref="B122"/>
    </sheetView>
  </sheetViews>
  <sheetFormatPr defaultColWidth="9.00390625" defaultRowHeight="12.75"/>
  <cols>
    <col min="1" max="1" width="11.75390625" style="0" customWidth="1"/>
    <col min="2" max="2" width="64.875" style="0" customWidth="1"/>
    <col min="3" max="3" width="22.875" style="0" customWidth="1"/>
    <col min="4" max="5" width="22.75390625" style="0" customWidth="1"/>
    <col min="6" max="6" width="13.625" style="0" customWidth="1"/>
    <col min="7" max="7" width="15.375" style="0" customWidth="1"/>
  </cols>
  <sheetData>
    <row r="1" spans="1:5" s="1" customFormat="1" ht="111.75" customHeight="1">
      <c r="A1" s="23"/>
      <c r="B1" s="23"/>
      <c r="C1" s="27"/>
      <c r="D1" s="65" t="s">
        <v>383</v>
      </c>
      <c r="E1" s="65"/>
    </row>
    <row r="2" spans="1:5" s="3" customFormat="1" ht="33" customHeight="1">
      <c r="A2" s="23"/>
      <c r="B2" s="60" t="s">
        <v>109</v>
      </c>
      <c r="C2" s="61"/>
      <c r="D2" s="61"/>
      <c r="E2" s="61"/>
    </row>
    <row r="3" spans="1:5" s="3" customFormat="1" ht="19.5" customHeight="1">
      <c r="A3" s="23"/>
      <c r="B3" s="23"/>
      <c r="C3" s="23"/>
      <c r="D3" s="23"/>
      <c r="E3" s="23"/>
    </row>
    <row r="4" spans="1:5" s="2" customFormat="1" ht="30.75" customHeight="1">
      <c r="A4" s="66" t="s">
        <v>9</v>
      </c>
      <c r="B4" s="66" t="s">
        <v>7</v>
      </c>
      <c r="C4" s="66" t="s">
        <v>13</v>
      </c>
      <c r="D4" s="66" t="s">
        <v>0</v>
      </c>
      <c r="E4" s="66"/>
    </row>
    <row r="5" spans="1:5" s="2" customFormat="1" ht="27.75" customHeight="1">
      <c r="A5" s="66"/>
      <c r="B5" s="66"/>
      <c r="C5" s="66"/>
      <c r="D5" s="70" t="s">
        <v>8</v>
      </c>
      <c r="E5" s="70"/>
    </row>
    <row r="6" spans="1:5" s="2" customFormat="1" ht="56.25" customHeight="1">
      <c r="A6" s="66"/>
      <c r="B6" s="66"/>
      <c r="C6" s="66"/>
      <c r="D6" s="56" t="s">
        <v>14</v>
      </c>
      <c r="E6" s="56" t="s">
        <v>15</v>
      </c>
    </row>
    <row r="7" spans="1:5" s="3" customFormat="1" ht="18.75">
      <c r="A7" s="57">
        <v>1</v>
      </c>
      <c r="B7" s="57">
        <v>2</v>
      </c>
      <c r="C7" s="57">
        <v>3</v>
      </c>
      <c r="D7" s="57">
        <v>4</v>
      </c>
      <c r="E7" s="57">
        <v>5</v>
      </c>
    </row>
    <row r="8" spans="1:5" s="3" customFormat="1" ht="21.75" customHeight="1">
      <c r="A8" s="24" t="s">
        <v>56</v>
      </c>
      <c r="B8" s="68" t="s">
        <v>55</v>
      </c>
      <c r="C8" s="68"/>
      <c r="D8" s="68"/>
      <c r="E8" s="69"/>
    </row>
    <row r="9" spans="1:5" s="3" customFormat="1" ht="48" customHeight="1">
      <c r="A9" s="12" t="s">
        <v>10</v>
      </c>
      <c r="B9" s="10" t="s">
        <v>48</v>
      </c>
      <c r="C9" s="11">
        <f>1003117.06</f>
        <v>1003117.06</v>
      </c>
      <c r="D9" s="11">
        <f>C9</f>
        <v>1003117.06</v>
      </c>
      <c r="E9" s="13"/>
    </row>
    <row r="10" spans="1:5" s="3" customFormat="1" ht="40.5" customHeight="1">
      <c r="A10" s="12" t="s">
        <v>11</v>
      </c>
      <c r="B10" s="10" t="s">
        <v>49</v>
      </c>
      <c r="C10" s="11">
        <f>14521.53</f>
        <v>14521.53</v>
      </c>
      <c r="D10" s="11">
        <f>C10</f>
        <v>14521.53</v>
      </c>
      <c r="E10" s="13"/>
    </row>
    <row r="11" spans="1:5" s="3" customFormat="1" ht="79.5" customHeight="1">
      <c r="A11" s="12" t="s">
        <v>31</v>
      </c>
      <c r="B11" s="10" t="s">
        <v>119</v>
      </c>
      <c r="C11" s="11">
        <f>244936.08</f>
        <v>244936.08</v>
      </c>
      <c r="D11" s="11">
        <f aca="true" t="shared" si="0" ref="D11:D31">C11</f>
        <v>244936.08</v>
      </c>
      <c r="E11" s="13"/>
    </row>
    <row r="12" spans="1:5" s="3" customFormat="1" ht="39.75" customHeight="1">
      <c r="A12" s="12" t="s">
        <v>32</v>
      </c>
      <c r="B12" s="10" t="s">
        <v>50</v>
      </c>
      <c r="C12" s="11">
        <f>2865597.36</f>
        <v>2865597.36</v>
      </c>
      <c r="D12" s="11">
        <f t="shared" si="0"/>
        <v>2865597.36</v>
      </c>
      <c r="E12" s="13"/>
    </row>
    <row r="13" spans="1:5" s="3" customFormat="1" ht="48.75" customHeight="1">
      <c r="A13" s="12" t="s">
        <v>33</v>
      </c>
      <c r="B13" s="10" t="s">
        <v>52</v>
      </c>
      <c r="C13" s="11">
        <f>114000</f>
        <v>114000</v>
      </c>
      <c r="D13" s="11">
        <f t="shared" si="0"/>
        <v>114000</v>
      </c>
      <c r="E13" s="13"/>
    </row>
    <row r="14" spans="1:5" s="3" customFormat="1" ht="84" customHeight="1">
      <c r="A14" s="12" t="s">
        <v>34</v>
      </c>
      <c r="B14" s="20" t="s">
        <v>81</v>
      </c>
      <c r="C14" s="11">
        <f>20000</f>
        <v>20000</v>
      </c>
      <c r="D14" s="11">
        <f t="shared" si="0"/>
        <v>20000</v>
      </c>
      <c r="E14" s="13"/>
    </row>
    <row r="15" spans="1:5" s="3" customFormat="1" ht="63.75" customHeight="1">
      <c r="A15" s="12" t="s">
        <v>35</v>
      </c>
      <c r="B15" s="20" t="s">
        <v>54</v>
      </c>
      <c r="C15" s="11">
        <f>196000</f>
        <v>196000</v>
      </c>
      <c r="D15" s="11">
        <f t="shared" si="0"/>
        <v>196000</v>
      </c>
      <c r="E15" s="13"/>
    </row>
    <row r="16" spans="1:5" s="3" customFormat="1" ht="40.5" customHeight="1">
      <c r="A16" s="12" t="s">
        <v>36</v>
      </c>
      <c r="B16" s="16" t="s">
        <v>51</v>
      </c>
      <c r="C16" s="11">
        <f>395483.81</f>
        <v>395483.81</v>
      </c>
      <c r="D16" s="11">
        <f t="shared" si="0"/>
        <v>395483.81</v>
      </c>
      <c r="E16" s="13"/>
    </row>
    <row r="17" spans="1:5" s="3" customFormat="1" ht="60.75" customHeight="1">
      <c r="A17" s="12" t="s">
        <v>37</v>
      </c>
      <c r="B17" s="16" t="s">
        <v>53</v>
      </c>
      <c r="C17" s="11">
        <f>118297.68</f>
        <v>118297.68</v>
      </c>
      <c r="D17" s="11">
        <f t="shared" si="0"/>
        <v>118297.68</v>
      </c>
      <c r="E17" s="13"/>
    </row>
    <row r="18" spans="1:5" s="3" customFormat="1" ht="40.5" customHeight="1">
      <c r="A18" s="12" t="s">
        <v>82</v>
      </c>
      <c r="B18" s="16" t="s">
        <v>85</v>
      </c>
      <c r="C18" s="11">
        <f>607700</f>
        <v>607700</v>
      </c>
      <c r="D18" s="11">
        <f t="shared" si="0"/>
        <v>607700</v>
      </c>
      <c r="E18" s="13"/>
    </row>
    <row r="19" spans="1:5" s="3" customFormat="1" ht="95.25" customHeight="1">
      <c r="A19" s="12" t="s">
        <v>83</v>
      </c>
      <c r="B19" s="20" t="s">
        <v>86</v>
      </c>
      <c r="C19" s="11">
        <f>61491.84</f>
        <v>61491.84</v>
      </c>
      <c r="D19" s="11">
        <f t="shared" si="0"/>
        <v>61491.84</v>
      </c>
      <c r="E19" s="13"/>
    </row>
    <row r="20" spans="1:5" s="3" customFormat="1" ht="62.25" customHeight="1">
      <c r="A20" s="12" t="s">
        <v>84</v>
      </c>
      <c r="B20" s="10" t="s">
        <v>110</v>
      </c>
      <c r="C20" s="11">
        <f>2043634.97</f>
        <v>2043634.97</v>
      </c>
      <c r="D20" s="11">
        <f t="shared" si="0"/>
        <v>2043634.97</v>
      </c>
      <c r="E20" s="13"/>
    </row>
    <row r="21" spans="1:5" s="3" customFormat="1" ht="69.75" customHeight="1">
      <c r="A21" s="12" t="s">
        <v>88</v>
      </c>
      <c r="B21" s="29" t="s">
        <v>89</v>
      </c>
      <c r="C21" s="11">
        <f>1768060.33</f>
        <v>1768060.33</v>
      </c>
      <c r="D21" s="11">
        <f t="shared" si="0"/>
        <v>1768060.33</v>
      </c>
      <c r="E21" s="13"/>
    </row>
    <row r="22" spans="1:5" s="3" customFormat="1" ht="44.25" customHeight="1">
      <c r="A22" s="12" t="s">
        <v>97</v>
      </c>
      <c r="B22" s="30" t="s">
        <v>87</v>
      </c>
      <c r="C22" s="11">
        <f>21981.96</f>
        <v>21981.96</v>
      </c>
      <c r="D22" s="11">
        <f t="shared" si="0"/>
        <v>21981.96</v>
      </c>
      <c r="E22" s="13"/>
    </row>
    <row r="23" spans="1:5" s="3" customFormat="1" ht="63" customHeight="1">
      <c r="A23" s="12" t="s">
        <v>98</v>
      </c>
      <c r="B23" s="50" t="s">
        <v>96</v>
      </c>
      <c r="C23" s="11">
        <f>84886.61</f>
        <v>84886.61</v>
      </c>
      <c r="D23" s="11">
        <f t="shared" si="0"/>
        <v>84886.61</v>
      </c>
      <c r="E23" s="13"/>
    </row>
    <row r="24" spans="1:5" s="3" customFormat="1" ht="42" customHeight="1">
      <c r="A24" s="12" t="s">
        <v>99</v>
      </c>
      <c r="B24" s="10" t="s">
        <v>107</v>
      </c>
      <c r="C24" s="11">
        <f>1999078.4</f>
        <v>1999078.4</v>
      </c>
      <c r="D24" s="11">
        <f t="shared" si="0"/>
        <v>1999078.4</v>
      </c>
      <c r="E24" s="13"/>
    </row>
    <row r="25" spans="1:5" s="3" customFormat="1" ht="40.5" customHeight="1">
      <c r="A25" s="12" t="s">
        <v>100</v>
      </c>
      <c r="B25" s="28" t="s">
        <v>27</v>
      </c>
      <c r="C25" s="11">
        <f>C26+C27+C28+C29+C30+C31</f>
        <v>636321.35</v>
      </c>
      <c r="D25" s="11">
        <f t="shared" si="0"/>
        <v>636321.35</v>
      </c>
      <c r="E25" s="13"/>
    </row>
    <row r="26" spans="1:5" s="3" customFormat="1" ht="36.75" customHeight="1">
      <c r="A26" s="12" t="s">
        <v>101</v>
      </c>
      <c r="B26" s="51" t="s">
        <v>90</v>
      </c>
      <c r="C26" s="11">
        <f>192318</f>
        <v>192318</v>
      </c>
      <c r="D26" s="11">
        <f t="shared" si="0"/>
        <v>192318</v>
      </c>
      <c r="E26" s="13"/>
    </row>
    <row r="27" spans="1:5" s="3" customFormat="1" ht="43.5" customHeight="1">
      <c r="A27" s="12" t="s">
        <v>102</v>
      </c>
      <c r="B27" s="10" t="s">
        <v>91</v>
      </c>
      <c r="C27" s="11">
        <f>4300</f>
        <v>4300</v>
      </c>
      <c r="D27" s="11">
        <f t="shared" si="0"/>
        <v>4300</v>
      </c>
      <c r="E27" s="13"/>
    </row>
    <row r="28" spans="1:5" s="3" customFormat="1" ht="117" customHeight="1">
      <c r="A28" s="12" t="s">
        <v>103</v>
      </c>
      <c r="B28" s="28" t="s">
        <v>92</v>
      </c>
      <c r="C28" s="11">
        <f>6801.48</f>
        <v>6801.48</v>
      </c>
      <c r="D28" s="11">
        <f t="shared" si="0"/>
        <v>6801.48</v>
      </c>
      <c r="E28" s="13"/>
    </row>
    <row r="29" spans="1:5" s="3" customFormat="1" ht="56.25" customHeight="1">
      <c r="A29" s="12" t="s">
        <v>104</v>
      </c>
      <c r="B29" s="10" t="s">
        <v>93</v>
      </c>
      <c r="C29" s="11">
        <f>140631.6</f>
        <v>140631.6</v>
      </c>
      <c r="D29" s="11">
        <f t="shared" si="0"/>
        <v>140631.6</v>
      </c>
      <c r="E29" s="13"/>
    </row>
    <row r="30" spans="1:5" s="3" customFormat="1" ht="63.75" customHeight="1">
      <c r="A30" s="12" t="s">
        <v>105</v>
      </c>
      <c r="B30" s="28" t="s">
        <v>94</v>
      </c>
      <c r="C30" s="11">
        <f>117141.86</f>
        <v>117141.86</v>
      </c>
      <c r="D30" s="11">
        <f t="shared" si="0"/>
        <v>117141.86</v>
      </c>
      <c r="E30" s="13"/>
    </row>
    <row r="31" spans="1:5" s="3" customFormat="1" ht="81" customHeight="1">
      <c r="A31" s="12" t="s">
        <v>106</v>
      </c>
      <c r="B31" s="10" t="s">
        <v>95</v>
      </c>
      <c r="C31" s="11">
        <f>175128.41</f>
        <v>175128.41</v>
      </c>
      <c r="D31" s="11">
        <f t="shared" si="0"/>
        <v>175128.41</v>
      </c>
      <c r="E31" s="13"/>
    </row>
    <row r="32" spans="1:5" s="3" customFormat="1" ht="45" customHeight="1">
      <c r="A32" s="12"/>
      <c r="B32" s="31" t="s">
        <v>111</v>
      </c>
      <c r="C32" s="11">
        <f>C9+C10+C11+C12+C13+C14+C15+C16+C17+C18+C19+C20+C21+C22+C23+C24+C25</f>
        <v>12195108.98</v>
      </c>
      <c r="D32" s="11">
        <f>C32</f>
        <v>12195108.98</v>
      </c>
      <c r="E32" s="13"/>
    </row>
    <row r="33" spans="1:5" s="3" customFormat="1" ht="20.25" customHeight="1">
      <c r="A33" s="12" t="s">
        <v>2</v>
      </c>
      <c r="B33" s="62" t="s">
        <v>20</v>
      </c>
      <c r="C33" s="63"/>
      <c r="D33" s="63"/>
      <c r="E33" s="64"/>
    </row>
    <row r="34" spans="1:5" s="3" customFormat="1" ht="29.25" customHeight="1">
      <c r="A34" s="12" t="s">
        <v>57</v>
      </c>
      <c r="B34" s="10" t="s">
        <v>22</v>
      </c>
      <c r="C34" s="11">
        <f>51300000-4468000</f>
        <v>46832000</v>
      </c>
      <c r="D34" s="11">
        <f>C34</f>
        <v>46832000</v>
      </c>
      <c r="E34" s="14"/>
    </row>
    <row r="35" spans="1:5" s="3" customFormat="1" ht="29.25" customHeight="1">
      <c r="A35" s="12" t="s">
        <v>58</v>
      </c>
      <c r="B35" s="10" t="s">
        <v>1</v>
      </c>
      <c r="C35" s="11">
        <f>215080</f>
        <v>215080</v>
      </c>
      <c r="D35" s="11">
        <f>C35</f>
        <v>215080</v>
      </c>
      <c r="E35" s="14" t="s">
        <v>43</v>
      </c>
    </row>
    <row r="36" spans="1:5" s="3" customFormat="1" ht="49.5" customHeight="1">
      <c r="A36" s="12" t="s">
        <v>59</v>
      </c>
      <c r="B36" s="10" t="s">
        <v>210</v>
      </c>
      <c r="C36" s="11">
        <f>3800000-244200</f>
        <v>3555800</v>
      </c>
      <c r="D36" s="11">
        <f aca="true" t="shared" si="1" ref="D36:D91">C36</f>
        <v>3555800</v>
      </c>
      <c r="E36" s="15"/>
    </row>
    <row r="37" spans="1:5" s="3" customFormat="1" ht="28.5" customHeight="1">
      <c r="A37" s="12" t="s">
        <v>60</v>
      </c>
      <c r="B37" s="10" t="s">
        <v>23</v>
      </c>
      <c r="C37" s="11">
        <f>38788400-2629360</f>
        <v>36159040</v>
      </c>
      <c r="D37" s="11">
        <f t="shared" si="1"/>
        <v>36159040</v>
      </c>
      <c r="E37" s="15"/>
    </row>
    <row r="38" spans="1:5" s="3" customFormat="1" ht="32.25" customHeight="1">
      <c r="A38" s="12" t="s">
        <v>61</v>
      </c>
      <c r="B38" s="10" t="s">
        <v>12</v>
      </c>
      <c r="C38" s="11">
        <f>9500000+673140</f>
        <v>10173140</v>
      </c>
      <c r="D38" s="11">
        <f t="shared" si="1"/>
        <v>10173140</v>
      </c>
      <c r="E38" s="15"/>
    </row>
    <row r="39" spans="1:5" s="3" customFormat="1" ht="31.5" customHeight="1">
      <c r="A39" s="12" t="s">
        <v>62</v>
      </c>
      <c r="B39" s="10" t="s">
        <v>24</v>
      </c>
      <c r="C39" s="11">
        <f>99660</f>
        <v>99660</v>
      </c>
      <c r="D39" s="11">
        <f t="shared" si="1"/>
        <v>99660</v>
      </c>
      <c r="E39" s="15"/>
    </row>
    <row r="40" spans="1:5" s="3" customFormat="1" ht="67.5" customHeight="1">
      <c r="A40" s="12" t="s">
        <v>63</v>
      </c>
      <c r="B40" s="10" t="s">
        <v>120</v>
      </c>
      <c r="C40" s="11">
        <f>6815500-240800</f>
        <v>6574700</v>
      </c>
      <c r="D40" s="11">
        <f t="shared" si="1"/>
        <v>6574700</v>
      </c>
      <c r="E40" s="15"/>
    </row>
    <row r="41" spans="1:9" s="3" customFormat="1" ht="44.25" customHeight="1">
      <c r="A41" s="12" t="s">
        <v>64</v>
      </c>
      <c r="B41" s="10" t="s">
        <v>40</v>
      </c>
      <c r="C41" s="11">
        <f>1562160-50000</f>
        <v>1512160</v>
      </c>
      <c r="D41" s="11">
        <f t="shared" si="1"/>
        <v>1512160</v>
      </c>
      <c r="E41" s="15"/>
      <c r="I41" s="5"/>
    </row>
    <row r="42" spans="1:5" s="3" customFormat="1" ht="48.75" customHeight="1">
      <c r="A42" s="12" t="s">
        <v>65</v>
      </c>
      <c r="B42" s="10" t="s">
        <v>80</v>
      </c>
      <c r="C42" s="11">
        <f>2481800-400000</f>
        <v>2081800</v>
      </c>
      <c r="D42" s="11">
        <f t="shared" si="1"/>
        <v>2081800</v>
      </c>
      <c r="E42" s="15"/>
    </row>
    <row r="43" spans="1:5" s="3" customFormat="1" ht="62.25" customHeight="1">
      <c r="A43" s="12" t="s">
        <v>66</v>
      </c>
      <c r="B43" s="10" t="s">
        <v>42</v>
      </c>
      <c r="C43" s="11">
        <f>15395200-1400000</f>
        <v>13995200</v>
      </c>
      <c r="D43" s="11">
        <f t="shared" si="1"/>
        <v>13995200</v>
      </c>
      <c r="E43" s="15"/>
    </row>
    <row r="44" spans="1:5" s="3" customFormat="1" ht="39" customHeight="1" hidden="1">
      <c r="A44" s="12" t="s">
        <v>67</v>
      </c>
      <c r="B44" s="20" t="s">
        <v>39</v>
      </c>
      <c r="C44" s="11">
        <f>1000000-1000000</f>
        <v>0</v>
      </c>
      <c r="D44" s="11">
        <f t="shared" si="1"/>
        <v>0</v>
      </c>
      <c r="E44" s="15"/>
    </row>
    <row r="45" spans="1:8" s="3" customFormat="1" ht="25.5" customHeight="1">
      <c r="A45" s="12" t="s">
        <v>67</v>
      </c>
      <c r="B45" s="16" t="s">
        <v>28</v>
      </c>
      <c r="C45" s="11">
        <f>794098</f>
        <v>794098</v>
      </c>
      <c r="D45" s="11">
        <f t="shared" si="1"/>
        <v>794098</v>
      </c>
      <c r="E45" s="15"/>
      <c r="H45" s="3" t="s">
        <v>43</v>
      </c>
    </row>
    <row r="46" spans="1:5" s="3" customFormat="1" ht="38.25" customHeight="1">
      <c r="A46" s="12" t="s">
        <v>68</v>
      </c>
      <c r="B46" s="16" t="s">
        <v>39</v>
      </c>
      <c r="C46" s="11">
        <f>1000000-2295</f>
        <v>997705</v>
      </c>
      <c r="D46" s="11">
        <f t="shared" si="1"/>
        <v>997705</v>
      </c>
      <c r="E46" s="15"/>
    </row>
    <row r="47" spans="1:5" s="3" customFormat="1" ht="39" customHeight="1">
      <c r="A47" s="12" t="s">
        <v>69</v>
      </c>
      <c r="B47" s="28" t="s">
        <v>45</v>
      </c>
      <c r="C47" s="11">
        <f>414000+100000-13000</f>
        <v>501000</v>
      </c>
      <c r="D47" s="11">
        <f t="shared" si="1"/>
        <v>501000</v>
      </c>
      <c r="E47" s="15"/>
    </row>
    <row r="48" spans="1:5" s="3" customFormat="1" ht="84" customHeight="1">
      <c r="A48" s="12" t="s">
        <v>70</v>
      </c>
      <c r="B48" s="20" t="s">
        <v>44</v>
      </c>
      <c r="C48" s="11">
        <f>2300000</f>
        <v>2300000</v>
      </c>
      <c r="D48" s="11">
        <f t="shared" si="1"/>
        <v>2300000</v>
      </c>
      <c r="E48" s="15"/>
    </row>
    <row r="49" spans="1:5" s="3" customFormat="1" ht="45.75" customHeight="1">
      <c r="A49" s="12" t="s">
        <v>71</v>
      </c>
      <c r="B49" s="20" t="s">
        <v>46</v>
      </c>
      <c r="C49" s="11">
        <f>817100</f>
        <v>817100</v>
      </c>
      <c r="D49" s="11">
        <f t="shared" si="1"/>
        <v>817100</v>
      </c>
      <c r="E49" s="15"/>
    </row>
    <row r="50" spans="1:5" s="3" customFormat="1" ht="40.5" customHeight="1">
      <c r="A50" s="12" t="s">
        <v>72</v>
      </c>
      <c r="B50" s="20" t="s">
        <v>47</v>
      </c>
      <c r="C50" s="11">
        <f>720000</f>
        <v>720000</v>
      </c>
      <c r="D50" s="11">
        <f t="shared" si="1"/>
        <v>720000</v>
      </c>
      <c r="E50" s="15"/>
    </row>
    <row r="51" spans="1:5" s="3" customFormat="1" ht="21.75" customHeight="1">
      <c r="A51" s="12" t="s">
        <v>73</v>
      </c>
      <c r="B51" s="20" t="s">
        <v>114</v>
      </c>
      <c r="C51" s="11">
        <f>300000</f>
        <v>300000</v>
      </c>
      <c r="D51" s="11">
        <f t="shared" si="1"/>
        <v>300000</v>
      </c>
      <c r="E51" s="15"/>
    </row>
    <row r="52" spans="1:6" s="3" customFormat="1" ht="39.75" customHeight="1">
      <c r="A52" s="12" t="s">
        <v>74</v>
      </c>
      <c r="B52" s="28" t="s">
        <v>27</v>
      </c>
      <c r="C52" s="11">
        <f>2500000-84886.61-192318-4300-6801.48-140631.6-117141.86-175128.41-278822.62-100000+203148-5167-101698+101698-100281</f>
        <v>1497669.42</v>
      </c>
      <c r="D52" s="11">
        <f t="shared" si="1"/>
        <v>1497669.42</v>
      </c>
      <c r="E52" s="15"/>
      <c r="F52" s="58">
        <f>C53+C54+C55+C56+C57+C58+C59+C60+C61+C62+C63+C64+C65+C66+C67+C68+C69+C70+C71+C72+C73+C74+C75+C76+C77+C78+C79+C80+C81+C82+C83+C84+C85+C86+C87+C88++C89+C90+C91</f>
        <v>1496252</v>
      </c>
    </row>
    <row r="53" spans="1:6" s="3" customFormat="1" ht="56.25" customHeight="1">
      <c r="A53" s="12" t="s">
        <v>211</v>
      </c>
      <c r="B53" s="28" t="s">
        <v>116</v>
      </c>
      <c r="C53" s="11">
        <f>9325+345</f>
        <v>9670</v>
      </c>
      <c r="D53" s="11">
        <f t="shared" si="1"/>
        <v>9670</v>
      </c>
      <c r="E53" s="15"/>
      <c r="F53" s="6"/>
    </row>
    <row r="54" spans="1:6" s="3" customFormat="1" ht="95.25" customHeight="1">
      <c r="A54" s="12" t="s">
        <v>212</v>
      </c>
      <c r="B54" s="28" t="s">
        <v>238</v>
      </c>
      <c r="C54" s="11">
        <f>9325+345</f>
        <v>9670</v>
      </c>
      <c r="D54" s="11">
        <f t="shared" si="1"/>
        <v>9670</v>
      </c>
      <c r="E54" s="15"/>
      <c r="F54" s="6"/>
    </row>
    <row r="55" spans="1:6" s="3" customFormat="1" ht="76.5" customHeight="1">
      <c r="A55" s="12" t="s">
        <v>213</v>
      </c>
      <c r="B55" s="28" t="s">
        <v>196</v>
      </c>
      <c r="C55" s="11">
        <f>19050+1</f>
        <v>19051</v>
      </c>
      <c r="D55" s="11">
        <f t="shared" si="1"/>
        <v>19051</v>
      </c>
      <c r="E55" s="15"/>
      <c r="F55" s="6"/>
    </row>
    <row r="56" spans="1:6" s="3" customFormat="1" ht="57.75" customHeight="1">
      <c r="A56" s="12" t="s">
        <v>214</v>
      </c>
      <c r="B56" s="28" t="s">
        <v>197</v>
      </c>
      <c r="C56" s="11">
        <f>18778+1</f>
        <v>18779</v>
      </c>
      <c r="D56" s="11">
        <f t="shared" si="1"/>
        <v>18779</v>
      </c>
      <c r="E56" s="15"/>
      <c r="F56" s="6"/>
    </row>
    <row r="57" spans="1:6" s="3" customFormat="1" ht="60.75" customHeight="1">
      <c r="A57" s="12" t="s">
        <v>215</v>
      </c>
      <c r="B57" s="10" t="s">
        <v>121</v>
      </c>
      <c r="C57" s="11">
        <f>10931</f>
        <v>10931</v>
      </c>
      <c r="D57" s="11">
        <f t="shared" si="1"/>
        <v>10931</v>
      </c>
      <c r="E57" s="15"/>
      <c r="F57" s="6"/>
    </row>
    <row r="58" spans="1:6" s="3" customFormat="1" ht="62.25" customHeight="1">
      <c r="A58" s="12" t="s">
        <v>216</v>
      </c>
      <c r="B58" s="35" t="s">
        <v>122</v>
      </c>
      <c r="C58" s="11">
        <f>10931</f>
        <v>10931</v>
      </c>
      <c r="D58" s="11">
        <f t="shared" si="1"/>
        <v>10931</v>
      </c>
      <c r="E58" s="15"/>
      <c r="F58" s="6"/>
    </row>
    <row r="59" spans="1:6" s="3" customFormat="1" ht="116.25" customHeight="1">
      <c r="A59" s="12" t="s">
        <v>217</v>
      </c>
      <c r="B59" s="36" t="s">
        <v>129</v>
      </c>
      <c r="C59" s="32">
        <f>7500</f>
        <v>7500</v>
      </c>
      <c r="D59" s="11">
        <f t="shared" si="1"/>
        <v>7500</v>
      </c>
      <c r="E59" s="15"/>
      <c r="F59" s="6"/>
    </row>
    <row r="60" spans="1:6" s="3" customFormat="1" ht="115.5" customHeight="1">
      <c r="A60" s="12" t="s">
        <v>218</v>
      </c>
      <c r="B60" s="36" t="s">
        <v>130</v>
      </c>
      <c r="C60" s="32">
        <f>7500</f>
        <v>7500</v>
      </c>
      <c r="D60" s="11">
        <f t="shared" si="1"/>
        <v>7500</v>
      </c>
      <c r="E60" s="15"/>
      <c r="F60" s="6"/>
    </row>
    <row r="61" spans="1:6" s="3" customFormat="1" ht="124.5" customHeight="1">
      <c r="A61" s="12" t="s">
        <v>219</v>
      </c>
      <c r="B61" s="10" t="s">
        <v>126</v>
      </c>
      <c r="C61" s="32">
        <f>7500</f>
        <v>7500</v>
      </c>
      <c r="D61" s="11">
        <f t="shared" si="1"/>
        <v>7500</v>
      </c>
      <c r="E61" s="15"/>
      <c r="F61" s="6"/>
    </row>
    <row r="62" spans="1:6" s="3" customFormat="1" ht="120.75" customHeight="1">
      <c r="A62" s="12" t="s">
        <v>220</v>
      </c>
      <c r="B62" s="10" t="s">
        <v>127</v>
      </c>
      <c r="C62" s="32">
        <f>7500</f>
        <v>7500</v>
      </c>
      <c r="D62" s="11">
        <f t="shared" si="1"/>
        <v>7500</v>
      </c>
      <c r="E62" s="15"/>
      <c r="F62" s="6"/>
    </row>
    <row r="63" spans="1:6" s="3" customFormat="1" ht="111" customHeight="1">
      <c r="A63" s="12" t="s">
        <v>221</v>
      </c>
      <c r="B63" s="37" t="s">
        <v>128</v>
      </c>
      <c r="C63" s="11">
        <f>7500</f>
        <v>7500</v>
      </c>
      <c r="D63" s="11">
        <f t="shared" si="1"/>
        <v>7500</v>
      </c>
      <c r="E63" s="15"/>
      <c r="F63" s="6"/>
    </row>
    <row r="64" spans="1:6" s="3" customFormat="1" ht="119.25" customHeight="1">
      <c r="A64" s="12" t="s">
        <v>222</v>
      </c>
      <c r="B64" s="37" t="s">
        <v>131</v>
      </c>
      <c r="C64" s="32">
        <f>7500</f>
        <v>7500</v>
      </c>
      <c r="D64" s="11">
        <f t="shared" si="1"/>
        <v>7500</v>
      </c>
      <c r="E64" s="15"/>
      <c r="F64" s="6"/>
    </row>
    <row r="65" spans="1:6" s="3" customFormat="1" ht="117" customHeight="1">
      <c r="A65" s="12" t="s">
        <v>223</v>
      </c>
      <c r="B65" s="10" t="s">
        <v>133</v>
      </c>
      <c r="C65" s="32">
        <f>7500</f>
        <v>7500</v>
      </c>
      <c r="D65" s="11">
        <f t="shared" si="1"/>
        <v>7500</v>
      </c>
      <c r="E65" s="15"/>
      <c r="F65" s="6"/>
    </row>
    <row r="66" spans="1:6" s="3" customFormat="1" ht="238.5" customHeight="1">
      <c r="A66" s="12" t="s">
        <v>224</v>
      </c>
      <c r="B66" s="35" t="s">
        <v>388</v>
      </c>
      <c r="C66" s="11">
        <f>16000</f>
        <v>16000</v>
      </c>
      <c r="D66" s="11">
        <f t="shared" si="1"/>
        <v>16000</v>
      </c>
      <c r="E66" s="15"/>
      <c r="F66" s="6"/>
    </row>
    <row r="67" spans="1:6" s="3" customFormat="1" ht="65.25" customHeight="1">
      <c r="A67" s="12" t="s">
        <v>225</v>
      </c>
      <c r="B67" s="10" t="s">
        <v>132</v>
      </c>
      <c r="C67" s="32">
        <f>16000+350</f>
        <v>16350</v>
      </c>
      <c r="D67" s="11">
        <f t="shared" si="1"/>
        <v>16350</v>
      </c>
      <c r="E67" s="15"/>
      <c r="F67" s="6"/>
    </row>
    <row r="68" spans="1:6" s="3" customFormat="1" ht="49.5" customHeight="1">
      <c r="A68" s="12" t="s">
        <v>226</v>
      </c>
      <c r="B68" s="10" t="s">
        <v>135</v>
      </c>
      <c r="C68" s="32">
        <f>43980-5167</f>
        <v>38813</v>
      </c>
      <c r="D68" s="11">
        <f t="shared" si="1"/>
        <v>38813</v>
      </c>
      <c r="E68" s="15"/>
      <c r="F68" s="6"/>
    </row>
    <row r="69" spans="1:6" s="3" customFormat="1" ht="63" customHeight="1">
      <c r="A69" s="12" t="s">
        <v>227</v>
      </c>
      <c r="B69" s="19" t="s">
        <v>193</v>
      </c>
      <c r="C69" s="32">
        <f>21590</f>
        <v>21590</v>
      </c>
      <c r="D69" s="11">
        <f t="shared" si="1"/>
        <v>21590</v>
      </c>
      <c r="E69" s="15"/>
      <c r="F69" s="6"/>
    </row>
    <row r="70" spans="1:6" s="3" customFormat="1" ht="60.75" customHeight="1">
      <c r="A70" s="12" t="s">
        <v>228</v>
      </c>
      <c r="B70" s="38" t="s">
        <v>194</v>
      </c>
      <c r="C70" s="11">
        <f>16666</f>
        <v>16666</v>
      </c>
      <c r="D70" s="11">
        <f t="shared" si="1"/>
        <v>16666</v>
      </c>
      <c r="E70" s="15"/>
      <c r="F70" s="6"/>
    </row>
    <row r="71" spans="1:6" s="3" customFormat="1" ht="81" customHeight="1">
      <c r="A71" s="12" t="s">
        <v>229</v>
      </c>
      <c r="B71" s="19" t="s">
        <v>195</v>
      </c>
      <c r="C71" s="32">
        <f>29226</f>
        <v>29226</v>
      </c>
      <c r="D71" s="11">
        <f t="shared" si="1"/>
        <v>29226</v>
      </c>
      <c r="E71" s="15"/>
      <c r="F71" s="6"/>
    </row>
    <row r="72" spans="1:6" s="3" customFormat="1" ht="58.5" customHeight="1">
      <c r="A72" s="12" t="s">
        <v>230</v>
      </c>
      <c r="B72" s="19" t="s">
        <v>351</v>
      </c>
      <c r="C72" s="32">
        <f>65371</f>
        <v>65371</v>
      </c>
      <c r="D72" s="11">
        <f t="shared" si="1"/>
        <v>65371</v>
      </c>
      <c r="E72" s="15"/>
      <c r="F72" s="6"/>
    </row>
    <row r="73" spans="1:6" s="3" customFormat="1" ht="58.5" customHeight="1">
      <c r="A73" s="12" t="s">
        <v>231</v>
      </c>
      <c r="B73" s="19" t="s">
        <v>207</v>
      </c>
      <c r="C73" s="32">
        <v>157990</v>
      </c>
      <c r="D73" s="11">
        <f t="shared" si="1"/>
        <v>157990</v>
      </c>
      <c r="E73" s="15"/>
      <c r="F73" s="6"/>
    </row>
    <row r="74" spans="1:6" s="3" customFormat="1" ht="27" customHeight="1">
      <c r="A74" s="12" t="s">
        <v>232</v>
      </c>
      <c r="B74" s="10" t="s">
        <v>208</v>
      </c>
      <c r="C74" s="32">
        <f>27300</f>
        <v>27300</v>
      </c>
      <c r="D74" s="11">
        <f t="shared" si="1"/>
        <v>27300</v>
      </c>
      <c r="E74" s="15"/>
      <c r="F74" s="6"/>
    </row>
    <row r="75" spans="1:6" s="3" customFormat="1" ht="36" customHeight="1">
      <c r="A75" s="12" t="s">
        <v>233</v>
      </c>
      <c r="B75" s="52" t="s">
        <v>237</v>
      </c>
      <c r="C75" s="11">
        <f>584352</f>
        <v>584352</v>
      </c>
      <c r="D75" s="11">
        <f t="shared" si="1"/>
        <v>584352</v>
      </c>
      <c r="E75" s="15"/>
      <c r="F75" s="6"/>
    </row>
    <row r="76" spans="1:6" s="3" customFormat="1" ht="99" customHeight="1">
      <c r="A76" s="42" t="s">
        <v>234</v>
      </c>
      <c r="B76" s="47" t="s">
        <v>352</v>
      </c>
      <c r="C76" s="32">
        <f>17698</f>
        <v>17698</v>
      </c>
      <c r="D76" s="32">
        <f t="shared" si="1"/>
        <v>17698</v>
      </c>
      <c r="E76" s="43"/>
      <c r="F76" s="6"/>
    </row>
    <row r="77" spans="1:6" s="3" customFormat="1" ht="40.5" customHeight="1">
      <c r="A77" s="12" t="s">
        <v>235</v>
      </c>
      <c r="B77" s="53" t="s">
        <v>236</v>
      </c>
      <c r="C77" s="11">
        <f>49570</f>
        <v>49570</v>
      </c>
      <c r="D77" s="11">
        <f t="shared" si="1"/>
        <v>49570</v>
      </c>
      <c r="E77" s="15"/>
      <c r="F77" s="6"/>
    </row>
    <row r="78" spans="1:6" s="3" customFormat="1" ht="99.75" customHeight="1">
      <c r="A78" s="44" t="s">
        <v>239</v>
      </c>
      <c r="B78" s="10" t="s">
        <v>240</v>
      </c>
      <c r="C78" s="46">
        <f>9670</f>
        <v>9670</v>
      </c>
      <c r="D78" s="45">
        <f t="shared" si="1"/>
        <v>9670</v>
      </c>
      <c r="E78" s="15"/>
      <c r="F78" s="6"/>
    </row>
    <row r="79" spans="1:6" s="3" customFormat="1" ht="210.75" customHeight="1">
      <c r="A79" s="12" t="s">
        <v>244</v>
      </c>
      <c r="B79" s="10" t="s">
        <v>272</v>
      </c>
      <c r="C79" s="11">
        <f>11500</f>
        <v>11500</v>
      </c>
      <c r="D79" s="11">
        <f t="shared" si="1"/>
        <v>11500</v>
      </c>
      <c r="E79" s="15"/>
      <c r="F79" s="6"/>
    </row>
    <row r="80" spans="1:6" s="3" customFormat="1" ht="213" customHeight="1">
      <c r="A80" s="44" t="s">
        <v>245</v>
      </c>
      <c r="B80" s="10" t="s">
        <v>273</v>
      </c>
      <c r="C80" s="11">
        <f>11500</f>
        <v>11500</v>
      </c>
      <c r="D80" s="45">
        <f t="shared" si="1"/>
        <v>11500</v>
      </c>
      <c r="E80" s="15"/>
      <c r="F80" s="6"/>
    </row>
    <row r="81" spans="1:6" s="3" customFormat="1" ht="190.5" customHeight="1">
      <c r="A81" s="12" t="s">
        <v>246</v>
      </c>
      <c r="B81" s="10" t="s">
        <v>248</v>
      </c>
      <c r="C81" s="11">
        <f>11500+3000</f>
        <v>14500</v>
      </c>
      <c r="D81" s="11">
        <f t="shared" si="1"/>
        <v>14500</v>
      </c>
      <c r="E81" s="15"/>
      <c r="F81" s="6"/>
    </row>
    <row r="82" spans="1:6" s="3" customFormat="1" ht="217.5" customHeight="1">
      <c r="A82" s="12" t="s">
        <v>247</v>
      </c>
      <c r="B82" s="35" t="s">
        <v>268</v>
      </c>
      <c r="C82" s="11">
        <f>14500-3000</f>
        <v>11500</v>
      </c>
      <c r="D82" s="11">
        <f t="shared" si="1"/>
        <v>11500</v>
      </c>
      <c r="E82" s="15"/>
      <c r="F82" s="6"/>
    </row>
    <row r="83" spans="1:6" s="3" customFormat="1" ht="96.75" customHeight="1">
      <c r="A83" s="12" t="s">
        <v>276</v>
      </c>
      <c r="B83" s="10" t="s">
        <v>277</v>
      </c>
      <c r="C83" s="11">
        <f>10107</f>
        <v>10107</v>
      </c>
      <c r="D83" s="11">
        <f t="shared" si="1"/>
        <v>10107</v>
      </c>
      <c r="E83" s="15"/>
      <c r="F83" s="6"/>
    </row>
    <row r="84" spans="1:6" s="3" customFormat="1" ht="45" customHeight="1">
      <c r="A84" s="12" t="s">
        <v>298</v>
      </c>
      <c r="B84" s="47" t="s">
        <v>387</v>
      </c>
      <c r="C84" s="32">
        <v>49349</v>
      </c>
      <c r="D84" s="11">
        <f t="shared" si="1"/>
        <v>49349</v>
      </c>
      <c r="E84" s="43"/>
      <c r="F84" s="6"/>
    </row>
    <row r="85" spans="1:6" s="3" customFormat="1" ht="156" customHeight="1">
      <c r="A85" s="12" t="s">
        <v>300</v>
      </c>
      <c r="B85" s="35" t="s">
        <v>301</v>
      </c>
      <c r="C85" s="11">
        <f>203148-41296</f>
        <v>161852</v>
      </c>
      <c r="D85" s="11">
        <f t="shared" si="1"/>
        <v>161852</v>
      </c>
      <c r="E85" s="15"/>
      <c r="F85" s="6"/>
    </row>
    <row r="86" spans="1:6" s="3" customFormat="1" ht="99.75" customHeight="1">
      <c r="A86" s="12" t="s">
        <v>304</v>
      </c>
      <c r="B86" s="30" t="s">
        <v>353</v>
      </c>
      <c r="C86" s="32">
        <f>840</f>
        <v>840</v>
      </c>
      <c r="D86" s="11">
        <f t="shared" si="1"/>
        <v>840</v>
      </c>
      <c r="E86" s="43"/>
      <c r="F86" s="6"/>
    </row>
    <row r="87" spans="1:6" s="3" customFormat="1" ht="78.75" customHeight="1">
      <c r="A87" s="12" t="s">
        <v>305</v>
      </c>
      <c r="B87" s="30" t="s">
        <v>354</v>
      </c>
      <c r="C87" s="32">
        <f>840</f>
        <v>840</v>
      </c>
      <c r="D87" s="11">
        <f t="shared" si="1"/>
        <v>840</v>
      </c>
      <c r="E87" s="43"/>
      <c r="F87" s="6"/>
    </row>
    <row r="88" spans="1:6" s="3" customFormat="1" ht="84.75" customHeight="1">
      <c r="A88" s="12" t="s">
        <v>306</v>
      </c>
      <c r="B88" s="30" t="s">
        <v>316</v>
      </c>
      <c r="C88" s="32">
        <f>840</f>
        <v>840</v>
      </c>
      <c r="D88" s="11">
        <f t="shared" si="1"/>
        <v>840</v>
      </c>
      <c r="E88" s="43"/>
      <c r="F88" s="6"/>
    </row>
    <row r="89" spans="1:6" s="3" customFormat="1" ht="169.5" customHeight="1">
      <c r="A89" s="12" t="s">
        <v>393</v>
      </c>
      <c r="B89" s="47" t="s">
        <v>389</v>
      </c>
      <c r="C89" s="32">
        <f>5900</f>
        <v>5900</v>
      </c>
      <c r="D89" s="32">
        <f t="shared" si="1"/>
        <v>5900</v>
      </c>
      <c r="E89" s="43"/>
      <c r="F89" s="6"/>
    </row>
    <row r="90" spans="1:6" s="3" customFormat="1" ht="102" customHeight="1">
      <c r="A90" s="12" t="s">
        <v>394</v>
      </c>
      <c r="B90" s="47" t="s">
        <v>390</v>
      </c>
      <c r="C90" s="32">
        <f>23597</f>
        <v>23597</v>
      </c>
      <c r="D90" s="32">
        <f t="shared" si="1"/>
        <v>23597</v>
      </c>
      <c r="E90" s="43"/>
      <c r="F90" s="6"/>
    </row>
    <row r="91" spans="1:6" s="3" customFormat="1" ht="193.5" customHeight="1">
      <c r="A91" s="12" t="s">
        <v>395</v>
      </c>
      <c r="B91" s="47" t="s">
        <v>391</v>
      </c>
      <c r="C91" s="32">
        <f>11799</f>
        <v>11799</v>
      </c>
      <c r="D91" s="32">
        <f t="shared" si="1"/>
        <v>11799</v>
      </c>
      <c r="E91" s="43"/>
      <c r="F91" s="6"/>
    </row>
    <row r="92" spans="1:6" s="3" customFormat="1" ht="33" customHeight="1">
      <c r="A92" s="42" t="s">
        <v>286</v>
      </c>
      <c r="B92" s="47" t="s">
        <v>347</v>
      </c>
      <c r="C92" s="32">
        <f>1100000-5800</f>
        <v>1094200</v>
      </c>
      <c r="D92" s="32">
        <f>C92</f>
        <v>1094200</v>
      </c>
      <c r="E92" s="43"/>
      <c r="F92" s="6"/>
    </row>
    <row r="93" spans="1:6" s="3" customFormat="1" ht="42" customHeight="1">
      <c r="A93" s="42" t="s">
        <v>317</v>
      </c>
      <c r="B93" s="16" t="s">
        <v>39</v>
      </c>
      <c r="C93" s="32">
        <f>1000000-4900</f>
        <v>995100</v>
      </c>
      <c r="D93" s="32">
        <f>C93</f>
        <v>995100</v>
      </c>
      <c r="E93" s="43"/>
      <c r="F93" s="6"/>
    </row>
    <row r="94" spans="1:6" s="3" customFormat="1" ht="34.5" customHeight="1">
      <c r="A94" s="42" t="s">
        <v>323</v>
      </c>
      <c r="B94" s="47" t="s">
        <v>347</v>
      </c>
      <c r="C94" s="32">
        <f>1500000-6679</f>
        <v>1493321</v>
      </c>
      <c r="D94" s="32">
        <f>C94</f>
        <v>1493321</v>
      </c>
      <c r="E94" s="43"/>
      <c r="F94" s="6"/>
    </row>
    <row r="95" spans="1:6" s="3" customFormat="1" ht="43.5" customHeight="1">
      <c r="A95" s="42" t="s">
        <v>348</v>
      </c>
      <c r="B95" s="47" t="s">
        <v>381</v>
      </c>
      <c r="C95" s="32">
        <f>824364</f>
        <v>824364</v>
      </c>
      <c r="D95" s="32">
        <f>C95</f>
        <v>824364</v>
      </c>
      <c r="E95" s="43"/>
      <c r="F95" s="6"/>
    </row>
    <row r="96" spans="1:5" s="21" customFormat="1" ht="46.5" customHeight="1">
      <c r="A96" s="16"/>
      <c r="B96" s="10" t="s">
        <v>392</v>
      </c>
      <c r="C96" s="17">
        <f>C34+C35+C36+C37+C38+C39+C40+C41+C42+C43+C45+C46+C47+C48+C49+C50+C51+C52+C92+C93+C94+C95</f>
        <v>133533137.42</v>
      </c>
      <c r="D96" s="17">
        <f aca="true" t="shared" si="2" ref="D96:D130">C96</f>
        <v>133533137.42</v>
      </c>
      <c r="E96" s="19"/>
    </row>
    <row r="97" spans="1:9" s="3" customFormat="1" ht="41.25" customHeight="1">
      <c r="A97" s="12" t="s">
        <v>16</v>
      </c>
      <c r="B97" s="10" t="s">
        <v>38</v>
      </c>
      <c r="C97" s="11">
        <v>105200</v>
      </c>
      <c r="D97" s="11">
        <f t="shared" si="2"/>
        <v>105200</v>
      </c>
      <c r="E97" s="56"/>
      <c r="G97" s="3" t="s">
        <v>43</v>
      </c>
      <c r="I97" s="3" t="s">
        <v>43</v>
      </c>
    </row>
    <row r="98" spans="1:5" s="3" customFormat="1" ht="20.25" customHeight="1">
      <c r="A98" s="12" t="s">
        <v>18</v>
      </c>
      <c r="B98" s="10" t="s">
        <v>41</v>
      </c>
      <c r="C98" s="11">
        <f>16154490-1999078.4</f>
        <v>14155411.6</v>
      </c>
      <c r="D98" s="11">
        <f t="shared" si="2"/>
        <v>14155411.6</v>
      </c>
      <c r="E98" s="56"/>
    </row>
    <row r="99" spans="1:5" s="3" customFormat="1" ht="21" customHeight="1">
      <c r="A99" s="12" t="s">
        <v>19</v>
      </c>
      <c r="B99" s="10" t="s">
        <v>26</v>
      </c>
      <c r="C99" s="11">
        <f>10000</f>
        <v>10000</v>
      </c>
      <c r="D99" s="11">
        <f t="shared" si="2"/>
        <v>10000</v>
      </c>
      <c r="E99" s="56"/>
    </row>
    <row r="100" spans="1:5" s="3" customFormat="1" ht="23.25" customHeight="1">
      <c r="A100" s="12"/>
      <c r="B100" s="10" t="s">
        <v>113</v>
      </c>
      <c r="C100" s="11">
        <f>C98+C99+C97</f>
        <v>14270611.6</v>
      </c>
      <c r="D100" s="11">
        <f t="shared" si="2"/>
        <v>14270611.6</v>
      </c>
      <c r="E100" s="56"/>
    </row>
    <row r="101" spans="1:5" s="3" customFormat="1" ht="39.75" customHeight="1">
      <c r="A101" s="12" t="s">
        <v>75</v>
      </c>
      <c r="B101" s="10" t="s">
        <v>21</v>
      </c>
      <c r="C101" s="11">
        <v>35000</v>
      </c>
      <c r="D101" s="11">
        <f t="shared" si="2"/>
        <v>35000</v>
      </c>
      <c r="E101" s="56"/>
    </row>
    <row r="102" spans="1:5" s="3" customFormat="1" ht="24" customHeight="1">
      <c r="A102" s="12"/>
      <c r="B102" s="10" t="s">
        <v>112</v>
      </c>
      <c r="C102" s="11">
        <f>C101</f>
        <v>35000</v>
      </c>
      <c r="D102" s="11">
        <f t="shared" si="2"/>
        <v>35000</v>
      </c>
      <c r="E102" s="56"/>
    </row>
    <row r="103" spans="1:5" s="3" customFormat="1" ht="59.25" customHeight="1">
      <c r="A103" s="12" t="s">
        <v>123</v>
      </c>
      <c r="B103" s="10" t="s">
        <v>134</v>
      </c>
      <c r="C103" s="11">
        <f>C104+C105+C106+C107+C108+C109+C110+C111+C112+C113+C114+C115+C116+C117+C118+C119+C120+C121+C122+C123</f>
        <v>508422.54</v>
      </c>
      <c r="D103" s="11">
        <f t="shared" si="2"/>
        <v>508422.54</v>
      </c>
      <c r="E103" s="56"/>
    </row>
    <row r="104" spans="1:5" s="3" customFormat="1" ht="51" customHeight="1">
      <c r="A104" s="12" t="s">
        <v>124</v>
      </c>
      <c r="B104" s="10" t="s">
        <v>125</v>
      </c>
      <c r="C104" s="11">
        <f>8651</f>
        <v>8651</v>
      </c>
      <c r="D104" s="11">
        <f t="shared" si="2"/>
        <v>8651</v>
      </c>
      <c r="E104" s="56"/>
    </row>
    <row r="105" spans="1:5" s="3" customFormat="1" ht="66" customHeight="1">
      <c r="A105" s="12" t="s">
        <v>137</v>
      </c>
      <c r="B105" s="33" t="s">
        <v>356</v>
      </c>
      <c r="C105" s="11">
        <f>180000</f>
        <v>180000</v>
      </c>
      <c r="D105" s="11">
        <f t="shared" si="2"/>
        <v>180000</v>
      </c>
      <c r="E105" s="56"/>
    </row>
    <row r="106" spans="1:5" s="3" customFormat="1" ht="58.5" customHeight="1">
      <c r="A106" s="12" t="s">
        <v>138</v>
      </c>
      <c r="B106" s="34" t="s">
        <v>355</v>
      </c>
      <c r="C106" s="11">
        <f>14720</f>
        <v>14720</v>
      </c>
      <c r="D106" s="11">
        <f t="shared" si="2"/>
        <v>14720</v>
      </c>
      <c r="E106" s="56"/>
    </row>
    <row r="107" spans="1:5" s="3" customFormat="1" ht="43.5" customHeight="1">
      <c r="A107" s="12" t="s">
        <v>139</v>
      </c>
      <c r="B107" s="34" t="s">
        <v>364</v>
      </c>
      <c r="C107" s="11">
        <f>11674.94</f>
        <v>11674.94</v>
      </c>
      <c r="D107" s="11">
        <f t="shared" si="2"/>
        <v>11674.94</v>
      </c>
      <c r="E107" s="56"/>
    </row>
    <row r="108" spans="1:5" s="3" customFormat="1" ht="43.5" customHeight="1">
      <c r="A108" s="12" t="s">
        <v>249</v>
      </c>
      <c r="B108" s="34" t="s">
        <v>287</v>
      </c>
      <c r="C108" s="11">
        <f>5000</f>
        <v>5000</v>
      </c>
      <c r="D108" s="11">
        <f t="shared" si="2"/>
        <v>5000</v>
      </c>
      <c r="E108" s="56"/>
    </row>
    <row r="109" spans="1:5" s="3" customFormat="1" ht="57" customHeight="1">
      <c r="A109" s="12" t="s">
        <v>274</v>
      </c>
      <c r="B109" s="34" t="s">
        <v>275</v>
      </c>
      <c r="C109" s="11">
        <v>70000</v>
      </c>
      <c r="D109" s="11">
        <f t="shared" si="2"/>
        <v>70000</v>
      </c>
      <c r="E109" s="56"/>
    </row>
    <row r="110" spans="1:5" s="3" customFormat="1" ht="45" customHeight="1">
      <c r="A110" s="12" t="s">
        <v>288</v>
      </c>
      <c r="B110" s="10" t="s">
        <v>291</v>
      </c>
      <c r="C110" s="11">
        <f>3661</f>
        <v>3661</v>
      </c>
      <c r="D110" s="11">
        <f t="shared" si="2"/>
        <v>3661</v>
      </c>
      <c r="E110" s="56"/>
    </row>
    <row r="111" spans="1:5" s="3" customFormat="1" ht="48.75" customHeight="1">
      <c r="A111" s="12" t="s">
        <v>289</v>
      </c>
      <c r="B111" s="10" t="s">
        <v>292</v>
      </c>
      <c r="C111" s="11">
        <f>3338</f>
        <v>3338</v>
      </c>
      <c r="D111" s="11">
        <f t="shared" si="2"/>
        <v>3338</v>
      </c>
      <c r="E111" s="56"/>
    </row>
    <row r="112" spans="1:5" s="3" customFormat="1" ht="41.25" customHeight="1">
      <c r="A112" s="12" t="s">
        <v>290</v>
      </c>
      <c r="B112" s="54" t="s">
        <v>357</v>
      </c>
      <c r="C112" s="11">
        <f>19733.6</f>
        <v>19733.6</v>
      </c>
      <c r="D112" s="11">
        <f t="shared" si="2"/>
        <v>19733.6</v>
      </c>
      <c r="E112" s="56"/>
    </row>
    <row r="113" spans="1:5" s="3" customFormat="1" ht="38.25" customHeight="1">
      <c r="A113" s="12" t="s">
        <v>294</v>
      </c>
      <c r="B113" s="54" t="s">
        <v>299</v>
      </c>
      <c r="C113" s="11">
        <f>8640</f>
        <v>8640</v>
      </c>
      <c r="D113" s="11">
        <f t="shared" si="2"/>
        <v>8640</v>
      </c>
      <c r="E113" s="56"/>
    </row>
    <row r="114" spans="1:5" s="3" customFormat="1" ht="57" customHeight="1">
      <c r="A114" s="12" t="s">
        <v>307</v>
      </c>
      <c r="B114" s="54" t="s">
        <v>358</v>
      </c>
      <c r="C114" s="11">
        <f>5000</f>
        <v>5000</v>
      </c>
      <c r="D114" s="11">
        <f t="shared" si="2"/>
        <v>5000</v>
      </c>
      <c r="E114" s="56"/>
    </row>
    <row r="115" spans="1:5" s="3" customFormat="1" ht="39.75" customHeight="1">
      <c r="A115" s="12" t="s">
        <v>308</v>
      </c>
      <c r="B115" s="54" t="s">
        <v>311</v>
      </c>
      <c r="C115" s="11">
        <f>7800-3900</f>
        <v>3900</v>
      </c>
      <c r="D115" s="11">
        <f t="shared" si="2"/>
        <v>3900</v>
      </c>
      <c r="E115" s="56"/>
    </row>
    <row r="116" spans="1:5" s="3" customFormat="1" ht="38.25" customHeight="1">
      <c r="A116" s="12" t="s">
        <v>309</v>
      </c>
      <c r="B116" s="54" t="s">
        <v>312</v>
      </c>
      <c r="C116" s="11">
        <f>1663</f>
        <v>1663</v>
      </c>
      <c r="D116" s="11">
        <f t="shared" si="2"/>
        <v>1663</v>
      </c>
      <c r="E116" s="56"/>
    </row>
    <row r="117" spans="1:5" s="3" customFormat="1" ht="41.25" customHeight="1">
      <c r="A117" s="12" t="s">
        <v>310</v>
      </c>
      <c r="B117" s="54" t="s">
        <v>314</v>
      </c>
      <c r="C117" s="11">
        <f>18200</f>
        <v>18200</v>
      </c>
      <c r="D117" s="11">
        <f t="shared" si="2"/>
        <v>18200</v>
      </c>
      <c r="E117" s="56"/>
    </row>
    <row r="118" spans="1:5" s="3" customFormat="1" ht="57" customHeight="1">
      <c r="A118" s="12" t="s">
        <v>313</v>
      </c>
      <c r="B118" s="54" t="s">
        <v>339</v>
      </c>
      <c r="C118" s="11">
        <f>10000</f>
        <v>10000</v>
      </c>
      <c r="D118" s="11">
        <f t="shared" si="2"/>
        <v>10000</v>
      </c>
      <c r="E118" s="56"/>
    </row>
    <row r="119" spans="1:5" s="3" customFormat="1" ht="41.25" customHeight="1">
      <c r="A119" s="12" t="s">
        <v>338</v>
      </c>
      <c r="B119" s="54" t="s">
        <v>340</v>
      </c>
      <c r="C119" s="11">
        <f>20400+6000</f>
        <v>26400</v>
      </c>
      <c r="D119" s="11">
        <f t="shared" si="2"/>
        <v>26400</v>
      </c>
      <c r="E119" s="56"/>
    </row>
    <row r="120" spans="1:5" s="3" customFormat="1" ht="57" customHeight="1">
      <c r="A120" s="12" t="s">
        <v>359</v>
      </c>
      <c r="B120" s="54" t="s">
        <v>365</v>
      </c>
      <c r="C120" s="11">
        <f>9750</f>
        <v>9750</v>
      </c>
      <c r="D120" s="11">
        <f t="shared" si="2"/>
        <v>9750</v>
      </c>
      <c r="E120" s="56"/>
    </row>
    <row r="121" spans="1:5" s="3" customFormat="1" ht="38.25" customHeight="1">
      <c r="A121" s="12" t="s">
        <v>360</v>
      </c>
      <c r="B121" s="54" t="s">
        <v>396</v>
      </c>
      <c r="C121" s="11">
        <f>27250</f>
        <v>27250</v>
      </c>
      <c r="D121" s="11">
        <f t="shared" si="2"/>
        <v>27250</v>
      </c>
      <c r="E121" s="56"/>
    </row>
    <row r="122" spans="1:5" s="3" customFormat="1" ht="39.75" customHeight="1">
      <c r="A122" s="12" t="s">
        <v>361</v>
      </c>
      <c r="B122" s="54" t="s">
        <v>363</v>
      </c>
      <c r="C122" s="11">
        <f>36000+13841</f>
        <v>49841</v>
      </c>
      <c r="D122" s="11">
        <f>C122</f>
        <v>49841</v>
      </c>
      <c r="E122" s="56"/>
    </row>
    <row r="123" spans="1:5" s="3" customFormat="1" ht="60.75" customHeight="1">
      <c r="A123" s="12" t="s">
        <v>362</v>
      </c>
      <c r="B123" s="54" t="s">
        <v>380</v>
      </c>
      <c r="C123" s="11">
        <f>31000</f>
        <v>31000</v>
      </c>
      <c r="D123" s="11">
        <f>C123</f>
        <v>31000</v>
      </c>
      <c r="E123" s="56"/>
    </row>
    <row r="124" spans="1:5" s="3" customFormat="1" ht="24" customHeight="1">
      <c r="A124" s="12"/>
      <c r="B124" s="10" t="s">
        <v>293</v>
      </c>
      <c r="C124" s="11">
        <f>C103</f>
        <v>508422.54</v>
      </c>
      <c r="D124" s="11">
        <f t="shared" si="2"/>
        <v>508422.54</v>
      </c>
      <c r="E124" s="56"/>
    </row>
    <row r="125" spans="1:5" s="3" customFormat="1" ht="45.75" customHeight="1">
      <c r="A125" s="12" t="s">
        <v>318</v>
      </c>
      <c r="B125" s="55" t="s">
        <v>342</v>
      </c>
      <c r="C125" s="11">
        <f>C126+C127+C128</f>
        <v>68047</v>
      </c>
      <c r="D125" s="11">
        <f t="shared" si="2"/>
        <v>68047</v>
      </c>
      <c r="E125" s="56"/>
    </row>
    <row r="126" spans="1:5" s="3" customFormat="1" ht="23.25" customHeight="1">
      <c r="A126" s="12" t="s">
        <v>343</v>
      </c>
      <c r="B126" s="10" t="s">
        <v>384</v>
      </c>
      <c r="C126" s="11">
        <f>37970</f>
        <v>37970</v>
      </c>
      <c r="D126" s="11">
        <f t="shared" si="2"/>
        <v>37970</v>
      </c>
      <c r="E126" s="56"/>
    </row>
    <row r="127" spans="1:5" s="3" customFormat="1" ht="32.25" customHeight="1">
      <c r="A127" s="12" t="s">
        <v>344</v>
      </c>
      <c r="B127" s="10" t="s">
        <v>322</v>
      </c>
      <c r="C127" s="11">
        <f>10757</f>
        <v>10757</v>
      </c>
      <c r="D127" s="11">
        <f t="shared" si="2"/>
        <v>10757</v>
      </c>
      <c r="E127" s="56"/>
    </row>
    <row r="128" spans="1:5" s="3" customFormat="1" ht="30" customHeight="1">
      <c r="A128" s="12" t="s">
        <v>345</v>
      </c>
      <c r="B128" s="10" t="s">
        <v>319</v>
      </c>
      <c r="C128" s="11">
        <f>19320</f>
        <v>19320</v>
      </c>
      <c r="D128" s="11">
        <f t="shared" si="2"/>
        <v>19320</v>
      </c>
      <c r="E128" s="56"/>
    </row>
    <row r="129" spans="1:5" s="3" customFormat="1" ht="28.5" customHeight="1">
      <c r="A129" s="12"/>
      <c r="B129" s="10" t="s">
        <v>385</v>
      </c>
      <c r="C129" s="11">
        <f>C126+C127+C128</f>
        <v>68047</v>
      </c>
      <c r="D129" s="11">
        <f t="shared" si="2"/>
        <v>68047</v>
      </c>
      <c r="E129" s="56"/>
    </row>
    <row r="130" spans="1:7" s="3" customFormat="1" ht="21.75" customHeight="1">
      <c r="A130" s="12"/>
      <c r="B130" s="10" t="s">
        <v>78</v>
      </c>
      <c r="C130" s="11">
        <f>C96+C100+C102+C32+C103+C129</f>
        <v>160610327.54</v>
      </c>
      <c r="D130" s="11">
        <f t="shared" si="2"/>
        <v>160610327.54</v>
      </c>
      <c r="E130" s="56"/>
      <c r="G130" s="6"/>
    </row>
    <row r="131" spans="1:7" s="3" customFormat="1" ht="25.5" customHeight="1">
      <c r="A131" s="67" t="s">
        <v>29</v>
      </c>
      <c r="B131" s="67"/>
      <c r="C131" s="67"/>
      <c r="D131" s="67"/>
      <c r="E131" s="67"/>
      <c r="G131" s="6"/>
    </row>
    <row r="132" spans="1:7" s="7" customFormat="1" ht="39" customHeight="1">
      <c r="A132" s="12" t="s">
        <v>3</v>
      </c>
      <c r="B132" s="10" t="s">
        <v>108</v>
      </c>
      <c r="C132" s="11">
        <f>30000000-2572402-2262606-1368457-177036</f>
        <v>23619499</v>
      </c>
      <c r="D132" s="11"/>
      <c r="E132" s="17">
        <f aca="true" t="shared" si="3" ref="E132:E198">C132</f>
        <v>23619499</v>
      </c>
      <c r="F132" s="22">
        <f>C133+C134+C135+C136+C137+C138+C139+C140+C141+C142+C143+C144+C145+C146+C147+C148</f>
        <v>23619499</v>
      </c>
      <c r="G132" s="8"/>
    </row>
    <row r="133" spans="1:7" s="7" customFormat="1" ht="63" customHeight="1">
      <c r="A133" s="12" t="s">
        <v>17</v>
      </c>
      <c r="B133" s="10" t="s">
        <v>366</v>
      </c>
      <c r="C133" s="11">
        <f>535365</f>
        <v>535365</v>
      </c>
      <c r="D133" s="11"/>
      <c r="E133" s="17">
        <f t="shared" si="3"/>
        <v>535365</v>
      </c>
      <c r="G133" s="8"/>
    </row>
    <row r="134" spans="1:7" s="7" customFormat="1" ht="48" customHeight="1">
      <c r="A134" s="12" t="s">
        <v>115</v>
      </c>
      <c r="B134" s="10" t="s">
        <v>367</v>
      </c>
      <c r="C134" s="11">
        <f>180550-13119</f>
        <v>167431</v>
      </c>
      <c r="D134" s="11"/>
      <c r="E134" s="17">
        <f t="shared" si="3"/>
        <v>167431</v>
      </c>
      <c r="G134" s="8"/>
    </row>
    <row r="135" spans="1:7" s="7" customFormat="1" ht="44.25" customHeight="1">
      <c r="A135" s="12" t="s">
        <v>198</v>
      </c>
      <c r="B135" s="10" t="s">
        <v>368</v>
      </c>
      <c r="C135" s="11">
        <f>1957641-594680-158197</f>
        <v>1204764</v>
      </c>
      <c r="D135" s="11"/>
      <c r="E135" s="17">
        <f t="shared" si="3"/>
        <v>1204764</v>
      </c>
      <c r="G135" s="8"/>
    </row>
    <row r="136" spans="1:7" s="7" customFormat="1" ht="45.75" customHeight="1">
      <c r="A136" s="12" t="s">
        <v>199</v>
      </c>
      <c r="B136" s="10" t="s">
        <v>369</v>
      </c>
      <c r="C136" s="11">
        <f>1729944-363940-166163</f>
        <v>1199841</v>
      </c>
      <c r="D136" s="11"/>
      <c r="E136" s="17">
        <f t="shared" si="3"/>
        <v>1199841</v>
      </c>
      <c r="G136" s="8"/>
    </row>
    <row r="137" spans="1:7" s="7" customFormat="1" ht="60" customHeight="1">
      <c r="A137" s="12" t="s">
        <v>200</v>
      </c>
      <c r="B137" s="10" t="s">
        <v>370</v>
      </c>
      <c r="C137" s="11">
        <f>1612983-178330-164256</f>
        <v>1270397</v>
      </c>
      <c r="D137" s="11"/>
      <c r="E137" s="17">
        <f t="shared" si="3"/>
        <v>1270397</v>
      </c>
      <c r="G137" s="8"/>
    </row>
    <row r="138" spans="1:7" s="7" customFormat="1" ht="46.5" customHeight="1">
      <c r="A138" s="12" t="s">
        <v>201</v>
      </c>
      <c r="B138" s="10" t="s">
        <v>371</v>
      </c>
      <c r="C138" s="11">
        <f>1690082-490930-156741</f>
        <v>1042411</v>
      </c>
      <c r="D138" s="11"/>
      <c r="E138" s="17">
        <f t="shared" si="3"/>
        <v>1042411</v>
      </c>
      <c r="G138" s="8"/>
    </row>
    <row r="139" spans="1:7" s="7" customFormat="1" ht="64.5" customHeight="1">
      <c r="A139" s="12" t="s">
        <v>202</v>
      </c>
      <c r="B139" s="10" t="s">
        <v>203</v>
      </c>
      <c r="C139" s="11">
        <f>1501403-145000-173753-85110</f>
        <v>1097540</v>
      </c>
      <c r="D139" s="11"/>
      <c r="E139" s="17">
        <f t="shared" si="3"/>
        <v>1097540</v>
      </c>
      <c r="G139" s="8"/>
    </row>
    <row r="140" spans="1:7" s="7" customFormat="1" ht="48" customHeight="1">
      <c r="A140" s="12" t="s">
        <v>204</v>
      </c>
      <c r="B140" s="10" t="s">
        <v>205</v>
      </c>
      <c r="C140" s="11">
        <f>2258442-200000-76905-168985</f>
        <v>1812552</v>
      </c>
      <c r="D140" s="11"/>
      <c r="E140" s="17">
        <f t="shared" si="3"/>
        <v>1812552</v>
      </c>
      <c r="G140" s="8"/>
    </row>
    <row r="141" spans="1:7" s="7" customFormat="1" ht="44.25" customHeight="1">
      <c r="A141" s="12" t="s">
        <v>206</v>
      </c>
      <c r="B141" s="10" t="s">
        <v>372</v>
      </c>
      <c r="C141" s="11">
        <f>1190812-110000-98877-89854</f>
        <v>892081</v>
      </c>
      <c r="D141" s="11"/>
      <c r="E141" s="17">
        <f t="shared" si="3"/>
        <v>892081</v>
      </c>
      <c r="G141" s="8"/>
    </row>
    <row r="142" spans="1:7" s="7" customFormat="1" ht="62.25" customHeight="1">
      <c r="A142" s="12" t="s">
        <v>241</v>
      </c>
      <c r="B142" s="10" t="s">
        <v>243</v>
      </c>
      <c r="C142" s="11">
        <f>4085913-370000-2572402-1051000</f>
        <v>92511</v>
      </c>
      <c r="D142" s="11"/>
      <c r="E142" s="17">
        <f t="shared" si="3"/>
        <v>92511</v>
      </c>
      <c r="G142" s="8"/>
    </row>
    <row r="143" spans="1:7" s="7" customFormat="1" ht="68.25" customHeight="1">
      <c r="A143" s="12" t="s">
        <v>242</v>
      </c>
      <c r="B143" s="35" t="s">
        <v>250</v>
      </c>
      <c r="C143" s="11">
        <f>3962000</f>
        <v>3962000</v>
      </c>
      <c r="D143" s="11"/>
      <c r="E143" s="17">
        <f t="shared" si="3"/>
        <v>3962000</v>
      </c>
      <c r="G143" s="8"/>
    </row>
    <row r="144" spans="1:7" s="7" customFormat="1" ht="63" customHeight="1">
      <c r="A144" s="12" t="s">
        <v>278</v>
      </c>
      <c r="B144" s="10" t="s">
        <v>283</v>
      </c>
      <c r="C144" s="11">
        <f>2518512</f>
        <v>2518512</v>
      </c>
      <c r="D144" s="11"/>
      <c r="E144" s="17">
        <f t="shared" si="3"/>
        <v>2518512</v>
      </c>
      <c r="G144" s="8"/>
    </row>
    <row r="145" spans="1:7" s="7" customFormat="1" ht="63.75" customHeight="1">
      <c r="A145" s="12" t="s">
        <v>279</v>
      </c>
      <c r="B145" s="10" t="s">
        <v>284</v>
      </c>
      <c r="C145" s="11">
        <f>3184133</f>
        <v>3184133</v>
      </c>
      <c r="D145" s="11"/>
      <c r="E145" s="17">
        <f t="shared" si="3"/>
        <v>3184133</v>
      </c>
      <c r="G145" s="8"/>
    </row>
    <row r="146" spans="1:7" s="7" customFormat="1" ht="59.25" customHeight="1">
      <c r="A146" s="12" t="s">
        <v>280</v>
      </c>
      <c r="B146" s="10" t="s">
        <v>281</v>
      </c>
      <c r="C146" s="11">
        <f>1325392-209181+29761</f>
        <v>1145972</v>
      </c>
      <c r="D146" s="11"/>
      <c r="E146" s="17">
        <f t="shared" si="3"/>
        <v>1145972</v>
      </c>
      <c r="G146" s="8"/>
    </row>
    <row r="147" spans="1:7" s="7" customFormat="1" ht="68.25" customHeight="1">
      <c r="A147" s="12" t="s">
        <v>282</v>
      </c>
      <c r="B147" s="10" t="s">
        <v>285</v>
      </c>
      <c r="C147" s="11">
        <f>2704600-437772-29761-1368457</f>
        <v>868610</v>
      </c>
      <c r="D147" s="11"/>
      <c r="E147" s="17">
        <f t="shared" si="3"/>
        <v>868610</v>
      </c>
      <c r="G147" s="8"/>
    </row>
    <row r="148" spans="1:7" s="7" customFormat="1" ht="63.75" customHeight="1">
      <c r="A148" s="12" t="s">
        <v>302</v>
      </c>
      <c r="B148" s="10" t="s">
        <v>303</v>
      </c>
      <c r="C148" s="11">
        <f>825000+1977415-177036</f>
        <v>2625379</v>
      </c>
      <c r="D148" s="11"/>
      <c r="E148" s="17">
        <f t="shared" si="3"/>
        <v>2625379</v>
      </c>
      <c r="G148" s="8"/>
    </row>
    <row r="149" spans="1:7" s="7" customFormat="1" ht="47.25" customHeight="1">
      <c r="A149" s="12" t="s">
        <v>4</v>
      </c>
      <c r="B149" s="10" t="s">
        <v>117</v>
      </c>
      <c r="C149" s="11">
        <f>11000000-500000-546000-4906000-68702-453330+311235-207920</f>
        <v>4629283</v>
      </c>
      <c r="D149" s="11"/>
      <c r="E149" s="11">
        <f aca="true" t="shared" si="4" ref="E149:E170">C149</f>
        <v>4629283</v>
      </c>
      <c r="F149" s="49">
        <f>C150+C151+C152+C153+C154+C155+C156+C157+C158+C159+C160+C161+C162+C163+C164+C165+C166+C167+C168+C169+C170</f>
        <v>4629283</v>
      </c>
      <c r="G149" s="8"/>
    </row>
    <row r="150" spans="1:7" s="7" customFormat="1" ht="44.25" customHeight="1">
      <c r="A150" s="12" t="s">
        <v>140</v>
      </c>
      <c r="B150" s="10" t="s">
        <v>251</v>
      </c>
      <c r="C150" s="11">
        <f>312410-14600</f>
        <v>297810</v>
      </c>
      <c r="D150" s="11"/>
      <c r="E150" s="11">
        <f t="shared" si="4"/>
        <v>297810</v>
      </c>
      <c r="G150" s="8"/>
    </row>
    <row r="151" spans="1:7" s="7" customFormat="1" ht="42.75" customHeight="1">
      <c r="A151" s="12" t="s">
        <v>141</v>
      </c>
      <c r="B151" s="10" t="s">
        <v>252</v>
      </c>
      <c r="C151" s="11">
        <f>232093-7000-4340</f>
        <v>220753</v>
      </c>
      <c r="D151" s="11"/>
      <c r="E151" s="11">
        <f t="shared" si="4"/>
        <v>220753</v>
      </c>
      <c r="G151" s="8"/>
    </row>
    <row r="152" spans="1:7" s="7" customFormat="1" ht="42.75" customHeight="1">
      <c r="A152" s="12" t="s">
        <v>142</v>
      </c>
      <c r="B152" s="10" t="s">
        <v>253</v>
      </c>
      <c r="C152" s="11">
        <f>232093-2904-7000-4340</f>
        <v>217849</v>
      </c>
      <c r="D152" s="11"/>
      <c r="E152" s="11">
        <f t="shared" si="4"/>
        <v>217849</v>
      </c>
      <c r="G152" s="8"/>
    </row>
    <row r="153" spans="1:7" s="7" customFormat="1" ht="44.25" customHeight="1">
      <c r="A153" s="12" t="s">
        <v>143</v>
      </c>
      <c r="B153" s="10" t="s">
        <v>254</v>
      </c>
      <c r="C153" s="11">
        <f>312410-2904-16350-280366</f>
        <v>12790</v>
      </c>
      <c r="D153" s="11"/>
      <c r="E153" s="11">
        <f t="shared" si="4"/>
        <v>12790</v>
      </c>
      <c r="G153" s="8"/>
    </row>
    <row r="154" spans="1:7" s="7" customFormat="1" ht="42.75" customHeight="1">
      <c r="A154" s="12" t="s">
        <v>144</v>
      </c>
      <c r="B154" s="10" t="s">
        <v>255</v>
      </c>
      <c r="C154" s="11">
        <f>312410-2904-16350</f>
        <v>293156</v>
      </c>
      <c r="D154" s="11"/>
      <c r="E154" s="11">
        <f t="shared" si="4"/>
        <v>293156</v>
      </c>
      <c r="G154" s="8"/>
    </row>
    <row r="155" spans="1:7" s="7" customFormat="1" ht="63.75" customHeight="1">
      <c r="A155" s="12" t="s">
        <v>145</v>
      </c>
      <c r="B155" s="10" t="s">
        <v>341</v>
      </c>
      <c r="C155" s="11">
        <f>232093-7000-10950+85500</f>
        <v>299643</v>
      </c>
      <c r="D155" s="11"/>
      <c r="E155" s="11">
        <f t="shared" si="4"/>
        <v>299643</v>
      </c>
      <c r="G155" s="8"/>
    </row>
    <row r="156" spans="1:7" s="7" customFormat="1" ht="62.25" customHeight="1">
      <c r="A156" s="12" t="s">
        <v>146</v>
      </c>
      <c r="B156" s="10" t="s">
        <v>256</v>
      </c>
      <c r="C156" s="11">
        <f>312410-2904-16200</f>
        <v>293306</v>
      </c>
      <c r="D156" s="11"/>
      <c r="E156" s="11">
        <f t="shared" si="4"/>
        <v>293306</v>
      </c>
      <c r="G156" s="8"/>
    </row>
    <row r="157" spans="1:7" s="7" customFormat="1" ht="62.25" customHeight="1">
      <c r="A157" s="12" t="s">
        <v>147</v>
      </c>
      <c r="B157" s="10" t="s">
        <v>257</v>
      </c>
      <c r="C157" s="11">
        <f>232093-2904-7000-4300</f>
        <v>217889</v>
      </c>
      <c r="D157" s="11"/>
      <c r="E157" s="11">
        <f t="shared" si="4"/>
        <v>217889</v>
      </c>
      <c r="G157" s="8"/>
    </row>
    <row r="158" spans="1:7" s="7" customFormat="1" ht="45" customHeight="1">
      <c r="A158" s="12" t="s">
        <v>148</v>
      </c>
      <c r="B158" s="10" t="s">
        <v>258</v>
      </c>
      <c r="C158" s="11">
        <f>232093-2904-7000-4340</f>
        <v>217849</v>
      </c>
      <c r="D158" s="11"/>
      <c r="E158" s="11">
        <f t="shared" si="4"/>
        <v>217849</v>
      </c>
      <c r="G158" s="8"/>
    </row>
    <row r="159" spans="1:7" s="7" customFormat="1" ht="62.25" customHeight="1">
      <c r="A159" s="12" t="s">
        <v>149</v>
      </c>
      <c r="B159" s="10" t="s">
        <v>259</v>
      </c>
      <c r="C159" s="11">
        <f>232093-7000-11090-207920</f>
        <v>6083</v>
      </c>
      <c r="D159" s="11"/>
      <c r="E159" s="11">
        <f t="shared" si="4"/>
        <v>6083</v>
      </c>
      <c r="G159" s="8"/>
    </row>
    <row r="160" spans="1:7" s="7" customFormat="1" ht="45" customHeight="1">
      <c r="A160" s="12" t="s">
        <v>150</v>
      </c>
      <c r="B160" s="10" t="s">
        <v>260</v>
      </c>
      <c r="C160" s="11">
        <f>232093-2904-7000-4340</f>
        <v>217849</v>
      </c>
      <c r="D160" s="11"/>
      <c r="E160" s="11">
        <f t="shared" si="4"/>
        <v>217849</v>
      </c>
      <c r="G160" s="8"/>
    </row>
    <row r="161" spans="1:7" s="7" customFormat="1" ht="45" customHeight="1">
      <c r="A161" s="12" t="s">
        <v>151</v>
      </c>
      <c r="B161" s="10" t="s">
        <v>261</v>
      </c>
      <c r="C161" s="11">
        <f>232093-2904-7000-4340</f>
        <v>217849</v>
      </c>
      <c r="D161" s="11"/>
      <c r="E161" s="11">
        <f t="shared" si="4"/>
        <v>217849</v>
      </c>
      <c r="G161" s="8"/>
    </row>
    <row r="162" spans="1:7" s="7" customFormat="1" ht="45" customHeight="1">
      <c r="A162" s="12" t="s">
        <v>152</v>
      </c>
      <c r="B162" s="10" t="s">
        <v>262</v>
      </c>
      <c r="C162" s="11">
        <f>232093-2904-7000-4340</f>
        <v>217849</v>
      </c>
      <c r="D162" s="11"/>
      <c r="E162" s="11">
        <f t="shared" si="4"/>
        <v>217849</v>
      </c>
      <c r="G162" s="8"/>
    </row>
    <row r="163" spans="1:7" s="7" customFormat="1" ht="45" customHeight="1">
      <c r="A163" s="12" t="s">
        <v>153</v>
      </c>
      <c r="B163" s="10" t="s">
        <v>263</v>
      </c>
      <c r="C163" s="11">
        <f>232093-2904-7000-4340</f>
        <v>217849</v>
      </c>
      <c r="D163" s="11"/>
      <c r="E163" s="11">
        <f t="shared" si="4"/>
        <v>217849</v>
      </c>
      <c r="G163" s="8"/>
    </row>
    <row r="164" spans="1:7" s="7" customFormat="1" ht="60.75" customHeight="1">
      <c r="A164" s="12" t="s">
        <v>154</v>
      </c>
      <c r="B164" s="10" t="s">
        <v>264</v>
      </c>
      <c r="C164" s="11">
        <f>232093-2904-7000-4340</f>
        <v>217849</v>
      </c>
      <c r="D164" s="11"/>
      <c r="E164" s="11">
        <f t="shared" si="4"/>
        <v>217849</v>
      </c>
      <c r="G164" s="8"/>
    </row>
    <row r="165" spans="1:7" s="7" customFormat="1" ht="60.75" customHeight="1">
      <c r="A165" s="12" t="s">
        <v>155</v>
      </c>
      <c r="B165" s="10" t="s">
        <v>265</v>
      </c>
      <c r="C165" s="11">
        <f>312410-2904-16200</f>
        <v>293306</v>
      </c>
      <c r="D165" s="11"/>
      <c r="E165" s="11">
        <f t="shared" si="4"/>
        <v>293306</v>
      </c>
      <c r="G165" s="8"/>
    </row>
    <row r="166" spans="1:7" s="7" customFormat="1" ht="45" customHeight="1">
      <c r="A166" s="12" t="s">
        <v>156</v>
      </c>
      <c r="B166" s="10" t="s">
        <v>266</v>
      </c>
      <c r="C166" s="11">
        <f>232093-2904-7000-4340</f>
        <v>217849</v>
      </c>
      <c r="D166" s="11"/>
      <c r="E166" s="11">
        <f t="shared" si="4"/>
        <v>217849</v>
      </c>
      <c r="G166" s="8"/>
    </row>
    <row r="167" spans="1:7" s="7" customFormat="1" ht="60.75" customHeight="1">
      <c r="A167" s="12" t="s">
        <v>157</v>
      </c>
      <c r="B167" s="10" t="s">
        <v>267</v>
      </c>
      <c r="C167" s="11">
        <f>232093-2904-7000-4340</f>
        <v>217849</v>
      </c>
      <c r="D167" s="11"/>
      <c r="E167" s="11">
        <f t="shared" si="4"/>
        <v>217849</v>
      </c>
      <c r="G167" s="8"/>
    </row>
    <row r="168" spans="1:7" s="7" customFormat="1" ht="46.5" customHeight="1">
      <c r="A168" s="12" t="s">
        <v>158</v>
      </c>
      <c r="B168" s="10" t="s">
        <v>269</v>
      </c>
      <c r="C168" s="11">
        <f>312410-2904-91650</f>
        <v>217856</v>
      </c>
      <c r="D168" s="11"/>
      <c r="E168" s="11">
        <f t="shared" si="4"/>
        <v>217856</v>
      </c>
      <c r="G168" s="8"/>
    </row>
    <row r="169" spans="1:7" s="7" customFormat="1" ht="46.5" customHeight="1">
      <c r="A169" s="12" t="s">
        <v>320</v>
      </c>
      <c r="B169" s="10" t="s">
        <v>321</v>
      </c>
      <c r="C169" s="11">
        <f>221150</f>
        <v>221150</v>
      </c>
      <c r="D169" s="11"/>
      <c r="E169" s="11">
        <f t="shared" si="4"/>
        <v>221150</v>
      </c>
      <c r="G169" s="8"/>
    </row>
    <row r="170" spans="1:7" s="7" customFormat="1" ht="64.5" customHeight="1">
      <c r="A170" s="12" t="s">
        <v>324</v>
      </c>
      <c r="B170" s="10" t="s">
        <v>325</v>
      </c>
      <c r="C170" s="11">
        <f>294900</f>
        <v>294900</v>
      </c>
      <c r="D170" s="11"/>
      <c r="E170" s="11">
        <f t="shared" si="4"/>
        <v>294900</v>
      </c>
      <c r="G170" s="8"/>
    </row>
    <row r="171" spans="1:7" s="7" customFormat="1" ht="31.5" customHeight="1">
      <c r="A171" s="12" t="s">
        <v>5</v>
      </c>
      <c r="B171" s="10" t="s">
        <v>79</v>
      </c>
      <c r="C171" s="11">
        <f>2000000+155548-117210</f>
        <v>2038338</v>
      </c>
      <c r="D171" s="11"/>
      <c r="E171" s="11">
        <f t="shared" si="3"/>
        <v>2038338</v>
      </c>
      <c r="F171" s="22">
        <f>C172+C173+C174+C175+C176+C177+C178+C179+C180+C181+C182+C183+C184+C185+C186+C187+C188+C189+C190+C191</f>
        <v>2038338</v>
      </c>
      <c r="G171" s="8"/>
    </row>
    <row r="172" spans="1:7" s="39" customFormat="1" ht="56.25" customHeight="1">
      <c r="A172" s="12" t="s">
        <v>159</v>
      </c>
      <c r="B172" s="20" t="s">
        <v>168</v>
      </c>
      <c r="C172" s="11">
        <f>91330-3240-10460</f>
        <v>77630</v>
      </c>
      <c r="D172" s="11"/>
      <c r="E172" s="11">
        <f t="shared" si="3"/>
        <v>77630</v>
      </c>
      <c r="F172" s="41"/>
      <c r="G172" s="40"/>
    </row>
    <row r="173" spans="1:7" s="39" customFormat="1" ht="45.75" customHeight="1">
      <c r="A173" s="12" t="s">
        <v>160</v>
      </c>
      <c r="B173" s="20" t="s">
        <v>167</v>
      </c>
      <c r="C173" s="11">
        <f>91330-3240-8630</f>
        <v>79460</v>
      </c>
      <c r="D173" s="11"/>
      <c r="E173" s="11">
        <f t="shared" si="3"/>
        <v>79460</v>
      </c>
      <c r="F173" s="41"/>
      <c r="G173" s="40"/>
    </row>
    <row r="174" spans="1:7" s="39" customFormat="1" ht="45.75" customHeight="1">
      <c r="A174" s="12" t="s">
        <v>161</v>
      </c>
      <c r="B174" s="10" t="s">
        <v>166</v>
      </c>
      <c r="C174" s="11">
        <f>91330-3240-11070</f>
        <v>77020</v>
      </c>
      <c r="D174" s="11"/>
      <c r="E174" s="11">
        <f t="shared" si="3"/>
        <v>77020</v>
      </c>
      <c r="F174" s="41"/>
      <c r="G174" s="40"/>
    </row>
    <row r="175" spans="1:7" s="39" customFormat="1" ht="41.25" customHeight="1">
      <c r="A175" s="12" t="s">
        <v>162</v>
      </c>
      <c r="B175" s="10" t="s">
        <v>165</v>
      </c>
      <c r="C175" s="11">
        <f>91330-10860</f>
        <v>80470</v>
      </c>
      <c r="D175" s="11"/>
      <c r="E175" s="11">
        <f t="shared" si="3"/>
        <v>80470</v>
      </c>
      <c r="F175" s="41"/>
      <c r="G175" s="40"/>
    </row>
    <row r="176" spans="1:7" s="39" customFormat="1" ht="42" customHeight="1">
      <c r="A176" s="12" t="s">
        <v>163</v>
      </c>
      <c r="B176" s="10" t="s">
        <v>164</v>
      </c>
      <c r="C176" s="11">
        <f>91330-3240-11120</f>
        <v>76970</v>
      </c>
      <c r="D176" s="11"/>
      <c r="E176" s="11">
        <f t="shared" si="3"/>
        <v>76970</v>
      </c>
      <c r="F176" s="41"/>
      <c r="G176" s="40"/>
    </row>
    <row r="177" spans="1:7" s="39" customFormat="1" ht="43.5" customHeight="1">
      <c r="A177" s="12" t="s">
        <v>169</v>
      </c>
      <c r="B177" s="10" t="s">
        <v>175</v>
      </c>
      <c r="C177" s="11">
        <f>91330-3240-10705</f>
        <v>77385</v>
      </c>
      <c r="D177" s="32"/>
      <c r="E177" s="11">
        <f t="shared" si="3"/>
        <v>77385</v>
      </c>
      <c r="F177" s="41"/>
      <c r="G177" s="40"/>
    </row>
    <row r="178" spans="1:7" s="39" customFormat="1" ht="62.25" customHeight="1">
      <c r="A178" s="12" t="s">
        <v>170</v>
      </c>
      <c r="B178" s="10" t="s">
        <v>176</v>
      </c>
      <c r="C178" s="48">
        <f>182660-26315</f>
        <v>156345</v>
      </c>
      <c r="D178" s="32"/>
      <c r="E178" s="11">
        <f t="shared" si="3"/>
        <v>156345</v>
      </c>
      <c r="F178" s="41"/>
      <c r="G178" s="40"/>
    </row>
    <row r="179" spans="1:7" s="39" customFormat="1" ht="49.5" customHeight="1">
      <c r="A179" s="12" t="s">
        <v>171</v>
      </c>
      <c r="B179" s="10" t="s">
        <v>184</v>
      </c>
      <c r="C179" s="32">
        <f>91330-3240-7955</f>
        <v>80135</v>
      </c>
      <c r="D179" s="32"/>
      <c r="E179" s="11">
        <f t="shared" si="3"/>
        <v>80135</v>
      </c>
      <c r="F179" s="41"/>
      <c r="G179" s="40"/>
    </row>
    <row r="180" spans="1:7" s="39" customFormat="1" ht="39" customHeight="1">
      <c r="A180" s="12" t="s">
        <v>172</v>
      </c>
      <c r="B180" s="10" t="s">
        <v>183</v>
      </c>
      <c r="C180" s="32">
        <f>91330-3240-7589</f>
        <v>80501</v>
      </c>
      <c r="D180" s="32"/>
      <c r="E180" s="11">
        <f t="shared" si="3"/>
        <v>80501</v>
      </c>
      <c r="F180" s="41"/>
      <c r="G180" s="40"/>
    </row>
    <row r="181" spans="1:7" s="39" customFormat="1" ht="39.75" customHeight="1">
      <c r="A181" s="12" t="s">
        <v>173</v>
      </c>
      <c r="B181" s="10" t="s">
        <v>209</v>
      </c>
      <c r="C181" s="32">
        <f>91330-3240-11330</f>
        <v>76760</v>
      </c>
      <c r="D181" s="32"/>
      <c r="E181" s="11">
        <f t="shared" si="3"/>
        <v>76760</v>
      </c>
      <c r="F181" s="41"/>
      <c r="G181" s="40"/>
    </row>
    <row r="182" spans="1:7" s="39" customFormat="1" ht="47.25" customHeight="1">
      <c r="A182" s="12" t="s">
        <v>174</v>
      </c>
      <c r="B182" s="10" t="s">
        <v>379</v>
      </c>
      <c r="C182" s="32">
        <f>273990-37690</f>
        <v>236300</v>
      </c>
      <c r="D182" s="32"/>
      <c r="E182" s="11">
        <f t="shared" si="3"/>
        <v>236300</v>
      </c>
      <c r="F182" s="41"/>
      <c r="G182" s="40"/>
    </row>
    <row r="183" spans="1:7" s="39" customFormat="1" ht="45" customHeight="1">
      <c r="A183" s="12" t="s">
        <v>177</v>
      </c>
      <c r="B183" s="10" t="s">
        <v>378</v>
      </c>
      <c r="C183" s="32">
        <f>182660-3240-30705</f>
        <v>148715</v>
      </c>
      <c r="D183" s="32"/>
      <c r="E183" s="11">
        <f t="shared" si="3"/>
        <v>148715</v>
      </c>
      <c r="F183" s="41"/>
      <c r="G183" s="40"/>
    </row>
    <row r="184" spans="1:7" s="39" customFormat="1" ht="41.25" customHeight="1">
      <c r="A184" s="12" t="s">
        <v>178</v>
      </c>
      <c r="B184" s="10" t="s">
        <v>186</v>
      </c>
      <c r="C184" s="32">
        <f>91330-3240-12018</f>
        <v>76072</v>
      </c>
      <c r="D184" s="32"/>
      <c r="E184" s="11">
        <f t="shared" si="3"/>
        <v>76072</v>
      </c>
      <c r="F184" s="41"/>
      <c r="G184" s="40"/>
    </row>
    <row r="185" spans="1:7" s="39" customFormat="1" ht="46.5" customHeight="1">
      <c r="A185" s="12" t="s">
        <v>179</v>
      </c>
      <c r="B185" s="10" t="s">
        <v>373</v>
      </c>
      <c r="C185" s="32">
        <f>91330-3240-10780</f>
        <v>77310</v>
      </c>
      <c r="D185" s="32"/>
      <c r="E185" s="11">
        <f t="shared" si="3"/>
        <v>77310</v>
      </c>
      <c r="F185" s="41"/>
      <c r="G185" s="40"/>
    </row>
    <row r="186" spans="1:7" s="39" customFormat="1" ht="46.5" customHeight="1">
      <c r="A186" s="12" t="s">
        <v>180</v>
      </c>
      <c r="B186" s="10" t="s">
        <v>374</v>
      </c>
      <c r="C186" s="32">
        <f>91330-3240-11446</f>
        <v>76644</v>
      </c>
      <c r="D186" s="32"/>
      <c r="E186" s="11">
        <f t="shared" si="3"/>
        <v>76644</v>
      </c>
      <c r="F186" s="41"/>
      <c r="G186" s="40"/>
    </row>
    <row r="187" spans="1:7" s="39" customFormat="1" ht="37.5" customHeight="1">
      <c r="A187" s="12" t="s">
        <v>181</v>
      </c>
      <c r="B187" s="10" t="s">
        <v>375</v>
      </c>
      <c r="C187" s="32">
        <f>91330-3240-11690</f>
        <v>76400</v>
      </c>
      <c r="D187" s="32"/>
      <c r="E187" s="11">
        <f t="shared" si="3"/>
        <v>76400</v>
      </c>
      <c r="F187" s="41"/>
      <c r="G187" s="40"/>
    </row>
    <row r="188" spans="1:7" s="39" customFormat="1" ht="42.75" customHeight="1">
      <c r="A188" s="12" t="s">
        <v>182</v>
      </c>
      <c r="B188" s="10" t="s">
        <v>187</v>
      </c>
      <c r="C188" s="32">
        <f>91330-3240-9250</f>
        <v>78840</v>
      </c>
      <c r="D188" s="32"/>
      <c r="E188" s="11">
        <f t="shared" si="3"/>
        <v>78840</v>
      </c>
      <c r="F188" s="41"/>
      <c r="G188" s="40"/>
    </row>
    <row r="189" spans="1:7" s="39" customFormat="1" ht="44.25" customHeight="1">
      <c r="A189" s="12" t="s">
        <v>185</v>
      </c>
      <c r="B189" s="10" t="s">
        <v>376</v>
      </c>
      <c r="C189" s="32">
        <f>108100-22080</f>
        <v>86020</v>
      </c>
      <c r="D189" s="32"/>
      <c r="E189" s="11">
        <f t="shared" si="3"/>
        <v>86020</v>
      </c>
      <c r="F189" s="41"/>
      <c r="G189" s="40"/>
    </row>
    <row r="190" spans="1:7" s="39" customFormat="1" ht="42" customHeight="1">
      <c r="A190" s="12" t="s">
        <v>297</v>
      </c>
      <c r="B190" s="10" t="s">
        <v>377</v>
      </c>
      <c r="C190" s="32">
        <f>258943+75047-84700</f>
        <v>249290</v>
      </c>
      <c r="D190" s="32"/>
      <c r="E190" s="11">
        <f t="shared" si="3"/>
        <v>249290</v>
      </c>
      <c r="F190" s="41"/>
      <c r="G190" s="40"/>
    </row>
    <row r="191" spans="1:7" s="39" customFormat="1" ht="42" customHeight="1">
      <c r="A191" s="12" t="s">
        <v>326</v>
      </c>
      <c r="B191" s="10" t="s">
        <v>327</v>
      </c>
      <c r="C191" s="32">
        <f>80501-10430</f>
        <v>70071</v>
      </c>
      <c r="D191" s="32"/>
      <c r="E191" s="11">
        <f t="shared" si="3"/>
        <v>70071</v>
      </c>
      <c r="F191" s="41"/>
      <c r="G191" s="40"/>
    </row>
    <row r="192" spans="1:7" s="7" customFormat="1" ht="31.5" customHeight="1">
      <c r="A192" s="12" t="s">
        <v>6</v>
      </c>
      <c r="B192" s="10" t="s">
        <v>118</v>
      </c>
      <c r="C192" s="11">
        <f>5000000-2010230-370200+1816260-246960-23000-461676+274347-59780</f>
        <v>3918761</v>
      </c>
      <c r="D192" s="11"/>
      <c r="E192" s="11">
        <f t="shared" si="3"/>
        <v>3918761</v>
      </c>
      <c r="F192" s="22">
        <f>E193+E194+E195+E196</f>
        <v>3918761</v>
      </c>
      <c r="G192" s="8"/>
    </row>
    <row r="193" spans="1:7" s="7" customFormat="1" ht="63.75" customHeight="1">
      <c r="A193" s="12" t="s">
        <v>188</v>
      </c>
      <c r="B193" s="10" t="s">
        <v>191</v>
      </c>
      <c r="C193" s="11">
        <f>1379700-73130+274347</f>
        <v>1580917</v>
      </c>
      <c r="D193" s="11"/>
      <c r="E193" s="11">
        <f t="shared" si="3"/>
        <v>1580917</v>
      </c>
      <c r="F193" s="22"/>
      <c r="G193" s="8"/>
    </row>
    <row r="194" spans="1:7" s="7" customFormat="1" ht="45.75" customHeight="1">
      <c r="A194" s="12" t="s">
        <v>189</v>
      </c>
      <c r="B194" s="10" t="s">
        <v>192</v>
      </c>
      <c r="C194" s="11">
        <f>639870+324400-173830</f>
        <v>790440</v>
      </c>
      <c r="D194" s="11"/>
      <c r="E194" s="11">
        <f t="shared" si="3"/>
        <v>790440</v>
      </c>
      <c r="F194" s="22"/>
      <c r="G194" s="8"/>
    </row>
    <row r="195" spans="1:7" s="7" customFormat="1" ht="79.5" customHeight="1">
      <c r="A195" s="12" t="s">
        <v>190</v>
      </c>
      <c r="B195" s="10" t="s">
        <v>349</v>
      </c>
      <c r="C195" s="11">
        <f>200990+1816260-23000-461676-59780</f>
        <v>1472794</v>
      </c>
      <c r="D195" s="11"/>
      <c r="E195" s="11">
        <f t="shared" si="3"/>
        <v>1472794</v>
      </c>
      <c r="F195" s="22"/>
      <c r="G195" s="8"/>
    </row>
    <row r="196" spans="1:7" s="7" customFormat="1" ht="39.75" customHeight="1">
      <c r="A196" s="12" t="s">
        <v>270</v>
      </c>
      <c r="B196" s="10" t="s">
        <v>271</v>
      </c>
      <c r="C196" s="11">
        <f>74610</f>
        <v>74610</v>
      </c>
      <c r="D196" s="11"/>
      <c r="E196" s="11">
        <f t="shared" si="3"/>
        <v>74610</v>
      </c>
      <c r="F196" s="22"/>
      <c r="G196" s="8"/>
    </row>
    <row r="197" spans="1:13" s="7" customFormat="1" ht="43.5" customHeight="1">
      <c r="A197" s="12" t="s">
        <v>136</v>
      </c>
      <c r="B197" s="20" t="s">
        <v>386</v>
      </c>
      <c r="C197" s="11">
        <f>39429852-6000000-13000000-3229250</f>
        <v>17200602</v>
      </c>
      <c r="D197" s="11"/>
      <c r="E197" s="11">
        <f t="shared" si="3"/>
        <v>17200602</v>
      </c>
      <c r="G197" s="8"/>
      <c r="M197" s="7" t="s">
        <v>43</v>
      </c>
    </row>
    <row r="198" spans="1:7" s="7" customFormat="1" ht="65.25" customHeight="1">
      <c r="A198" s="12" t="s">
        <v>30</v>
      </c>
      <c r="B198" s="10" t="s">
        <v>328</v>
      </c>
      <c r="C198" s="11">
        <f>24060</f>
        <v>24060</v>
      </c>
      <c r="D198" s="11"/>
      <c r="E198" s="11">
        <f t="shared" si="3"/>
        <v>24060</v>
      </c>
      <c r="G198" s="8"/>
    </row>
    <row r="199" spans="1:7" s="7" customFormat="1" ht="20.25" customHeight="1">
      <c r="A199" s="12"/>
      <c r="B199" s="10" t="s">
        <v>329</v>
      </c>
      <c r="C199" s="11">
        <f>C132+C149+C171+C192+C197+C198</f>
        <v>51430543</v>
      </c>
      <c r="D199" s="11"/>
      <c r="E199" s="11">
        <f aca="true" t="shared" si="5" ref="E199:E209">C199</f>
        <v>51430543</v>
      </c>
      <c r="G199" s="8"/>
    </row>
    <row r="200" spans="1:7" s="7" customFormat="1" ht="23.25" customHeight="1">
      <c r="A200" s="12" t="s">
        <v>295</v>
      </c>
      <c r="B200" s="10" t="s">
        <v>25</v>
      </c>
      <c r="C200" s="11">
        <f>1000000-674208</f>
        <v>325792</v>
      </c>
      <c r="D200" s="11"/>
      <c r="E200" s="11">
        <f t="shared" si="5"/>
        <v>325792</v>
      </c>
      <c r="G200" s="8"/>
    </row>
    <row r="201" spans="1:16" s="7" customFormat="1" ht="24" customHeight="1">
      <c r="A201" s="12"/>
      <c r="B201" s="10" t="s">
        <v>330</v>
      </c>
      <c r="C201" s="11">
        <f>C200</f>
        <v>325792</v>
      </c>
      <c r="D201" s="11"/>
      <c r="E201" s="11">
        <f t="shared" si="5"/>
        <v>325792</v>
      </c>
      <c r="G201" s="8"/>
      <c r="P201" s="7" t="s">
        <v>43</v>
      </c>
    </row>
    <row r="202" spans="1:7" s="7" customFormat="1" ht="57.75" customHeight="1">
      <c r="A202" s="12" t="s">
        <v>331</v>
      </c>
      <c r="B202" s="10" t="s">
        <v>134</v>
      </c>
      <c r="C202" s="11">
        <f>C203</f>
        <v>42850</v>
      </c>
      <c r="D202" s="11"/>
      <c r="E202" s="11">
        <f t="shared" si="5"/>
        <v>42850</v>
      </c>
      <c r="G202" s="8"/>
    </row>
    <row r="203" spans="1:7" s="7" customFormat="1" ht="64.5" customHeight="1">
      <c r="A203" s="44" t="s">
        <v>332</v>
      </c>
      <c r="B203" s="55" t="s">
        <v>296</v>
      </c>
      <c r="C203" s="45">
        <f>42850</f>
        <v>42850</v>
      </c>
      <c r="D203" s="11"/>
      <c r="E203" s="11">
        <f t="shared" si="5"/>
        <v>42850</v>
      </c>
      <c r="G203" s="8"/>
    </row>
    <row r="204" spans="1:7" s="7" customFormat="1" ht="26.25" customHeight="1">
      <c r="A204" s="12"/>
      <c r="B204" s="10" t="s">
        <v>315</v>
      </c>
      <c r="C204" s="11">
        <f>C202</f>
        <v>42850</v>
      </c>
      <c r="D204" s="11"/>
      <c r="E204" s="11">
        <f t="shared" si="5"/>
        <v>42850</v>
      </c>
      <c r="G204" s="8"/>
    </row>
    <row r="205" spans="1:7" s="7" customFormat="1" ht="39" customHeight="1">
      <c r="A205" s="12" t="s">
        <v>333</v>
      </c>
      <c r="B205" s="10" t="s">
        <v>346</v>
      </c>
      <c r="C205" s="11">
        <f>1000000-68047-873648</f>
        <v>58305</v>
      </c>
      <c r="D205" s="11"/>
      <c r="E205" s="11">
        <f t="shared" si="5"/>
        <v>58305</v>
      </c>
      <c r="G205" s="8"/>
    </row>
    <row r="206" spans="1:7" s="7" customFormat="1" ht="25.5" customHeight="1">
      <c r="A206" s="12" t="s">
        <v>335</v>
      </c>
      <c r="B206" s="10" t="s">
        <v>384</v>
      </c>
      <c r="C206" s="11">
        <f>918498-873648</f>
        <v>44850</v>
      </c>
      <c r="D206" s="11"/>
      <c r="E206" s="11">
        <f t="shared" si="5"/>
        <v>44850</v>
      </c>
      <c r="G206" s="8"/>
    </row>
    <row r="207" spans="1:7" s="7" customFormat="1" ht="21" customHeight="1">
      <c r="A207" s="12" t="s">
        <v>336</v>
      </c>
      <c r="B207" s="10" t="s">
        <v>337</v>
      </c>
      <c r="C207" s="11">
        <f>13455</f>
        <v>13455</v>
      </c>
      <c r="D207" s="11"/>
      <c r="E207" s="11">
        <f t="shared" si="5"/>
        <v>13455</v>
      </c>
      <c r="G207" s="8"/>
    </row>
    <row r="208" spans="1:7" s="7" customFormat="1" ht="26.25" customHeight="1">
      <c r="A208" s="12"/>
      <c r="B208" s="10" t="s">
        <v>334</v>
      </c>
      <c r="C208" s="11">
        <f>C206+C207</f>
        <v>58305</v>
      </c>
      <c r="D208" s="11"/>
      <c r="E208" s="11">
        <f t="shared" si="5"/>
        <v>58305</v>
      </c>
      <c r="G208" s="8"/>
    </row>
    <row r="209" spans="1:7" s="7" customFormat="1" ht="23.25" customHeight="1">
      <c r="A209" s="18"/>
      <c r="B209" s="10" t="s">
        <v>76</v>
      </c>
      <c r="C209" s="11">
        <f>C199+C201+C204+C208</f>
        <v>51857490</v>
      </c>
      <c r="D209" s="11"/>
      <c r="E209" s="11">
        <f t="shared" si="5"/>
        <v>51857490</v>
      </c>
      <c r="G209" s="8"/>
    </row>
    <row r="210" spans="1:5" s="3" customFormat="1" ht="27" customHeight="1">
      <c r="A210" s="12"/>
      <c r="B210" s="10" t="s">
        <v>77</v>
      </c>
      <c r="C210" s="11">
        <f>C209+C130</f>
        <v>212467817.54</v>
      </c>
      <c r="D210" s="11">
        <f>D209+D130</f>
        <v>160610327.54</v>
      </c>
      <c r="E210" s="11">
        <f>E209+E130</f>
        <v>51857490</v>
      </c>
    </row>
    <row r="211" spans="1:5" s="9" customFormat="1" ht="64.5" customHeight="1">
      <c r="A211" s="7"/>
      <c r="B211" s="25" t="s">
        <v>350</v>
      </c>
      <c r="C211" s="26" t="s">
        <v>43</v>
      </c>
      <c r="D211" s="59" t="s">
        <v>382</v>
      </c>
      <c r="E211" s="59"/>
    </row>
    <row r="212" spans="1:5" s="1" customFormat="1" ht="12.75">
      <c r="A212"/>
      <c r="B212"/>
      <c r="C212"/>
      <c r="D212"/>
      <c r="E212"/>
    </row>
    <row r="216" spans="4:9" ht="12.75">
      <c r="D216" s="4"/>
      <c r="I216" t="s">
        <v>43</v>
      </c>
    </row>
  </sheetData>
  <sheetProtection/>
  <mergeCells count="11">
    <mergeCell ref="D5:E5"/>
    <mergeCell ref="D211:E211"/>
    <mergeCell ref="B2:E2"/>
    <mergeCell ref="B33:E33"/>
    <mergeCell ref="D1:E1"/>
    <mergeCell ref="A4:A6"/>
    <mergeCell ref="B4:B6"/>
    <mergeCell ref="A131:E131"/>
    <mergeCell ref="B8:E8"/>
    <mergeCell ref="C4:C6"/>
    <mergeCell ref="D4:E4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2020-11-09T07:21:11Z</cp:lastPrinted>
  <dcterms:created xsi:type="dcterms:W3CDTF">2009-05-12T09:31:38Z</dcterms:created>
  <dcterms:modified xsi:type="dcterms:W3CDTF">2020-12-08T08:12:50Z</dcterms:modified>
  <cp:category/>
  <cp:version/>
  <cp:contentType/>
  <cp:contentStatus/>
</cp:coreProperties>
</file>