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ечко М.В\ЗВІТНІСТЬ ДЛЯ САЙТУ ЧМР\"/>
    </mc:Choice>
  </mc:AlternateContent>
  <xr:revisionPtr revIDLastSave="0" documentId="13_ncr:1_{A8D56724-4CDD-4871-918C-70BB3948B758}" xr6:coauthVersionLast="47" xr6:coauthVersionMax="47" xr10:uidLastSave="{00000000-0000-0000-0000-000000000000}"/>
  <bookViews>
    <workbookView xWindow="-108" yWindow="-108" windowWidth="23256" windowHeight="13968" tabRatio="807" xr2:uid="{00000000-000D-0000-FFFF-FFFF00000000}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інфо_1'!$A$1:$O$81</definedName>
    <definedName name="_xlnm.Print_Area" localSheetId="1">'I. Фін результат'!$A$1:$I$132</definedName>
    <definedName name="_xlnm.Print_Area" localSheetId="4">'IV. Кап. інвестиції'!$A$1:$H$17</definedName>
    <definedName name="_xlnm.Print_Area" localSheetId="2">'ІІ. Розр. з бюджетом'!$A$1:$H$49</definedName>
    <definedName name="_xlnm.Print_Area" localSheetId="3">'ІІІ. Рух грош. коштів'!$A$1:$H$96</definedName>
    <definedName name="_xlnm.Print_Area" localSheetId="0">'Осн. фін. пок.'!$A$1:$H$177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8" l="1"/>
  <c r="H11" i="18"/>
  <c r="H22" i="19"/>
  <c r="D19" i="19"/>
  <c r="D9" i="19"/>
  <c r="D17" i="19"/>
  <c r="D14" i="19"/>
  <c r="M6" i="3"/>
  <c r="M9" i="3"/>
  <c r="V37" i="9"/>
  <c r="H10" i="3"/>
  <c r="H8" i="3"/>
  <c r="M76" i="2"/>
  <c r="N76" i="2"/>
  <c r="K76" i="2"/>
  <c r="N127" i="2" l="1"/>
  <c r="N126" i="2"/>
  <c r="D99" i="2"/>
  <c r="F99" i="2"/>
  <c r="L85" i="2"/>
  <c r="M19" i="19" l="1"/>
  <c r="M9" i="19"/>
  <c r="F9" i="19"/>
  <c r="H30" i="2" l="1"/>
  <c r="X34" i="9" l="1"/>
  <c r="X35" i="9"/>
  <c r="X36" i="9"/>
  <c r="X37" i="9"/>
  <c r="X39" i="9"/>
  <c r="X40" i="9"/>
  <c r="X30" i="9"/>
  <c r="D8" i="3" l="1"/>
  <c r="D10" i="3"/>
  <c r="D11" i="3"/>
  <c r="D12" i="3"/>
  <c r="D7" i="3"/>
  <c r="F9" i="3"/>
  <c r="D9" i="3" s="1"/>
  <c r="F10" i="3"/>
  <c r="F8" i="3"/>
  <c r="D90" i="18"/>
  <c r="F90" i="18"/>
  <c r="D67" i="18"/>
  <c r="D64" i="18"/>
  <c r="D50" i="18"/>
  <c r="D42" i="18"/>
  <c r="D41" i="18"/>
  <c r="D34" i="18"/>
  <c r="D35" i="18"/>
  <c r="D36" i="18"/>
  <c r="D37" i="18"/>
  <c r="D33" i="18"/>
  <c r="D26" i="18"/>
  <c r="D27" i="18"/>
  <c r="D25" i="18"/>
  <c r="D23" i="18"/>
  <c r="D11" i="18"/>
  <c r="D8" i="18"/>
  <c r="F91" i="18"/>
  <c r="F67" i="18"/>
  <c r="F64" i="18"/>
  <c r="F50" i="18"/>
  <c r="F42" i="18"/>
  <c r="F41" i="18"/>
  <c r="F37" i="18"/>
  <c r="F36" i="18"/>
  <c r="F35" i="18"/>
  <c r="F34" i="18"/>
  <c r="F33" i="18"/>
  <c r="F27" i="18"/>
  <c r="F26" i="18"/>
  <c r="F25" i="18"/>
  <c r="F23" i="18"/>
  <c r="F11" i="18"/>
  <c r="F8" i="18"/>
  <c r="D43" i="19"/>
  <c r="D39" i="19"/>
  <c r="D33" i="19"/>
  <c r="D32" i="19"/>
  <c r="D30" i="19"/>
  <c r="D23" i="19"/>
  <c r="D22" i="19"/>
  <c r="D8" i="19"/>
  <c r="F43" i="19"/>
  <c r="F39" i="19"/>
  <c r="F33" i="19"/>
  <c r="F32" i="19"/>
  <c r="F30" i="19"/>
  <c r="F23" i="19"/>
  <c r="F22" i="19"/>
  <c r="F8" i="19"/>
  <c r="M41" i="19"/>
  <c r="M36" i="19"/>
  <c r="M31" i="19"/>
  <c r="M21" i="19"/>
  <c r="M44" i="19" s="1"/>
  <c r="D124" i="2"/>
  <c r="D125" i="2"/>
  <c r="D123" i="2"/>
  <c r="D122" i="2"/>
  <c r="D121" i="2"/>
  <c r="D101" i="2"/>
  <c r="D96" i="2"/>
  <c r="D95" i="2"/>
  <c r="D84" i="2"/>
  <c r="D83" i="2"/>
  <c r="D82" i="2"/>
  <c r="D81" i="2"/>
  <c r="D80" i="2"/>
  <c r="D79" i="2"/>
  <c r="D78" i="2"/>
  <c r="D77" i="2"/>
  <c r="D69" i="2"/>
  <c r="D68" i="2"/>
  <c r="D67" i="2"/>
  <c r="D66" i="2"/>
  <c r="D65" i="2"/>
  <c r="D48" i="2"/>
  <c r="D49" i="2"/>
  <c r="D50" i="2"/>
  <c r="D51" i="2"/>
  <c r="D52" i="2"/>
  <c r="D47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5" i="2"/>
  <c r="D18" i="2"/>
  <c r="D19" i="2"/>
  <c r="D20" i="2"/>
  <c r="D21" i="2"/>
  <c r="D22" i="2"/>
  <c r="D17" i="2"/>
  <c r="D10" i="2"/>
  <c r="D11" i="2"/>
  <c r="D12" i="2"/>
  <c r="D13" i="2"/>
  <c r="D14" i="2"/>
  <c r="D15" i="2"/>
  <c r="D9" i="2"/>
  <c r="D7" i="2"/>
  <c r="F124" i="2"/>
  <c r="F125" i="2"/>
  <c r="F123" i="2"/>
  <c r="F122" i="2"/>
  <c r="F121" i="2"/>
  <c r="F101" i="2"/>
  <c r="F96" i="2"/>
  <c r="F95" i="2"/>
  <c r="F84" i="2"/>
  <c r="F83" i="2"/>
  <c r="F82" i="2"/>
  <c r="F81" i="2"/>
  <c r="F80" i="2"/>
  <c r="F79" i="2"/>
  <c r="F78" i="2"/>
  <c r="F77" i="2"/>
  <c r="F69" i="2"/>
  <c r="F68" i="2"/>
  <c r="F67" i="2"/>
  <c r="F66" i="2"/>
  <c r="F65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2" i="2"/>
  <c r="F21" i="2"/>
  <c r="F20" i="2"/>
  <c r="F19" i="2"/>
  <c r="F18" i="2"/>
  <c r="F17" i="2"/>
  <c r="F10" i="2"/>
  <c r="F11" i="2"/>
  <c r="F12" i="2"/>
  <c r="F13" i="2"/>
  <c r="F14" i="2"/>
  <c r="F15" i="2"/>
  <c r="F9" i="2"/>
  <c r="F7" i="2"/>
  <c r="J127" i="2"/>
  <c r="J126" i="2"/>
  <c r="F126" i="2" s="1"/>
  <c r="D126" i="2" s="1"/>
  <c r="J125" i="2"/>
  <c r="J124" i="2"/>
  <c r="J123" i="2"/>
  <c r="J122" i="2"/>
  <c r="J121" i="2"/>
  <c r="J120" i="2"/>
  <c r="J10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1" i="2"/>
  <c r="J72" i="2"/>
  <c r="J73" i="2"/>
  <c r="J74" i="2"/>
  <c r="J75" i="2"/>
  <c r="J77" i="2"/>
  <c r="J78" i="2"/>
  <c r="J79" i="2"/>
  <c r="J80" i="2"/>
  <c r="J81" i="2"/>
  <c r="J82" i="2"/>
  <c r="J83" i="2"/>
  <c r="J84" i="2"/>
  <c r="J85" i="2"/>
  <c r="F85" i="2" s="1"/>
  <c r="D85" i="2" s="1"/>
  <c r="J86" i="2"/>
  <c r="J88" i="2"/>
  <c r="J89" i="2"/>
  <c r="J90" i="2"/>
  <c r="J91" i="2"/>
  <c r="J92" i="2"/>
  <c r="J93" i="2"/>
  <c r="J94" i="2"/>
  <c r="J95" i="2"/>
  <c r="J96" i="2"/>
  <c r="J98" i="2"/>
  <c r="J99" i="2"/>
  <c r="J101" i="2"/>
  <c r="J7" i="2"/>
  <c r="E85" i="2"/>
  <c r="AC31" i="9" l="1"/>
  <c r="AC32" i="9"/>
  <c r="AC33" i="9"/>
  <c r="AC34" i="9"/>
  <c r="AC35" i="9"/>
  <c r="AC36" i="9"/>
  <c r="AC37" i="9"/>
  <c r="AC38" i="9"/>
  <c r="AC39" i="9"/>
  <c r="AC40" i="9"/>
  <c r="Y34" i="10"/>
  <c r="K34" i="10" s="1"/>
  <c r="Y35" i="10"/>
  <c r="K35" i="10" s="1"/>
  <c r="Y33" i="10"/>
  <c r="K33" i="10" s="1"/>
  <c r="X17" i="10"/>
  <c r="D38" i="19"/>
  <c r="D37" i="19"/>
  <c r="D35" i="19"/>
  <c r="D34" i="19"/>
  <c r="C116" i="14" l="1"/>
  <c r="C94" i="14"/>
  <c r="C107" i="2"/>
  <c r="C90" i="18"/>
  <c r="U41" i="9"/>
  <c r="E61" i="18" l="1"/>
  <c r="M127" i="2"/>
  <c r="M120" i="2"/>
  <c r="M117" i="2"/>
  <c r="M116" i="2"/>
  <c r="M115" i="2"/>
  <c r="M114" i="2"/>
  <c r="M113" i="2"/>
  <c r="M97" i="2"/>
  <c r="M94" i="2"/>
  <c r="M92" i="2"/>
  <c r="M85" i="2"/>
  <c r="M70" i="2"/>
  <c r="M64" i="2"/>
  <c r="M61" i="2"/>
  <c r="M108" i="2" s="1"/>
  <c r="M53" i="2"/>
  <c r="M46" i="2"/>
  <c r="M24" i="2" s="1"/>
  <c r="M16" i="2"/>
  <c r="M8" i="2"/>
  <c r="M109" i="2" s="1"/>
  <c r="Z22" i="10"/>
  <c r="Z21" i="10"/>
  <c r="Z20" i="10"/>
  <c r="P32" i="2"/>
  <c r="Q32" i="2" s="1"/>
  <c r="P12" i="2"/>
  <c r="Q12" i="2" s="1"/>
  <c r="O92" i="2"/>
  <c r="P92" i="2"/>
  <c r="P9" i="2"/>
  <c r="P121" i="2" s="1"/>
  <c r="P7" i="2"/>
  <c r="P108" i="2" s="1"/>
  <c r="P126" i="2"/>
  <c r="O126" i="2"/>
  <c r="P46" i="2"/>
  <c r="Q14" i="2"/>
  <c r="Q15" i="2"/>
  <c r="Q17" i="2"/>
  <c r="Q18" i="2"/>
  <c r="Q19" i="2"/>
  <c r="Q20" i="2"/>
  <c r="Q21" i="2"/>
  <c r="Q22" i="2"/>
  <c r="Q25" i="2"/>
  <c r="Q26" i="2"/>
  <c r="Q27" i="2"/>
  <c r="Q28" i="2"/>
  <c r="Q29" i="2"/>
  <c r="Q30" i="2"/>
  <c r="Q31" i="2"/>
  <c r="Q34" i="2"/>
  <c r="Q35" i="2"/>
  <c r="Q36" i="2"/>
  <c r="Q37" i="2"/>
  <c r="Q38" i="2"/>
  <c r="Q39" i="2"/>
  <c r="Q40" i="2"/>
  <c r="Q41" i="2"/>
  <c r="Q42" i="2"/>
  <c r="Q43" i="2"/>
  <c r="Q44" i="2"/>
  <c r="Q45" i="2"/>
  <c r="Q47" i="2"/>
  <c r="Q46" i="2" s="1"/>
  <c r="Q48" i="2"/>
  <c r="Q49" i="2"/>
  <c r="Q50" i="2"/>
  <c r="Q51" i="2"/>
  <c r="Q52" i="2"/>
  <c r="Q54" i="2"/>
  <c r="Q55" i="2"/>
  <c r="Q56" i="2"/>
  <c r="Q57" i="2"/>
  <c r="Q58" i="2"/>
  <c r="Q59" i="2"/>
  <c r="Q60" i="2"/>
  <c r="Q62" i="2"/>
  <c r="Q63" i="2"/>
  <c r="Q65" i="2"/>
  <c r="Q66" i="2"/>
  <c r="Q67" i="2"/>
  <c r="Q68" i="2"/>
  <c r="Q69" i="2"/>
  <c r="Q71" i="2"/>
  <c r="Q72" i="2"/>
  <c r="Q73" i="2"/>
  <c r="Q74" i="2"/>
  <c r="Q75" i="2"/>
  <c r="Q77" i="2"/>
  <c r="Q78" i="2"/>
  <c r="Q79" i="2"/>
  <c r="Q80" i="2"/>
  <c r="Q81" i="2"/>
  <c r="Q82" i="2"/>
  <c r="Q83" i="2"/>
  <c r="Q84" i="2"/>
  <c r="Q86" i="2"/>
  <c r="Q88" i="2"/>
  <c r="Q89" i="2"/>
  <c r="Q90" i="2"/>
  <c r="Q91" i="2"/>
  <c r="Q93" i="2"/>
  <c r="Q95" i="2"/>
  <c r="Q96" i="2"/>
  <c r="Q98" i="2"/>
  <c r="Q99" i="2"/>
  <c r="Q101" i="2"/>
  <c r="Q7" i="2"/>
  <c r="O144" i="2"/>
  <c r="O127" i="2"/>
  <c r="O145" i="2" s="1"/>
  <c r="P125" i="2"/>
  <c r="P113" i="2" s="1"/>
  <c r="P122" i="2"/>
  <c r="Q122" i="2" s="1"/>
  <c r="P117" i="2"/>
  <c r="P116" i="2"/>
  <c r="P115" i="2"/>
  <c r="P114" i="2"/>
  <c r="O100" i="2"/>
  <c r="O105" i="2" s="1"/>
  <c r="O106" i="2" s="1"/>
  <c r="P76" i="2"/>
  <c r="P70" i="2" s="1"/>
  <c r="P64" i="2"/>
  <c r="P61" i="2" s="1"/>
  <c r="P49" i="2"/>
  <c r="P11" i="2"/>
  <c r="Q11" i="2" s="1"/>
  <c r="P10" i="2"/>
  <c r="Q10" i="2" s="1"/>
  <c r="M142" i="2" l="1"/>
  <c r="M23" i="2"/>
  <c r="M87" i="2" s="1"/>
  <c r="M112" i="2" s="1"/>
  <c r="M118" i="2" s="1"/>
  <c r="M144" i="2"/>
  <c r="M145" i="2" s="1"/>
  <c r="M134" i="2"/>
  <c r="M100" i="2"/>
  <c r="M105" i="2" s="1"/>
  <c r="M106" i="2" s="1"/>
  <c r="P120" i="2"/>
  <c r="Q121" i="2"/>
  <c r="Q125" i="2"/>
  <c r="Q9" i="2"/>
  <c r="Q126" i="2"/>
  <c r="P33" i="2"/>
  <c r="P123" i="2"/>
  <c r="Q123" i="2" s="1"/>
  <c r="P13" i="2"/>
  <c r="W40" i="9"/>
  <c r="W31" i="9"/>
  <c r="W32" i="9"/>
  <c r="W33" i="9"/>
  <c r="W34" i="9"/>
  <c r="W35" i="9"/>
  <c r="W36" i="9"/>
  <c r="W37" i="9"/>
  <c r="D83" i="14"/>
  <c r="W17" i="10"/>
  <c r="V41" i="9"/>
  <c r="AD40" i="9"/>
  <c r="AE40" i="9" l="1"/>
  <c r="AF40" i="9"/>
  <c r="M135" i="2"/>
  <c r="M136" i="2" s="1"/>
  <c r="M139" i="2" s="1"/>
  <c r="P24" i="2"/>
  <c r="Q33" i="2"/>
  <c r="P8" i="2"/>
  <c r="P23" i="2" s="1"/>
  <c r="P124" i="2"/>
  <c r="Q13" i="2"/>
  <c r="P109" i="2" l="1"/>
  <c r="P144" i="2"/>
  <c r="P100" i="2"/>
  <c r="P105" i="2" s="1"/>
  <c r="Q124" i="2"/>
  <c r="P127" i="2"/>
  <c r="P87" i="2"/>
  <c r="K6" i="3"/>
  <c r="K81" i="18"/>
  <c r="K79" i="18" s="1"/>
  <c r="K74" i="18"/>
  <c r="K72" i="18" s="1"/>
  <c r="K67" i="18"/>
  <c r="K64" i="18"/>
  <c r="K61" i="18" s="1"/>
  <c r="K25" i="18" s="1"/>
  <c r="K53" i="18"/>
  <c r="K50" i="18"/>
  <c r="K42" i="18"/>
  <c r="K41" i="18"/>
  <c r="K38" i="18" s="1"/>
  <c r="K37" i="18"/>
  <c r="K34" i="18"/>
  <c r="K27" i="18"/>
  <c r="K23" i="18"/>
  <c r="K7" i="18" s="1"/>
  <c r="K19" i="18"/>
  <c r="L120" i="2"/>
  <c r="Q120" i="2" s="1"/>
  <c r="L117" i="2"/>
  <c r="Q117" i="2" s="1"/>
  <c r="L116" i="2"/>
  <c r="Q116" i="2" s="1"/>
  <c r="L115" i="2"/>
  <c r="Q115" i="2" s="1"/>
  <c r="L114" i="2"/>
  <c r="Q114" i="2" s="1"/>
  <c r="L113" i="2"/>
  <c r="Q113" i="2" s="1"/>
  <c r="L97" i="2"/>
  <c r="L94" i="2"/>
  <c r="Q94" i="2" s="1"/>
  <c r="Q92" i="2" s="1"/>
  <c r="L92" i="2"/>
  <c r="L64" i="2"/>
  <c r="Q64" i="2" s="1"/>
  <c r="L53" i="2"/>
  <c r="Q53" i="2" s="1"/>
  <c r="L46" i="2"/>
  <c r="L24" i="2" s="1"/>
  <c r="Q24" i="2" s="1"/>
  <c r="L16" i="2"/>
  <c r="Q16" i="2" s="1"/>
  <c r="Q97" i="2" l="1"/>
  <c r="J97" i="2"/>
  <c r="L76" i="2"/>
  <c r="J76" i="2" s="1"/>
  <c r="Q85" i="2"/>
  <c r="K32" i="18"/>
  <c r="K24" i="18" s="1"/>
  <c r="K51" i="18" s="1"/>
  <c r="L8" i="2"/>
  <c r="Q8" i="2" s="1"/>
  <c r="L61" i="2"/>
  <c r="L127" i="2"/>
  <c r="Q127" i="2" s="1"/>
  <c r="P145" i="2"/>
  <c r="P112" i="2"/>
  <c r="P118" i="2" s="1"/>
  <c r="P106" i="2"/>
  <c r="K70" i="18"/>
  <c r="K89" i="18"/>
  <c r="L23" i="2"/>
  <c r="D91" i="18"/>
  <c r="D65" i="18"/>
  <c r="D66" i="18"/>
  <c r="H34" i="18"/>
  <c r="F46" i="2"/>
  <c r="F24" i="2" s="1"/>
  <c r="F37" i="14" s="1"/>
  <c r="F76" i="2"/>
  <c r="F70" i="2" s="1"/>
  <c r="F47" i="14" s="1"/>
  <c r="Y21" i="10"/>
  <c r="I21" i="10" s="1"/>
  <c r="Y22" i="10"/>
  <c r="I22" i="10" s="1"/>
  <c r="W32" i="10"/>
  <c r="X32" i="10"/>
  <c r="W36" i="10"/>
  <c r="X36" i="10"/>
  <c r="W37" i="10"/>
  <c r="X37" i="10"/>
  <c r="Y15" i="10"/>
  <c r="W11" i="10"/>
  <c r="W29" i="10" s="1"/>
  <c r="X11" i="10"/>
  <c r="X29" i="10" s="1"/>
  <c r="Y20" i="10"/>
  <c r="I20" i="10" s="1"/>
  <c r="Y16" i="10"/>
  <c r="I16" i="10" s="1"/>
  <c r="Y14" i="10"/>
  <c r="L34" i="10"/>
  <c r="V37" i="10"/>
  <c r="U37" i="10"/>
  <c r="U36" i="10"/>
  <c r="U32" i="10"/>
  <c r="U17" i="10"/>
  <c r="U11" i="10"/>
  <c r="E16" i="2"/>
  <c r="E8" i="2" s="1"/>
  <c r="E46" i="2"/>
  <c r="E24" i="2"/>
  <c r="E37" i="14" s="1"/>
  <c r="E76" i="2"/>
  <c r="C16" i="2"/>
  <c r="C8" i="2" s="1"/>
  <c r="C46" i="2"/>
  <c r="C24" i="2"/>
  <c r="C76" i="2"/>
  <c r="C70" i="2" s="1"/>
  <c r="C47" i="14" s="1"/>
  <c r="D38" i="14"/>
  <c r="D39" i="14"/>
  <c r="D42" i="14"/>
  <c r="C146" i="14"/>
  <c r="C138" i="14"/>
  <c r="C120" i="14"/>
  <c r="C121" i="14"/>
  <c r="C122" i="14"/>
  <c r="E146" i="14"/>
  <c r="H9" i="3"/>
  <c r="E7" i="18"/>
  <c r="E28" i="18"/>
  <c r="E38" i="18"/>
  <c r="E32" i="18" s="1"/>
  <c r="E24" i="18" s="1"/>
  <c r="T17" i="10"/>
  <c r="S17" i="10"/>
  <c r="U6" i="9"/>
  <c r="U8" i="9" s="1"/>
  <c r="X6" i="9"/>
  <c r="D54" i="10"/>
  <c r="E38" i="10"/>
  <c r="C11" i="10"/>
  <c r="C17" i="10"/>
  <c r="C6" i="3"/>
  <c r="C7" i="18"/>
  <c r="C61" i="18"/>
  <c r="C70" i="18" s="1"/>
  <c r="C113" i="14" s="1"/>
  <c r="C38" i="18"/>
  <c r="C32" i="18" s="1"/>
  <c r="C24" i="18" s="1"/>
  <c r="C74" i="18"/>
  <c r="C72" i="18" s="1"/>
  <c r="C81" i="18"/>
  <c r="C79" i="18" s="1"/>
  <c r="C53" i="18"/>
  <c r="C19" i="18"/>
  <c r="C21" i="19"/>
  <c r="C96" i="14" s="1"/>
  <c r="C31" i="19"/>
  <c r="C36" i="19"/>
  <c r="C105" i="14" s="1"/>
  <c r="C41" i="19"/>
  <c r="C9" i="19"/>
  <c r="F16" i="2"/>
  <c r="C120" i="2"/>
  <c r="C127" i="2"/>
  <c r="C64" i="2"/>
  <c r="C61" i="2" s="1"/>
  <c r="C113" i="2"/>
  <c r="C114" i="2"/>
  <c r="C115" i="2"/>
  <c r="C116" i="2"/>
  <c r="C117" i="2"/>
  <c r="C53" i="2"/>
  <c r="C97" i="2"/>
  <c r="C94" i="2"/>
  <c r="C92" i="2" s="1"/>
  <c r="C57" i="14" s="1"/>
  <c r="D91" i="2"/>
  <c r="D97" i="2"/>
  <c r="D59" i="14" s="1"/>
  <c r="D62" i="14"/>
  <c r="F83" i="14"/>
  <c r="D120" i="14"/>
  <c r="D121" i="14"/>
  <c r="D122" i="14"/>
  <c r="D119" i="14"/>
  <c r="D123" i="14"/>
  <c r="F64" i="2"/>
  <c r="F61" i="2" s="1"/>
  <c r="F94" i="2"/>
  <c r="F92" i="2" s="1"/>
  <c r="F62" i="14"/>
  <c r="E64" i="2"/>
  <c r="E61" i="2"/>
  <c r="E44" i="14" s="1"/>
  <c r="E94" i="2"/>
  <c r="E92" i="2" s="1"/>
  <c r="E57" i="14" s="1"/>
  <c r="E62" i="14"/>
  <c r="X31" i="9"/>
  <c r="G19" i="11"/>
  <c r="C62" i="14"/>
  <c r="P17" i="10"/>
  <c r="L50" i="10"/>
  <c r="H79" i="2"/>
  <c r="H80" i="2"/>
  <c r="H81" i="2"/>
  <c r="H83" i="2"/>
  <c r="W39" i="9"/>
  <c r="Q17" i="10"/>
  <c r="O34" i="10"/>
  <c r="O33" i="10"/>
  <c r="L35" i="10"/>
  <c r="L33" i="10"/>
  <c r="K38" i="10"/>
  <c r="D43" i="18"/>
  <c r="H38" i="10"/>
  <c r="AH41" i="9"/>
  <c r="G27" i="18"/>
  <c r="H27" i="18"/>
  <c r="AD31" i="9"/>
  <c r="AD32" i="9"/>
  <c r="AD33" i="9"/>
  <c r="AD34" i="9"/>
  <c r="AF34" i="9" s="1"/>
  <c r="AD35" i="9"/>
  <c r="AF35" i="9" s="1"/>
  <c r="AD36" i="9"/>
  <c r="AF36" i="9" s="1"/>
  <c r="AD37" i="9"/>
  <c r="AF37" i="9" s="1"/>
  <c r="AD38" i="9"/>
  <c r="AD39" i="9"/>
  <c r="H65" i="2"/>
  <c r="G14" i="11"/>
  <c r="G15" i="11"/>
  <c r="D111" i="14"/>
  <c r="D41" i="19"/>
  <c r="D106" i="14"/>
  <c r="D77" i="14"/>
  <c r="D113" i="2"/>
  <c r="D79" i="14"/>
  <c r="Z17" i="10"/>
  <c r="D75" i="14"/>
  <c r="D55" i="10"/>
  <c r="D31" i="18"/>
  <c r="D30" i="18"/>
  <c r="D29" i="18"/>
  <c r="D9" i="18"/>
  <c r="D10" i="18"/>
  <c r="W38" i="9"/>
  <c r="W30" i="9"/>
  <c r="AD30" i="9"/>
  <c r="D145" i="14"/>
  <c r="D139" i="14"/>
  <c r="E19" i="11" s="1"/>
  <c r="D140" i="14"/>
  <c r="D141" i="14"/>
  <c r="H141" i="14" s="1"/>
  <c r="D137" i="14"/>
  <c r="G101" i="2"/>
  <c r="D146" i="14"/>
  <c r="H146" i="14" s="1"/>
  <c r="D81" i="18"/>
  <c r="D79" i="18"/>
  <c r="D74" i="18"/>
  <c r="D72" i="18"/>
  <c r="D89" i="18" s="1"/>
  <c r="D114" i="14" s="1"/>
  <c r="D53" i="18"/>
  <c r="D19" i="18"/>
  <c r="D117" i="2"/>
  <c r="D116" i="2"/>
  <c r="D115" i="2"/>
  <c r="D114" i="2"/>
  <c r="D53" i="2"/>
  <c r="I17" i="10"/>
  <c r="F120" i="2"/>
  <c r="F73" i="14" s="1"/>
  <c r="E120" i="2"/>
  <c r="E127" i="2" s="1"/>
  <c r="G84" i="2"/>
  <c r="G83" i="2"/>
  <c r="AA32" i="9"/>
  <c r="AA33" i="9"/>
  <c r="AA35" i="9"/>
  <c r="AA37" i="9"/>
  <c r="AA38" i="9"/>
  <c r="S32" i="9"/>
  <c r="S33" i="9"/>
  <c r="S35" i="9"/>
  <c r="S37" i="9"/>
  <c r="S38" i="9"/>
  <c r="O32" i="9"/>
  <c r="O33" i="9"/>
  <c r="O35" i="9"/>
  <c r="O37" i="9"/>
  <c r="O38" i="9"/>
  <c r="G50" i="18"/>
  <c r="G39" i="18"/>
  <c r="G42" i="18"/>
  <c r="F7" i="18"/>
  <c r="G34" i="19"/>
  <c r="G33" i="19"/>
  <c r="G32" i="19"/>
  <c r="H50" i="18"/>
  <c r="E138" i="14"/>
  <c r="F138" i="14"/>
  <c r="D138" i="14" s="1"/>
  <c r="F143" i="14"/>
  <c r="F146" i="14"/>
  <c r="F134" i="14" s="1"/>
  <c r="I26" i="10"/>
  <c r="I27" i="10"/>
  <c r="I28" i="10"/>
  <c r="E143" i="14"/>
  <c r="F27" i="10"/>
  <c r="F28" i="10"/>
  <c r="F26" i="10"/>
  <c r="G17" i="18"/>
  <c r="H17" i="18"/>
  <c r="H42" i="18"/>
  <c r="G16" i="18"/>
  <c r="G15" i="18"/>
  <c r="G14" i="18"/>
  <c r="H13" i="18"/>
  <c r="H12" i="18"/>
  <c r="G12" i="18"/>
  <c r="H96" i="2"/>
  <c r="G96" i="2"/>
  <c r="H95" i="2"/>
  <c r="G95" i="2"/>
  <c r="H85" i="2"/>
  <c r="G85" i="2"/>
  <c r="G82" i="2"/>
  <c r="G81" i="2"/>
  <c r="G80" i="2"/>
  <c r="G79" i="2"/>
  <c r="H78" i="2"/>
  <c r="G78" i="2"/>
  <c r="G77" i="2"/>
  <c r="G69" i="2"/>
  <c r="G68" i="2"/>
  <c r="G67" i="2"/>
  <c r="G66" i="2"/>
  <c r="G65" i="2"/>
  <c r="G47" i="2"/>
  <c r="H47" i="2"/>
  <c r="G48" i="2"/>
  <c r="H48" i="2"/>
  <c r="G49" i="2"/>
  <c r="H49" i="2"/>
  <c r="G50" i="2"/>
  <c r="H50" i="2"/>
  <c r="G51" i="2"/>
  <c r="H51" i="2"/>
  <c r="G52" i="2"/>
  <c r="H52" i="2"/>
  <c r="G54" i="2"/>
  <c r="G17" i="2"/>
  <c r="H17" i="2"/>
  <c r="G18" i="2"/>
  <c r="H18" i="2"/>
  <c r="G19" i="2"/>
  <c r="H19" i="2"/>
  <c r="G20" i="2"/>
  <c r="H20" i="2"/>
  <c r="G21" i="2"/>
  <c r="H21" i="2"/>
  <c r="G22" i="2"/>
  <c r="H22" i="2"/>
  <c r="G13" i="18"/>
  <c r="T55" i="9"/>
  <c r="R55" i="9"/>
  <c r="P55" i="9"/>
  <c r="N51" i="9"/>
  <c r="N52" i="9"/>
  <c r="N53" i="9"/>
  <c r="N54" i="9"/>
  <c r="L55" i="9"/>
  <c r="J55" i="9"/>
  <c r="H55" i="9"/>
  <c r="F55" i="9"/>
  <c r="G140" i="14"/>
  <c r="H140" i="14"/>
  <c r="G141" i="14"/>
  <c r="G144" i="14"/>
  <c r="G145" i="14"/>
  <c r="H145" i="14"/>
  <c r="G147" i="14"/>
  <c r="G148" i="14"/>
  <c r="H137" i="14"/>
  <c r="G137" i="14"/>
  <c r="Z41" i="9"/>
  <c r="F129" i="14"/>
  <c r="R41" i="9"/>
  <c r="F127" i="14"/>
  <c r="N41" i="9"/>
  <c r="F126" i="14"/>
  <c r="Y41" i="9"/>
  <c r="E129" i="14"/>
  <c r="Q41" i="9"/>
  <c r="M41" i="9"/>
  <c r="E126" i="14"/>
  <c r="AC30" i="9"/>
  <c r="AA30" i="9"/>
  <c r="AA31" i="9"/>
  <c r="S30" i="9"/>
  <c r="S31" i="9"/>
  <c r="S41" i="9" s="1"/>
  <c r="O30" i="9"/>
  <c r="O31" i="9"/>
  <c r="X21" i="9"/>
  <c r="AA21" i="9"/>
  <c r="AA18" i="9"/>
  <c r="AA19" i="9"/>
  <c r="AA20" i="9"/>
  <c r="AA17" i="9"/>
  <c r="AA7" i="9"/>
  <c r="R8" i="9"/>
  <c r="R21" i="9" s="1"/>
  <c r="F158" i="14"/>
  <c r="F157" i="14"/>
  <c r="F156" i="14"/>
  <c r="F155" i="14" s="1"/>
  <c r="E158" i="14"/>
  <c r="E157" i="14"/>
  <c r="E156" i="14"/>
  <c r="E155" i="14" s="1"/>
  <c r="F154" i="14"/>
  <c r="G154" i="14" s="1"/>
  <c r="F153" i="14"/>
  <c r="F152" i="14"/>
  <c r="F151" i="14" s="1"/>
  <c r="E154" i="14"/>
  <c r="E153" i="14"/>
  <c r="G153" i="14" s="1"/>
  <c r="E152" i="14"/>
  <c r="D81" i="10"/>
  <c r="H81" i="10"/>
  <c r="L81" i="10"/>
  <c r="N78" i="10"/>
  <c r="N75" i="10"/>
  <c r="N72" i="10"/>
  <c r="F81" i="10"/>
  <c r="J81" i="10"/>
  <c r="M51" i="10"/>
  <c r="J51" i="10"/>
  <c r="L51" i="10"/>
  <c r="J52" i="10"/>
  <c r="K52" i="10"/>
  <c r="L52" i="10"/>
  <c r="J53" i="10"/>
  <c r="K53" i="10"/>
  <c r="L53" i="10"/>
  <c r="J50" i="10"/>
  <c r="G54" i="10"/>
  <c r="F76" i="14"/>
  <c r="F166" i="14" s="1"/>
  <c r="E76" i="14"/>
  <c r="F11" i="10"/>
  <c r="E164" i="14"/>
  <c r="F165" i="14"/>
  <c r="E165" i="14"/>
  <c r="E163" i="14"/>
  <c r="C76" i="14"/>
  <c r="D76" i="14"/>
  <c r="N16" i="10"/>
  <c r="F17" i="10"/>
  <c r="N20" i="10"/>
  <c r="N21" i="10"/>
  <c r="N22" i="10"/>
  <c r="L16" i="10"/>
  <c r="L20" i="10"/>
  <c r="L21" i="10"/>
  <c r="L22" i="10"/>
  <c r="L26" i="10"/>
  <c r="C134" i="14"/>
  <c r="E135" i="14"/>
  <c r="F135" i="14"/>
  <c r="C135" i="14"/>
  <c r="E34" i="14"/>
  <c r="D124" i="14"/>
  <c r="E119" i="14"/>
  <c r="E120" i="14"/>
  <c r="E121" i="14"/>
  <c r="E122" i="14"/>
  <c r="E118" i="14" s="1"/>
  <c r="E123" i="14"/>
  <c r="E124" i="14"/>
  <c r="F119" i="14"/>
  <c r="G119" i="14" s="1"/>
  <c r="F120" i="14"/>
  <c r="F121" i="14"/>
  <c r="H121" i="14" s="1"/>
  <c r="F122" i="14"/>
  <c r="F123" i="14"/>
  <c r="F124" i="14"/>
  <c r="G124" i="14" s="1"/>
  <c r="C123" i="14"/>
  <c r="C124" i="14"/>
  <c r="C119" i="14"/>
  <c r="D110" i="14"/>
  <c r="E110" i="14"/>
  <c r="F110" i="14"/>
  <c r="E111" i="14"/>
  <c r="F111" i="14"/>
  <c r="D115" i="14"/>
  <c r="E115" i="14"/>
  <c r="F115" i="14"/>
  <c r="G115" i="14" s="1"/>
  <c r="C115" i="14"/>
  <c r="C111" i="14"/>
  <c r="C110" i="14"/>
  <c r="D78" i="14"/>
  <c r="E78" i="14"/>
  <c r="F78" i="14"/>
  <c r="C78" i="14"/>
  <c r="E115" i="2"/>
  <c r="G115" i="2" s="1"/>
  <c r="E117" i="2"/>
  <c r="E113" i="2"/>
  <c r="F114" i="2"/>
  <c r="F116" i="2"/>
  <c r="F115" i="2"/>
  <c r="F117" i="2"/>
  <c r="F113" i="2"/>
  <c r="J113" i="2" s="1"/>
  <c r="G7" i="3"/>
  <c r="G8" i="3"/>
  <c r="G9" i="3"/>
  <c r="G10" i="3"/>
  <c r="G11" i="3"/>
  <c r="G12" i="3"/>
  <c r="E6" i="3"/>
  <c r="F6" i="3"/>
  <c r="G8" i="18"/>
  <c r="H8" i="18"/>
  <c r="G9" i="18"/>
  <c r="G10" i="18"/>
  <c r="G11" i="18"/>
  <c r="G18" i="18"/>
  <c r="G20" i="18"/>
  <c r="G21" i="18"/>
  <c r="G22" i="18"/>
  <c r="G23" i="18"/>
  <c r="H23" i="18"/>
  <c r="G26" i="18"/>
  <c r="H26" i="18"/>
  <c r="G29" i="18"/>
  <c r="G30" i="18"/>
  <c r="G31" i="18"/>
  <c r="G33" i="18"/>
  <c r="G35" i="18"/>
  <c r="G36" i="18"/>
  <c r="G37" i="18"/>
  <c r="H37" i="18"/>
  <c r="G65" i="18"/>
  <c r="G69" i="18"/>
  <c r="G71" i="18"/>
  <c r="G73" i="18"/>
  <c r="G75" i="18"/>
  <c r="G76" i="18"/>
  <c r="G77" i="18"/>
  <c r="G78" i="18"/>
  <c r="G91" i="18"/>
  <c r="H91" i="18"/>
  <c r="F19" i="18"/>
  <c r="F53" i="18"/>
  <c r="F74" i="18"/>
  <c r="F72" i="18" s="1"/>
  <c r="F81" i="18"/>
  <c r="F79" i="18" s="1"/>
  <c r="E19" i="18"/>
  <c r="E53" i="18"/>
  <c r="E74" i="18"/>
  <c r="E72" i="18" s="1"/>
  <c r="E89" i="18" s="1"/>
  <c r="E114" i="14" s="1"/>
  <c r="E81" i="18"/>
  <c r="E79" i="18" s="1"/>
  <c r="D107" i="14"/>
  <c r="E107" i="14"/>
  <c r="F107" i="14"/>
  <c r="C107" i="14"/>
  <c r="E106" i="14"/>
  <c r="F106" i="14"/>
  <c r="G106" i="14" s="1"/>
  <c r="C106" i="14"/>
  <c r="D97" i="14"/>
  <c r="E97" i="14"/>
  <c r="F97" i="14"/>
  <c r="D98" i="14"/>
  <c r="E98" i="14"/>
  <c r="F98" i="14"/>
  <c r="D99" i="14"/>
  <c r="E99" i="14"/>
  <c r="F99" i="14"/>
  <c r="D100" i="14"/>
  <c r="E100" i="14"/>
  <c r="G100" i="14" s="1"/>
  <c r="F100" i="14"/>
  <c r="D101" i="14"/>
  <c r="E101" i="14"/>
  <c r="F101" i="14"/>
  <c r="G101" i="14" s="1"/>
  <c r="D102" i="14"/>
  <c r="E102" i="14"/>
  <c r="F102" i="14"/>
  <c r="G102" i="14" s="1"/>
  <c r="D103" i="14"/>
  <c r="E103" i="14"/>
  <c r="G103" i="14" s="1"/>
  <c r="F103" i="14"/>
  <c r="C97" i="14"/>
  <c r="C98" i="14"/>
  <c r="C99" i="14"/>
  <c r="C100" i="14"/>
  <c r="C101" i="14"/>
  <c r="C102" i="14"/>
  <c r="C103" i="14"/>
  <c r="D91" i="14"/>
  <c r="E91" i="14"/>
  <c r="F91" i="14"/>
  <c r="D92" i="14"/>
  <c r="E92" i="14"/>
  <c r="F92" i="14"/>
  <c r="D93" i="14"/>
  <c r="E93" i="14"/>
  <c r="F93" i="14"/>
  <c r="C92" i="14"/>
  <c r="C93" i="14"/>
  <c r="C91" i="14"/>
  <c r="C87" i="14"/>
  <c r="D87" i="14"/>
  <c r="E87" i="14"/>
  <c r="F87" i="14"/>
  <c r="C88" i="14"/>
  <c r="D88" i="14"/>
  <c r="E88" i="14"/>
  <c r="F88" i="14"/>
  <c r="C89" i="14"/>
  <c r="D89" i="14"/>
  <c r="E89" i="14"/>
  <c r="F89" i="14"/>
  <c r="C85" i="14"/>
  <c r="C86" i="14"/>
  <c r="D85" i="14"/>
  <c r="D86" i="14"/>
  <c r="E85" i="14"/>
  <c r="E86" i="14"/>
  <c r="F85" i="14"/>
  <c r="F86" i="14"/>
  <c r="E83" i="14"/>
  <c r="C83" i="14"/>
  <c r="E41" i="19"/>
  <c r="F41" i="19"/>
  <c r="E36" i="19"/>
  <c r="E105" i="14" s="1"/>
  <c r="F36" i="19"/>
  <c r="F105" i="14" s="1"/>
  <c r="E31" i="19"/>
  <c r="E104" i="14" s="1"/>
  <c r="F31" i="19"/>
  <c r="F104" i="14" s="1"/>
  <c r="E21" i="19"/>
  <c r="E96" i="14" s="1"/>
  <c r="F21" i="19"/>
  <c r="H23" i="19"/>
  <c r="H30" i="19"/>
  <c r="H32" i="19"/>
  <c r="H33" i="19"/>
  <c r="H39" i="19"/>
  <c r="H8" i="19"/>
  <c r="E9" i="19"/>
  <c r="E73" i="14"/>
  <c r="D74" i="14"/>
  <c r="E74" i="14"/>
  <c r="F74" i="14"/>
  <c r="E75" i="14"/>
  <c r="F75" i="14"/>
  <c r="H75" i="14" s="1"/>
  <c r="E77" i="14"/>
  <c r="F77" i="14"/>
  <c r="E79" i="14"/>
  <c r="F79" i="14"/>
  <c r="C74" i="14"/>
  <c r="C75" i="14"/>
  <c r="C77" i="14"/>
  <c r="C79" i="14"/>
  <c r="C73" i="14"/>
  <c r="D60" i="14"/>
  <c r="E60" i="14"/>
  <c r="F60" i="14"/>
  <c r="C60" i="14"/>
  <c r="C58" i="14"/>
  <c r="D58" i="14"/>
  <c r="E58" i="14"/>
  <c r="F58" i="14"/>
  <c r="D56" i="14"/>
  <c r="E56" i="14"/>
  <c r="G56" i="14" s="1"/>
  <c r="F56" i="14"/>
  <c r="C56" i="14"/>
  <c r="D55" i="14"/>
  <c r="E55" i="14"/>
  <c r="G55" i="14" s="1"/>
  <c r="F55" i="14"/>
  <c r="C55" i="14"/>
  <c r="D54" i="14"/>
  <c r="E54" i="14"/>
  <c r="F54" i="14"/>
  <c r="C54" i="14"/>
  <c r="D53" i="14"/>
  <c r="E53" i="14"/>
  <c r="F53" i="14"/>
  <c r="C53" i="14"/>
  <c r="C48" i="14"/>
  <c r="D48" i="14"/>
  <c r="E48" i="14"/>
  <c r="F48" i="14"/>
  <c r="G48" i="14" s="1"/>
  <c r="C49" i="14"/>
  <c r="D49" i="14"/>
  <c r="E49" i="14"/>
  <c r="F49" i="14"/>
  <c r="G49" i="14" s="1"/>
  <c r="C45" i="14"/>
  <c r="D45" i="14"/>
  <c r="E45" i="14"/>
  <c r="F45" i="14"/>
  <c r="G45" i="14" s="1"/>
  <c r="C46" i="14"/>
  <c r="D46" i="14"/>
  <c r="E46" i="14"/>
  <c r="F46" i="14"/>
  <c r="G46" i="14" s="1"/>
  <c r="G62" i="14"/>
  <c r="G63" i="14"/>
  <c r="G64" i="14"/>
  <c r="G65" i="14"/>
  <c r="C38" i="14"/>
  <c r="E38" i="14"/>
  <c r="F38" i="14"/>
  <c r="H38" i="14" s="1"/>
  <c r="C39" i="14"/>
  <c r="E39" i="14"/>
  <c r="F39" i="14"/>
  <c r="C40" i="14"/>
  <c r="D40" i="14"/>
  <c r="E40" i="14"/>
  <c r="G40" i="14" s="1"/>
  <c r="F40" i="14"/>
  <c r="C41" i="14"/>
  <c r="D41" i="14"/>
  <c r="E41" i="14"/>
  <c r="F41" i="14"/>
  <c r="C42" i="14"/>
  <c r="E42" i="14"/>
  <c r="F42" i="14"/>
  <c r="G42" i="14" s="1"/>
  <c r="C34" i="14"/>
  <c r="E116" i="2"/>
  <c r="E114" i="2"/>
  <c r="G114" i="2" s="1"/>
  <c r="G71" i="2"/>
  <c r="G72" i="2"/>
  <c r="G73" i="2"/>
  <c r="G74" i="2"/>
  <c r="G75" i="2"/>
  <c r="G63" i="2"/>
  <c r="G62" i="2"/>
  <c r="G57" i="2"/>
  <c r="H121" i="2"/>
  <c r="H122" i="2"/>
  <c r="H123" i="2"/>
  <c r="H124" i="2"/>
  <c r="H125" i="2"/>
  <c r="H126" i="2"/>
  <c r="F53" i="2"/>
  <c r="E53" i="2"/>
  <c r="E43" i="14" s="1"/>
  <c r="H9" i="2"/>
  <c r="H10" i="2"/>
  <c r="H11" i="2"/>
  <c r="H12" i="2"/>
  <c r="H13" i="2"/>
  <c r="H14" i="2"/>
  <c r="H15" i="2"/>
  <c r="H25" i="2"/>
  <c r="H31" i="2"/>
  <c r="H32" i="2"/>
  <c r="H33" i="2"/>
  <c r="H34" i="2"/>
  <c r="H38" i="2"/>
  <c r="D155" i="14"/>
  <c r="C155" i="14"/>
  <c r="D151" i="14"/>
  <c r="C151" i="14"/>
  <c r="D43" i="14"/>
  <c r="C43" i="14"/>
  <c r="E97" i="2"/>
  <c r="E59" i="14"/>
  <c r="F97" i="2"/>
  <c r="F59" i="14" s="1"/>
  <c r="G59" i="14" s="1"/>
  <c r="C59" i="14"/>
  <c r="G126" i="2"/>
  <c r="G125" i="2"/>
  <c r="G124" i="2"/>
  <c r="G123" i="2"/>
  <c r="G122" i="2"/>
  <c r="G121" i="2"/>
  <c r="G89" i="2"/>
  <c r="G152" i="14"/>
  <c r="C37" i="14"/>
  <c r="K65" i="10"/>
  <c r="G8" i="19"/>
  <c r="G43" i="19"/>
  <c r="G39" i="19"/>
  <c r="G38" i="19"/>
  <c r="G37" i="19"/>
  <c r="G35" i="19"/>
  <c r="G30" i="19"/>
  <c r="G23" i="19"/>
  <c r="G22" i="19"/>
  <c r="G117" i="2"/>
  <c r="G99" i="2"/>
  <c r="G93" i="2"/>
  <c r="G91" i="2"/>
  <c r="G90" i="2"/>
  <c r="G88" i="2"/>
  <c r="G60" i="2"/>
  <c r="G59" i="2"/>
  <c r="G58" i="2"/>
  <c r="G56" i="2"/>
  <c r="G55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15" i="2"/>
  <c r="G14" i="2"/>
  <c r="G13" i="2"/>
  <c r="G12" i="2"/>
  <c r="G11" i="2"/>
  <c r="G10" i="2"/>
  <c r="G9" i="2"/>
  <c r="G19" i="18"/>
  <c r="G53" i="18"/>
  <c r="E70" i="18"/>
  <c r="E113" i="14" s="1"/>
  <c r="E127" i="14"/>
  <c r="G53" i="14"/>
  <c r="G58" i="14"/>
  <c r="E166" i="14"/>
  <c r="C160" i="14"/>
  <c r="F43" i="14"/>
  <c r="G28" i="18"/>
  <c r="G120" i="14"/>
  <c r="G54" i="14"/>
  <c r="G74" i="18"/>
  <c r="G158" i="14"/>
  <c r="G97" i="2" l="1"/>
  <c r="G43" i="14"/>
  <c r="G76" i="14"/>
  <c r="G41" i="14"/>
  <c r="G39" i="14"/>
  <c r="G60" i="14"/>
  <c r="N55" i="9"/>
  <c r="AF30" i="9"/>
  <c r="O41" i="9"/>
  <c r="AA41" i="9"/>
  <c r="AE39" i="9"/>
  <c r="AF39" i="9"/>
  <c r="AE30" i="9"/>
  <c r="AC41" i="9"/>
  <c r="D163" i="14"/>
  <c r="D160" i="14" s="1"/>
  <c r="I14" i="10"/>
  <c r="D164" i="14"/>
  <c r="I15" i="10"/>
  <c r="G156" i="14"/>
  <c r="U29" i="10"/>
  <c r="G165" i="14"/>
  <c r="G121" i="14"/>
  <c r="H6" i="3"/>
  <c r="H7" i="18"/>
  <c r="G111" i="14"/>
  <c r="G7" i="18"/>
  <c r="H31" i="19"/>
  <c r="H78" i="14"/>
  <c r="G38" i="14"/>
  <c r="G78" i="14"/>
  <c r="E144" i="2"/>
  <c r="E145" i="2" s="1"/>
  <c r="H16" i="2"/>
  <c r="E149" i="14"/>
  <c r="E134" i="14" s="1"/>
  <c r="H134" i="14" s="1"/>
  <c r="G76" i="2"/>
  <c r="C80" i="14"/>
  <c r="N28" i="10"/>
  <c r="N17" i="10"/>
  <c r="G6" i="3"/>
  <c r="AE35" i="9"/>
  <c r="G155" i="14"/>
  <c r="N81" i="10"/>
  <c r="G157" i="14"/>
  <c r="V11" i="10"/>
  <c r="E160" i="14"/>
  <c r="N26" i="10"/>
  <c r="H165" i="14"/>
  <c r="M54" i="10"/>
  <c r="G122" i="14"/>
  <c r="E51" i="18"/>
  <c r="E112" i="14" s="1"/>
  <c r="E90" i="18"/>
  <c r="G34" i="18"/>
  <c r="D38" i="18"/>
  <c r="H107" i="14"/>
  <c r="G36" i="19"/>
  <c r="H36" i="19"/>
  <c r="H21" i="19"/>
  <c r="G97" i="14"/>
  <c r="E44" i="19"/>
  <c r="E108" i="14" s="1"/>
  <c r="H83" i="14"/>
  <c r="D36" i="19"/>
  <c r="D105" i="14" s="1"/>
  <c r="D21" i="19"/>
  <c r="D96" i="14" s="1"/>
  <c r="G77" i="14"/>
  <c r="G74" i="14"/>
  <c r="E108" i="2"/>
  <c r="E70" i="2"/>
  <c r="G70" i="2" s="1"/>
  <c r="H76" i="2"/>
  <c r="E69" i="14"/>
  <c r="H37" i="14"/>
  <c r="C89" i="18"/>
  <c r="C114" i="14" s="1"/>
  <c r="F89" i="18"/>
  <c r="F114" i="14" s="1"/>
  <c r="G114" i="14" s="1"/>
  <c r="G72" i="18"/>
  <c r="G79" i="18"/>
  <c r="E109" i="2"/>
  <c r="G31" i="19"/>
  <c r="G107" i="14"/>
  <c r="F118" i="14"/>
  <c r="G83" i="14"/>
  <c r="G53" i="2"/>
  <c r="H46" i="2"/>
  <c r="H113" i="2"/>
  <c r="M50" i="10"/>
  <c r="E128" i="14"/>
  <c r="E125" i="14" s="1"/>
  <c r="W41" i="9"/>
  <c r="X41" i="9"/>
  <c r="H139" i="14"/>
  <c r="F38" i="18"/>
  <c r="H38" i="18" s="1"/>
  <c r="G41" i="18"/>
  <c r="G38" i="18" s="1"/>
  <c r="AE38" i="9"/>
  <c r="AE34" i="9"/>
  <c r="C44" i="19"/>
  <c r="C108" i="14" s="1"/>
  <c r="AA6" i="9"/>
  <c r="V32" i="10"/>
  <c r="L108" i="2"/>
  <c r="Q108" i="2" s="1"/>
  <c r="Q61" i="2"/>
  <c r="Y32" i="10"/>
  <c r="Q23" i="2"/>
  <c r="L70" i="2"/>
  <c r="Q76" i="2"/>
  <c r="Q144" i="2" s="1"/>
  <c r="Q145" i="2" s="1"/>
  <c r="G16" i="2"/>
  <c r="G126" i="14"/>
  <c r="G129" i="14"/>
  <c r="G127" i="14"/>
  <c r="AD41" i="9"/>
  <c r="N42" i="9" s="1"/>
  <c r="AF31" i="9"/>
  <c r="AE37" i="9"/>
  <c r="AE33" i="9"/>
  <c r="E151" i="14"/>
  <c r="G151" i="14" s="1"/>
  <c r="G146" i="14"/>
  <c r="G135" i="14"/>
  <c r="L28" i="10"/>
  <c r="H41" i="18"/>
  <c r="AE36" i="9"/>
  <c r="AE32" i="9"/>
  <c r="L144" i="2"/>
  <c r="V36" i="10"/>
  <c r="I23" i="10"/>
  <c r="V17" i="10"/>
  <c r="Y17" i="10" s="1"/>
  <c r="D166" i="14" s="1"/>
  <c r="L17" i="10"/>
  <c r="E15" i="11"/>
  <c r="D143" i="14"/>
  <c r="D149" i="14" s="1"/>
  <c r="H138" i="14"/>
  <c r="G138" i="14"/>
  <c r="H135" i="14"/>
  <c r="G139" i="14"/>
  <c r="D135" i="14"/>
  <c r="D118" i="14"/>
  <c r="D128" i="14" s="1"/>
  <c r="D125" i="14" s="1"/>
  <c r="D6" i="3"/>
  <c r="H110" i="14"/>
  <c r="D7" i="18"/>
  <c r="D31" i="19"/>
  <c r="F44" i="19"/>
  <c r="G21" i="19"/>
  <c r="F96" i="14"/>
  <c r="G96" i="14" s="1"/>
  <c r="H98" i="14"/>
  <c r="H79" i="14"/>
  <c r="F80" i="14"/>
  <c r="G113" i="2"/>
  <c r="H77" i="14"/>
  <c r="H76" i="14"/>
  <c r="H166" i="14"/>
  <c r="F127" i="2"/>
  <c r="G75" i="14"/>
  <c r="D120" i="2"/>
  <c r="D73" i="14" s="1"/>
  <c r="D80" i="14" s="1"/>
  <c r="H74" i="14"/>
  <c r="D64" i="2"/>
  <c r="D61" i="2" s="1"/>
  <c r="D44" i="14" s="1"/>
  <c r="G94" i="2"/>
  <c r="H94" i="2"/>
  <c r="D94" i="2"/>
  <c r="D92" i="2" s="1"/>
  <c r="H92" i="2"/>
  <c r="F57" i="14"/>
  <c r="G57" i="14" s="1"/>
  <c r="G92" i="2"/>
  <c r="D76" i="2"/>
  <c r="D70" i="2" s="1"/>
  <c r="D47" i="14" s="1"/>
  <c r="H64" i="2"/>
  <c r="G64" i="2"/>
  <c r="F44" i="14"/>
  <c r="G61" i="2"/>
  <c r="H61" i="2"/>
  <c r="D46" i="2"/>
  <c r="D24" i="2" s="1"/>
  <c r="D37" i="14" s="1"/>
  <c r="G24" i="2"/>
  <c r="H24" i="2"/>
  <c r="G37" i="14"/>
  <c r="X8" i="9"/>
  <c r="AA8" i="9" s="1"/>
  <c r="D16" i="2"/>
  <c r="D8" i="2" s="1"/>
  <c r="F8" i="2"/>
  <c r="G8" i="2" s="1"/>
  <c r="C23" i="10"/>
  <c r="C118" i="14"/>
  <c r="C128" i="14" s="1"/>
  <c r="C125" i="14" s="1"/>
  <c r="C51" i="18"/>
  <c r="C112" i="14" s="1"/>
  <c r="C93" i="18"/>
  <c r="C104" i="14"/>
  <c r="C108" i="2"/>
  <c r="C44" i="14"/>
  <c r="C69" i="14" s="1"/>
  <c r="C144" i="2"/>
  <c r="C145" i="2" s="1"/>
  <c r="C109" i="2"/>
  <c r="C35" i="14"/>
  <c r="C36" i="14" s="1"/>
  <c r="C100" i="2"/>
  <c r="C23" i="2"/>
  <c r="C87" i="2" s="1"/>
  <c r="C112" i="2" s="1"/>
  <c r="C118" i="2" s="1"/>
  <c r="C51" i="14" s="1"/>
  <c r="C52" i="14" s="1"/>
  <c r="AE31" i="9"/>
  <c r="E172" i="14"/>
  <c r="E171" i="14"/>
  <c r="L27" i="10"/>
  <c r="F23" i="10"/>
  <c r="N27" i="10"/>
  <c r="E170" i="14"/>
  <c r="Y37" i="10"/>
  <c r="D165" i="14"/>
  <c r="Y11" i="10"/>
  <c r="Y36" i="10"/>
  <c r="F61" i="18"/>
  <c r="D61" i="18"/>
  <c r="K90" i="18"/>
  <c r="K93" i="18" s="1"/>
  <c r="G110" i="14"/>
  <c r="E93" i="18"/>
  <c r="G105" i="14"/>
  <c r="H105" i="14"/>
  <c r="H104" i="14"/>
  <c r="G104" i="14"/>
  <c r="G98" i="14"/>
  <c r="D104" i="14"/>
  <c r="G79" i="14"/>
  <c r="E80" i="14"/>
  <c r="G166" i="14"/>
  <c r="H73" i="14"/>
  <c r="H120" i="2"/>
  <c r="G73" i="14"/>
  <c r="G120" i="2"/>
  <c r="E47" i="14"/>
  <c r="H47" i="14" s="1"/>
  <c r="H70" i="2"/>
  <c r="E35" i="14"/>
  <c r="E23" i="2"/>
  <c r="E134" i="2"/>
  <c r="E100" i="2"/>
  <c r="C70" i="14" l="1"/>
  <c r="L87" i="2"/>
  <c r="J87" i="2" s="1"/>
  <c r="J70" i="2"/>
  <c r="L134" i="2"/>
  <c r="F164" i="14"/>
  <c r="L15" i="10"/>
  <c r="N15" i="10"/>
  <c r="D171" i="14"/>
  <c r="J171" i="14" s="1"/>
  <c r="I36" i="10"/>
  <c r="F171" i="14" s="1"/>
  <c r="D170" i="14"/>
  <c r="J170" i="14" s="1"/>
  <c r="I32" i="10"/>
  <c r="D172" i="14"/>
  <c r="J172" i="14" s="1"/>
  <c r="I37" i="10"/>
  <c r="F172" i="14" s="1"/>
  <c r="L14" i="10"/>
  <c r="F163" i="14"/>
  <c r="N14" i="10"/>
  <c r="I11" i="10"/>
  <c r="D44" i="19"/>
  <c r="D108" i="14" s="1"/>
  <c r="F108" i="14"/>
  <c r="O44" i="19"/>
  <c r="D144" i="2"/>
  <c r="G17" i="11"/>
  <c r="G134" i="14"/>
  <c r="L23" i="10"/>
  <c r="G80" i="14"/>
  <c r="D127" i="2"/>
  <c r="H8" i="2"/>
  <c r="C50" i="14"/>
  <c r="N37" i="10"/>
  <c r="L37" i="10"/>
  <c r="D32" i="18"/>
  <c r="F32" i="18"/>
  <c r="G32" i="18" s="1"/>
  <c r="H96" i="14"/>
  <c r="G108" i="14"/>
  <c r="H80" i="14"/>
  <c r="L112" i="2"/>
  <c r="AF41" i="9"/>
  <c r="AE41" i="9"/>
  <c r="G143" i="14"/>
  <c r="E17" i="11"/>
  <c r="N36" i="10"/>
  <c r="V42" i="9"/>
  <c r="Z42" i="9"/>
  <c r="H143" i="14"/>
  <c r="R42" i="9"/>
  <c r="D57" i="14"/>
  <c r="L36" i="10"/>
  <c r="Q70" i="2"/>
  <c r="L142" i="2"/>
  <c r="L100" i="2"/>
  <c r="J100" i="2" s="1"/>
  <c r="L109" i="2"/>
  <c r="G118" i="14"/>
  <c r="F128" i="14"/>
  <c r="H118" i="14"/>
  <c r="Y29" i="10"/>
  <c r="V29" i="10"/>
  <c r="H149" i="14"/>
  <c r="E14" i="11"/>
  <c r="G149" i="14"/>
  <c r="D134" i="14"/>
  <c r="D70" i="18"/>
  <c r="D113" i="14" s="1"/>
  <c r="H44" i="19"/>
  <c r="H108" i="14"/>
  <c r="G44" i="19"/>
  <c r="G127" i="2"/>
  <c r="H127" i="2"/>
  <c r="H57" i="14"/>
  <c r="G44" i="14"/>
  <c r="H44" i="14"/>
  <c r="D109" i="2"/>
  <c r="D134" i="2"/>
  <c r="D135" i="2" s="1"/>
  <c r="D136" i="2" s="1"/>
  <c r="D139" i="2" s="1"/>
  <c r="D35" i="14"/>
  <c r="F109" i="2"/>
  <c r="F35" i="14"/>
  <c r="H35" i="14" s="1"/>
  <c r="F142" i="2"/>
  <c r="F144" i="2"/>
  <c r="F145" i="2" s="1"/>
  <c r="F134" i="2"/>
  <c r="C105" i="2"/>
  <c r="C61" i="14"/>
  <c r="C66" i="14" s="1"/>
  <c r="C68" i="14" s="1"/>
  <c r="Y42" i="9"/>
  <c r="Q42" i="9"/>
  <c r="M42" i="9"/>
  <c r="U42" i="9"/>
  <c r="N23" i="10"/>
  <c r="G172" i="14"/>
  <c r="H172" i="14"/>
  <c r="E167" i="14"/>
  <c r="H171" i="14"/>
  <c r="G171" i="14"/>
  <c r="F70" i="18"/>
  <c r="G61" i="18"/>
  <c r="H61" i="18"/>
  <c r="E116" i="14"/>
  <c r="G47" i="14"/>
  <c r="E135" i="2"/>
  <c r="E136" i="2" s="1"/>
  <c r="E139" i="2" s="1"/>
  <c r="E87" i="2"/>
  <c r="E61" i="14"/>
  <c r="E105" i="2"/>
  <c r="E106" i="2" s="1"/>
  <c r="E67" i="14" s="1"/>
  <c r="E70" i="14"/>
  <c r="E36" i="14"/>
  <c r="D70" i="14"/>
  <c r="Q87" i="2" l="1"/>
  <c r="Q109" i="2"/>
  <c r="J109" i="2"/>
  <c r="L135" i="2"/>
  <c r="L136" i="2" s="1"/>
  <c r="L139" i="2" s="1"/>
  <c r="AD42" i="9"/>
  <c r="G163" i="14"/>
  <c r="H163" i="14"/>
  <c r="F160" i="14"/>
  <c r="D167" i="14"/>
  <c r="I29" i="10"/>
  <c r="F167" i="14" s="1"/>
  <c r="G167" i="14" s="1"/>
  <c r="F170" i="14"/>
  <c r="L32" i="10"/>
  <c r="N32" i="10"/>
  <c r="L11" i="10"/>
  <c r="N11" i="10"/>
  <c r="G164" i="14"/>
  <c r="H164" i="14"/>
  <c r="H32" i="18"/>
  <c r="P44" i="19"/>
  <c r="D145" i="2"/>
  <c r="L105" i="2"/>
  <c r="J105" i="2" s="1"/>
  <c r="Q100" i="2"/>
  <c r="F125" i="14"/>
  <c r="G128" i="14"/>
  <c r="H128" i="14"/>
  <c r="L118" i="2"/>
  <c r="Q118" i="2" s="1"/>
  <c r="Q112" i="2"/>
  <c r="G35" i="14"/>
  <c r="G134" i="2"/>
  <c r="F135" i="2"/>
  <c r="F136" i="2" s="1"/>
  <c r="F139" i="2" s="1"/>
  <c r="F70" i="14"/>
  <c r="H70" i="14" s="1"/>
  <c r="H109" i="2"/>
  <c r="G109" i="2"/>
  <c r="C133" i="14"/>
  <c r="C84" i="14"/>
  <c r="C132" i="14"/>
  <c r="C131" i="14"/>
  <c r="AC42" i="9"/>
  <c r="N29" i="10"/>
  <c r="L29" i="10"/>
  <c r="F113" i="14"/>
  <c r="G113" i="14" s="1"/>
  <c r="H70" i="18"/>
  <c r="G70" i="18"/>
  <c r="H25" i="18"/>
  <c r="G25" i="18"/>
  <c r="F24" i="18"/>
  <c r="D24" i="18"/>
  <c r="E142" i="14"/>
  <c r="E50" i="14"/>
  <c r="E19" i="19"/>
  <c r="E66" i="14"/>
  <c r="E112" i="2"/>
  <c r="H167" i="14" l="1"/>
  <c r="G160" i="14"/>
  <c r="H160" i="14"/>
  <c r="H170" i="14"/>
  <c r="G170" i="14"/>
  <c r="H125" i="14"/>
  <c r="G125" i="14"/>
  <c r="L106" i="2"/>
  <c r="Q106" i="2" s="1"/>
  <c r="Q105" i="2"/>
  <c r="G70" i="14"/>
  <c r="D93" i="18"/>
  <c r="D51" i="18"/>
  <c r="D112" i="14" s="1"/>
  <c r="G24" i="18"/>
  <c r="H24" i="18"/>
  <c r="F51" i="18"/>
  <c r="E132" i="14"/>
  <c r="E7" i="19"/>
  <c r="E84" i="14"/>
  <c r="E94" i="14" s="1"/>
  <c r="E131" i="14"/>
  <c r="E133" i="14"/>
  <c r="E118" i="2"/>
  <c r="H51" i="18" l="1"/>
  <c r="F112" i="14"/>
  <c r="G51" i="18"/>
  <c r="F93" i="18"/>
  <c r="G90" i="18"/>
  <c r="H90" i="18"/>
  <c r="E51" i="14"/>
  <c r="G93" i="18" l="1"/>
  <c r="H93" i="18"/>
  <c r="G112" i="14"/>
  <c r="F116" i="14"/>
  <c r="D116" i="14" s="1"/>
  <c r="H112" i="14"/>
  <c r="E52" i="14"/>
  <c r="G116" i="14" l="1"/>
  <c r="F142" i="14"/>
  <c r="D142" i="14" s="1"/>
  <c r="H116" i="14"/>
  <c r="G142" i="14" l="1"/>
  <c r="H142" i="14"/>
  <c r="F108" i="2" l="1"/>
  <c r="G108" i="2" s="1"/>
  <c r="G18" i="11"/>
  <c r="G55" i="10"/>
  <c r="H7" i="2"/>
  <c r="G7" i="2"/>
  <c r="F34" i="14"/>
  <c r="G34" i="14" s="1"/>
  <c r="F23" i="2"/>
  <c r="G23" i="2" s="1"/>
  <c r="F100" i="2"/>
  <c r="G100" i="2" s="1"/>
  <c r="F69" i="14" l="1"/>
  <c r="G69" i="14" s="1"/>
  <c r="H34" i="14"/>
  <c r="F105" i="2"/>
  <c r="H23" i="2"/>
  <c r="F87" i="2"/>
  <c r="G87" i="2" s="1"/>
  <c r="F61" i="14"/>
  <c r="F36" i="14"/>
  <c r="D100" i="2"/>
  <c r="H100" i="2"/>
  <c r="H69" i="14"/>
  <c r="H108" i="2"/>
  <c r="D34" i="14"/>
  <c r="D23" i="2"/>
  <c r="D87" i="2" s="1"/>
  <c r="D112" i="2" s="1"/>
  <c r="D118" i="2" s="1"/>
  <c r="D51" i="14" s="1"/>
  <c r="D108" i="2"/>
  <c r="F112" i="2" l="1"/>
  <c r="G105" i="2"/>
  <c r="F106" i="2"/>
  <c r="H105" i="2"/>
  <c r="H87" i="2"/>
  <c r="D69" i="14"/>
  <c r="E18" i="11"/>
  <c r="D36" i="14"/>
  <c r="D61" i="14"/>
  <c r="D66" i="14" s="1"/>
  <c r="D105" i="2"/>
  <c r="G36" i="14"/>
  <c r="F50" i="14"/>
  <c r="H36" i="14"/>
  <c r="G7" i="11"/>
  <c r="G112" i="2"/>
  <c r="F118" i="2"/>
  <c r="J112" i="2"/>
  <c r="H112" i="2"/>
  <c r="E13" i="11"/>
  <c r="E8" i="11"/>
  <c r="D52" i="14"/>
  <c r="F66" i="14"/>
  <c r="G61" i="14"/>
  <c r="H61" i="14"/>
  <c r="F7" i="19" l="1"/>
  <c r="F19" i="19" s="1"/>
  <c r="F67" i="14"/>
  <c r="G67" i="14" s="1"/>
  <c r="E9" i="11"/>
  <c r="D132" i="14"/>
  <c r="E10" i="11"/>
  <c r="D84" i="14"/>
  <c r="D133" i="14"/>
  <c r="D131" i="14"/>
  <c r="D7" i="19"/>
  <c r="E11" i="11"/>
  <c r="G118" i="2"/>
  <c r="H118" i="2"/>
  <c r="F51" i="14"/>
  <c r="J118" i="2"/>
  <c r="H50" i="14"/>
  <c r="G50" i="14"/>
  <c r="D50" i="14"/>
  <c r="E7" i="11"/>
  <c r="G66" i="14"/>
  <c r="G11" i="11"/>
  <c r="H66" i="14"/>
  <c r="F84" i="14"/>
  <c r="F133" i="14"/>
  <c r="F131" i="14"/>
  <c r="G9" i="11"/>
  <c r="G10" i="11"/>
  <c r="F132" i="14"/>
  <c r="D106" i="2"/>
  <c r="D67" i="14" s="1"/>
  <c r="G131" i="14" l="1"/>
  <c r="H131" i="14"/>
  <c r="G51" i="14"/>
  <c r="G13" i="11"/>
  <c r="F52" i="14"/>
  <c r="H51" i="14"/>
  <c r="G8" i="11"/>
  <c r="H132" i="14"/>
  <c r="G132" i="14"/>
  <c r="H7" i="19"/>
  <c r="G7" i="19"/>
  <c r="G133" i="14"/>
  <c r="H133" i="14"/>
  <c r="G19" i="19" l="1"/>
  <c r="F94" i="14"/>
  <c r="H19" i="19"/>
  <c r="G52" i="14"/>
  <c r="H52" i="14"/>
  <c r="H94" i="14" l="1"/>
  <c r="D94" i="14"/>
  <c r="G94" i="14"/>
</calcChain>
</file>

<file path=xl/sharedStrings.xml><?xml version="1.0" encoding="utf-8"?>
<sst xmlns="http://schemas.openxmlformats.org/spreadsheetml/2006/main" count="1076" uniqueCount="594">
  <si>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</si>
  <si>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</si>
  <si>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</si>
  <si>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</si>
  <si>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</si>
  <si>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</si>
  <si>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</si>
  <si>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</si>
  <si>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</si>
  <si>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</si>
  <si>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</si>
  <si>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</si>
  <si>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</si>
  <si>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</si>
  <si>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</si>
  <si>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</si>
  <si>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</si>
  <si>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</si>
  <si>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</si>
  <si>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</si>
  <si>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</si>
  <si>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</si>
  <si>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</si>
  <si>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</si>
  <si>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</si>
  <si>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</si>
  <si>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</si>
  <si>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</si>
  <si>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</si>
  <si>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</si>
  <si>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</si>
  <si>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</si>
  <si>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</si>
  <si>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</si>
  <si>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</si>
  <si>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</si>
  <si>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</si>
  <si>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</si>
  <si>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</si>
  <si>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</si>
  <si>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</si>
  <si>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</si>
  <si>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</si>
  <si>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</si>
  <si>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</si>
  <si>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</si>
  <si>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</si>
  <si>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</si>
  <si>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</si>
  <si>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</si>
  <si>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</si>
  <si>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</si>
  <si>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</si>
  <si>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</si>
  <si>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</si>
  <si>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</si>
  <si>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</si>
  <si>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</si>
  <si>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</si>
  <si>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</si>
  <si>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</si>
  <si>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</si>
  <si>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</si>
  <si>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</si>
  <si>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</si>
  <si>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</si>
  <si>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</si>
  <si>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</si>
  <si>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</si>
  <si>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</si>
  <si>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</si>
  <si>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</si>
  <si>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</si>
  <si>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</si>
  <si>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</si>
  <si>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</si>
  <si>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</si>
  <si>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</si>
  <si>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</si>
  <si>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</si>
  <si>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</si>
  <si>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</si>
  <si>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</si>
  <si>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</si>
  <si>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</si>
  <si>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</si>
  <si>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</si>
  <si>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</si>
  <si>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</si>
  <si>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</si>
  <si>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</si>
  <si>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</si>
  <si>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</si>
  <si>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</si>
  <si>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</si>
  <si>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</si>
  <si>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</si>
  <si>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</si>
  <si>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</si>
  <si>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</si>
  <si>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</si>
  <si>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</si>
  <si>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</si>
  <si>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</si>
  <si>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</si>
  <si>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</si>
  <si>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</si>
  <si>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</si>
  <si>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</si>
  <si>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</si>
  <si>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</si>
  <si>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</si>
  <si>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</si>
  <si>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</si>
  <si>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</si>
  <si>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</si>
  <si>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</si>
  <si>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</si>
  <si>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</si>
  <si>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</si>
  <si>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</si>
  <si>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</si>
  <si>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</si>
  <si>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</si>
  <si>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</si>
  <si>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</si>
  <si>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</si>
  <si>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</si>
  <si>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</si>
  <si>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</si>
  <si>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</si>
  <si>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</si>
  <si>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</si>
  <si>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</si>
  <si>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</si>
  <si>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</si>
  <si>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</si>
  <si>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</si>
  <si>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</si>
  <si>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</si>
  <si>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</si>
  <si>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</si>
  <si>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</si>
  <si>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</si>
  <si>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</si>
  <si>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</si>
  <si>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</si>
  <si>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</si>
  <si>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</si>
  <si>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</si>
  <si>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</si>
  <si>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</si>
  <si>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</si>
  <si>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</si>
  <si>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</si>
  <si>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</si>
  <si>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</si>
  <si>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</si>
  <si>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</si>
  <si>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</si>
  <si>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</si>
  <si>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</si>
  <si>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</si>
  <si>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</si>
  <si>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</si>
  <si>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</si>
  <si>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</si>
  <si>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</si>
  <si>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</si>
  <si>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</si>
  <si>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</si>
  <si>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</si>
  <si>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</si>
  <si>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</si>
  <si>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</si>
  <si>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</si>
  <si>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</si>
  <si>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</si>
  <si>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</si>
  <si>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</si>
  <si>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</si>
  <si>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</si>
  <si>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</si>
  <si>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</si>
  <si>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</si>
  <si>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</si>
  <si>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</si>
  <si>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</si>
  <si>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</si>
  <si>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</si>
  <si>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</si>
  <si>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</si>
  <si>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</si>
  <si>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</si>
  <si>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</si>
  <si>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</si>
  <si>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</si>
  <si>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</si>
  <si>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</si>
  <si>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</si>
  <si>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</si>
  <si>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</si>
  <si>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</si>
  <si>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</si>
  <si>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</si>
  <si>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</si>
  <si>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</si>
  <si>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</si>
  <si>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</si>
  <si>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</si>
  <si>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             (підпис)</t>
  </si>
  <si>
    <t xml:space="preserve">                                         (посада)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</si>
  <si>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</si>
  <si>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</si>
  <si>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</si>
  <si>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</si>
  <si>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</si>
  <si>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</si>
  <si>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</si>
  <si>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</si>
  <si>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</si>
  <si>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</si>
  <si>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</si>
  <si>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</si>
  <si>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</si>
  <si>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</si>
  <si>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</si>
  <si>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</si>
  <si>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</si>
  <si>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</si>
  <si>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</si>
  <si>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</si>
  <si>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</si>
  <si>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</si>
  <si>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</si>
  <si>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</si>
  <si>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</si>
  <si>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</si>
  <si>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</si>
  <si>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</si>
  <si>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</si>
  <si>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</si>
  <si>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</si>
  <si>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</si>
  <si>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</si>
  <si>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</si>
  <si>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</si>
  <si>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</si>
  <si>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</si>
  <si>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</si>
  <si>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</si>
  <si>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</si>
  <si>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</si>
  <si>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</si>
  <si>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</si>
  <si>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</si>
  <si>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</si>
  <si>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</si>
  <si>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</si>
  <si>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</si>
  <si>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</si>
  <si>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</si>
  <si>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</si>
  <si>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</si>
  <si>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</si>
  <si>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</si>
  <si>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</si>
  <si>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</si>
  <si>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</si>
  <si>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</si>
  <si>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</si>
  <si>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</si>
  <si>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</si>
  <si>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</si>
  <si>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</si>
  <si>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</si>
  <si>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</si>
  <si>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</si>
  <si>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</si>
  <si>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</si>
  <si>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</si>
  <si>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</si>
  <si>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</si>
  <si>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</si>
  <si>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</si>
  <si>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</si>
  <si>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</si>
  <si>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</si>
  <si>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</si>
  <si>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</si>
  <si>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</si>
  <si>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</si>
  <si>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</si>
  <si>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</si>
  <si>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</si>
  <si>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</si>
  <si>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</si>
  <si>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</si>
  <si>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</si>
  <si>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</si>
  <si>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</si>
  <si>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</si>
  <si>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</si>
  <si>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</si>
  <si>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</si>
  <si>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</si>
  <si>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</si>
  <si>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</si>
  <si>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</si>
  <si>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</si>
  <si>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</si>
  <si>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</si>
  <si>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</si>
  <si>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</si>
  <si>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</si>
  <si>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</si>
  <si>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</si>
  <si>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</si>
  <si>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</si>
  <si>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</si>
  <si>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</si>
  <si>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</si>
  <si>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</si>
  <si>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</si>
  <si>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</si>
  <si>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</si>
  <si>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</si>
  <si>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</si>
  <si>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</si>
  <si>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</si>
  <si>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</si>
  <si>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</si>
  <si>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</si>
  <si>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</si>
  <si>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</si>
  <si>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</si>
  <si>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</si>
  <si>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</si>
  <si>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</si>
  <si>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</si>
  <si>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</si>
  <si>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</si>
  <si>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</si>
  <si>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</si>
  <si>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</si>
  <si>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</si>
  <si>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</si>
  <si>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</si>
  <si>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</si>
  <si>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</si>
  <si>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</si>
  <si>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</si>
  <si>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</si>
  <si>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</si>
  <si>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</si>
  <si>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</si>
  <si>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</si>
  <si>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</si>
  <si>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</si>
  <si>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</si>
  <si>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</si>
  <si>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</si>
  <si>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</si>
  <si>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</si>
  <si>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</si>
  <si>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</si>
  <si>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</si>
  <si>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</si>
  <si>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</si>
  <si>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</si>
  <si>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</si>
  <si>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</si>
  <si>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</si>
  <si>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</si>
  <si>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</si>
  <si>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</si>
  <si>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</si>
  <si>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</si>
  <si>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</si>
  <si>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</si>
  <si>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</si>
  <si>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</si>
  <si>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</si>
  <si>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</si>
  <si>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</si>
  <si>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</si>
  <si>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</si>
  <si>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</si>
  <si>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</si>
  <si>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</si>
  <si>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</si>
  <si>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</si>
  <si>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</si>
  <si>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</si>
  <si>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</si>
  <si>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</si>
  <si>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</si>
  <si>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</si>
  <si>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</si>
  <si>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</si>
  <si>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</si>
  <si>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</si>
  <si>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</si>
  <si>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</si>
  <si>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</si>
  <si>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</si>
  <si>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</si>
  <si>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</si>
  <si>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</si>
  <si>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</si>
  <si>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</si>
  <si>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</si>
  <si>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</si>
  <si>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</si>
  <si>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</si>
  <si>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</si>
  <si>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КП "Деснянське" Чернігівської міської ради</t>
  </si>
  <si>
    <t>комунальне підприємство</t>
  </si>
  <si>
    <t>Чернігівська область</t>
  </si>
  <si>
    <t>Управління ЖКГ Чернігівської міської ради</t>
  </si>
  <si>
    <t>житлово-комунальне господарство</t>
  </si>
  <si>
    <t>комплексне обслуговування об'єктів</t>
  </si>
  <si>
    <t>81.10</t>
  </si>
  <si>
    <t>тис.грн</t>
  </si>
  <si>
    <t>комунальна власність</t>
  </si>
  <si>
    <t>14027, м.Чернігів, вул.Академіка Павлова, 13</t>
  </si>
  <si>
    <t>3-50-32</t>
  </si>
  <si>
    <t>податок на землю</t>
  </si>
  <si>
    <t>1018/1</t>
  </si>
  <si>
    <t>охорона праці</t>
  </si>
  <si>
    <t>1018/2</t>
  </si>
  <si>
    <t>навчання</t>
  </si>
  <si>
    <t>1018/3</t>
  </si>
  <si>
    <t>зв'язок</t>
  </si>
  <si>
    <t>1018/4</t>
  </si>
  <si>
    <t>платежі банкам</t>
  </si>
  <si>
    <t>1018/5</t>
  </si>
  <si>
    <t>інші</t>
  </si>
  <si>
    <t>1018/6</t>
  </si>
  <si>
    <t>1051/1</t>
  </si>
  <si>
    <t xml:space="preserve">РКО </t>
  </si>
  <si>
    <t>1051/2</t>
  </si>
  <si>
    <t>утримання адмін.приміщень</t>
  </si>
  <si>
    <t>1051/3</t>
  </si>
  <si>
    <t>матеріали</t>
  </si>
  <si>
    <t>1051/4</t>
  </si>
  <si>
    <t>підписка</t>
  </si>
  <si>
    <t>1051/5</t>
  </si>
  <si>
    <t>1051/7</t>
  </si>
  <si>
    <t>здача металобрухту</t>
  </si>
  <si>
    <t>1073/1</t>
  </si>
  <si>
    <t>1073/2</t>
  </si>
  <si>
    <t>1073/3</t>
  </si>
  <si>
    <t>1073/4</t>
  </si>
  <si>
    <t>бюджетні кошти (поточний ремонт проїздів, знесення аварійних дерев…)</t>
  </si>
  <si>
    <t>1073/5</t>
  </si>
  <si>
    <t>1086/1</t>
  </si>
  <si>
    <t>1086/2</t>
  </si>
  <si>
    <t>пільгові пенсії</t>
  </si>
  <si>
    <t>1086/3</t>
  </si>
  <si>
    <t>відрахування на культ-масову роботу, матеріальна допомога</t>
  </si>
  <si>
    <t>1086/4</t>
  </si>
  <si>
    <t>судові витрати</t>
  </si>
  <si>
    <t>1086/5</t>
  </si>
  <si>
    <t>1086/6</t>
  </si>
  <si>
    <t>1086/8</t>
  </si>
  <si>
    <t>1152/1</t>
  </si>
  <si>
    <t>1152/2</t>
  </si>
  <si>
    <t>інші податки та збори (розшифрувати) - військовий збір</t>
  </si>
  <si>
    <t>пільги</t>
  </si>
  <si>
    <t>субсидії</t>
  </si>
  <si>
    <t>фінансова підтримка</t>
  </si>
  <si>
    <t>бюджетні кошти на виконання робіт з поточного ремонту ЖФ</t>
  </si>
  <si>
    <t>інші (громадські роботи, лікарняні)</t>
  </si>
  <si>
    <t>військовий збір</t>
  </si>
  <si>
    <t>виплати безробітним (громадські роботи)</t>
  </si>
  <si>
    <t>аліменти</t>
  </si>
  <si>
    <t>лікарняні</t>
  </si>
  <si>
    <t>РКО</t>
  </si>
  <si>
    <t>Інші</t>
  </si>
  <si>
    <t>Комунальне підприєммство "Деснянське" Чернігівської міської ради</t>
  </si>
  <si>
    <t>81.10. Комплексне обслуговування об'єктів</t>
  </si>
  <si>
    <t>1.</t>
  </si>
  <si>
    <t>2.</t>
  </si>
  <si>
    <t>3.</t>
  </si>
  <si>
    <t>Інвентар, спец.одяг</t>
  </si>
  <si>
    <t>Керівник           Начальник підприємства</t>
  </si>
  <si>
    <t>В.В.Пригара</t>
  </si>
  <si>
    <t xml:space="preserve">         (підпис)</t>
  </si>
  <si>
    <t>Інші послуги</t>
  </si>
  <si>
    <t>8 послуг</t>
  </si>
  <si>
    <t>лікарняні (з ЄСВ)</t>
  </si>
  <si>
    <t>1086/7</t>
  </si>
  <si>
    <t>1086/9</t>
  </si>
  <si>
    <t>4.</t>
  </si>
  <si>
    <t>5.</t>
  </si>
  <si>
    <t>6.</t>
  </si>
  <si>
    <t>7.</t>
  </si>
  <si>
    <t>Комп.техніка</t>
  </si>
  <si>
    <t>8.</t>
  </si>
  <si>
    <t>Облаштування контейнерних майданчиків</t>
  </si>
  <si>
    <t>Встановлення декоративних огорож</t>
  </si>
  <si>
    <t>8004</t>
  </si>
  <si>
    <t>8005</t>
  </si>
  <si>
    <t>члени наглядової ради</t>
  </si>
  <si>
    <t>члени правління</t>
  </si>
  <si>
    <t>керівник</t>
  </si>
  <si>
    <t>8024</t>
  </si>
  <si>
    <t>8025</t>
  </si>
  <si>
    <t>керівник, усього в тому числі</t>
  </si>
  <si>
    <t>посадовий оклад</t>
  </si>
  <si>
    <t>преміювання</t>
  </si>
  <si>
    <t>інші виплати, передбачені законодавством</t>
  </si>
  <si>
    <t>податок</t>
  </si>
  <si>
    <t>-</t>
  </si>
  <si>
    <t>Нараховані до сплати відрахування частини чистого прибутку, учього у тому числі</t>
  </si>
  <si>
    <t>господарськими товариствами, у статутному капіталі яких більше 50 відсотків акцій (часток) належить державі, на виплату дивидендів</t>
  </si>
  <si>
    <t>працівник</t>
  </si>
  <si>
    <t>3156/1</t>
  </si>
  <si>
    <t>3156/2</t>
  </si>
  <si>
    <t xml:space="preserve">відрахування частини чистого прибутку державними унітарними підприємствами та їх об'єднаннями </t>
  </si>
  <si>
    <t>3156/3</t>
  </si>
  <si>
    <t>3156/4</t>
  </si>
  <si>
    <t>Інші витрачання (розшифрувати)</t>
  </si>
  <si>
    <t>Надходження від реалізації фінансових інвестицій, у тому числі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</si>
  <si>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</si>
  <si>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</si>
  <si>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</si>
  <si>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</si>
  <si>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</si>
  <si>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 xml:space="preserve">Витрачання грошових коштів від інвестиційної діяльності </t>
  </si>
  <si>
    <t>Витрачання на придбання фінансових інвестицій, у тому числі</t>
  </si>
  <si>
    <t xml:space="preserve">витрачання на придбання акцій та облігацій  </t>
  </si>
  <si>
    <t>Витрачання на придбання необоротних активів, у тому числі</t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</si>
  <si>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</si>
  <si>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t>3270/1</t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</si>
  <si>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</si>
  <si>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t>3270/2</t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</si>
  <si>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</si>
  <si>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3270/3</t>
  </si>
  <si>
    <t>Виплати за деривативами</t>
  </si>
  <si>
    <t>Інші платежі (розшифрувати)</t>
  </si>
  <si>
    <t>Витрачання на сплату відсотків</t>
  </si>
  <si>
    <t>Витрачання на сплату заборгованості з фінансової оренди</t>
  </si>
  <si>
    <t>Чистий рух грошових коштів за звітний період</t>
  </si>
  <si>
    <t>9.</t>
  </si>
  <si>
    <t>10.</t>
  </si>
  <si>
    <t>рік</t>
  </si>
  <si>
    <t>Cуб'єкт управління</t>
  </si>
  <si>
    <t>15 послуг</t>
  </si>
  <si>
    <t>Придбання/виготовлення контейнерів</t>
  </si>
  <si>
    <t>відрах.частини чистого прибутку господарськими товариствами, у статутному капіталі яких більше 50 відсотків акцій (часток) належить державі, на виплату дивидендів на державну частку</t>
  </si>
  <si>
    <t>Renault</t>
  </si>
  <si>
    <t xml:space="preserve">прибирання кабін ліфтів </t>
  </si>
  <si>
    <t>Рік 2021</t>
  </si>
  <si>
    <t>адмінстративні цілі</t>
  </si>
  <si>
    <t>Меблі</t>
  </si>
  <si>
    <t>амортизація об'єктів благоустрою</t>
  </si>
  <si>
    <t>1 квартал</t>
  </si>
  <si>
    <t>2 квартал</t>
  </si>
  <si>
    <t>3 квартал</t>
  </si>
  <si>
    <t>4 квартал</t>
  </si>
  <si>
    <t>Рік</t>
  </si>
  <si>
    <t>списання необоротних активів (залишкова вартість)</t>
  </si>
  <si>
    <t>Мотокоси, бензопила</t>
  </si>
  <si>
    <t>Кондиціонери</t>
  </si>
  <si>
    <t>ПРИГАРА Віктор</t>
  </si>
  <si>
    <t xml:space="preserve">Об'єкти благоустрою на прибудинкових територіях </t>
  </si>
  <si>
    <t>11.</t>
  </si>
  <si>
    <t>Дозвіл на експлуатацію машин, механізмів підвищеної небезпеки</t>
  </si>
  <si>
    <t>4 квартал - прогноз</t>
  </si>
  <si>
    <t>Прогноз 2021</t>
  </si>
  <si>
    <t>Обладнання для автотранспортної техніки, мототехніка</t>
  </si>
  <si>
    <t>штрафні санкції (2020 рік) / виконання виконавчого впровадження (2021 рік)</t>
  </si>
  <si>
    <t>у плані вкл.с/с реал.запасів</t>
  </si>
  <si>
    <t>інші (штрафи, пені, неустойки, виконання виконавчого впровадження)</t>
  </si>
  <si>
    <t>за 2021 рік</t>
  </si>
  <si>
    <t>2021 рік</t>
  </si>
  <si>
    <t>216 чол</t>
  </si>
  <si>
    <t>2021 рік (без ПДВ)</t>
  </si>
  <si>
    <t>до звіту про виконання фінансового плану за 2021 рік</t>
  </si>
  <si>
    <t>Загальна інформація про підприємство (резюме): КП "Деснянське" ЧМР виконує роботи з експлуатації та ремонту житлового фонду. Структура підприємства  - 3 дільниці з обслуговування житлового фонду та АТС. Загальна площа квартир житлового фонду (395 будинків) станом на 01.01.2022 року 964,8 т.м2. Середньооблікова чисельність працівників: 216 чол, з них апарат управління, ІТП та службовці - 46 чол., робітники  та обслуговуючий персонал - 170 чол. Середньомісячна заробітна плата за 2021 рік становила 9682 грн</t>
  </si>
  <si>
    <t>договір фінансового лізингу</t>
  </si>
  <si>
    <t>01.09.2019</t>
  </si>
  <si>
    <t>Економія за рахунок зменшення споживання на освітлення МЗК</t>
  </si>
  <si>
    <t>не всі заходи з охорони праці були виконані</t>
  </si>
  <si>
    <t>ріст цін на послуги; навчання нових робітників</t>
  </si>
  <si>
    <t>Ріст цін на ПММ; тарифів на теплову енергію</t>
  </si>
  <si>
    <t>ріст тарифів на теплову енергію</t>
  </si>
  <si>
    <t>виконання виконавчого впровадження за рішенням суду</t>
  </si>
  <si>
    <t>значне збільшення захворівших у 4 кварталі звітного року</t>
  </si>
  <si>
    <t>списання контейнерного майданчика (заміна на напівзаглиблений)</t>
  </si>
  <si>
    <t>Прибуток за рахунок приведення цін на послугу з управління до економічно обгрунтованих витрат. Перенесення виконання робіт з ремонту ліфтів на 2022 рік</t>
  </si>
  <si>
    <t>талони на знешкодження ВГВ - 539 тис.грн; списання безнадійної ДЗ - 37,9 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</si>
</sst>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#,##0.000"/>
    <numFmt numFmtId="180" formatCode="#,##0.0000"/>
    <numFmt numFmtId="181" formatCode="_(* #,##0.000_);_(* \(#,##0.000\);_(* &quot;-&quot;??_);_(@_)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u/>
      <sz val="2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9" fontId="2" fillId="0" borderId="0" applyFont="0" applyFill="0" applyBorder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490">
    <xf numFmtId="0" fontId="0" fillId="0" borderId="0" xfId="0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9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 shrinkToFi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vertical="center"/>
    </xf>
    <xf numFmtId="0" fontId="5" fillId="0" borderId="3" xfId="238" applyFont="1" applyBorder="1" applyAlignment="1">
      <alignment horizontal="left" vertical="top" wrapText="1"/>
    </xf>
    <xf numFmtId="0" fontId="13" fillId="0" borderId="0" xfId="0" applyFont="1"/>
    <xf numFmtId="0" fontId="4" fillId="0" borderId="0" xfId="0" quotePrefix="1" applyFont="1" applyAlignment="1">
      <alignment horizontal="center" vertical="center"/>
    </xf>
    <xf numFmtId="169" fontId="4" fillId="0" borderId="0" xfId="0" applyNumberFormat="1" applyFont="1" applyAlignment="1">
      <alignment horizontal="right" vertical="center" wrapText="1"/>
    </xf>
    <xf numFmtId="16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 shrinkToFit="1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3" xfId="238" applyFont="1" applyBorder="1" applyAlignment="1">
      <alignment horizontal="center" vertical="center"/>
    </xf>
    <xf numFmtId="0" fontId="5" fillId="0" borderId="0" xfId="246" applyFont="1" applyAlignment="1">
      <alignment vertical="center"/>
    </xf>
    <xf numFmtId="0" fontId="5" fillId="0" borderId="3" xfId="246" applyFont="1" applyBorder="1" applyAlignment="1">
      <alignment horizontal="left" vertical="center" wrapText="1"/>
    </xf>
    <xf numFmtId="0" fontId="4" fillId="0" borderId="0" xfId="246" applyFont="1" applyAlignment="1">
      <alignment vertical="center"/>
    </xf>
    <xf numFmtId="0" fontId="5" fillId="0" borderId="0" xfId="246" applyFont="1" applyAlignment="1">
      <alignment horizontal="center" vertical="center"/>
    </xf>
    <xf numFmtId="0" fontId="4" fillId="0" borderId="0" xfId="246" applyFont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3" xfId="246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70" fontId="4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246" applyFont="1"/>
    <xf numFmtId="0" fontId="5" fillId="0" borderId="0" xfId="246" applyFont="1" applyAlignment="1">
      <alignment vertical="center" wrapText="1"/>
    </xf>
    <xf numFmtId="0" fontId="4" fillId="0" borderId="3" xfId="238" applyFont="1" applyBorder="1" applyAlignment="1">
      <alignment horizontal="left" vertical="center"/>
    </xf>
    <xf numFmtId="0" fontId="5" fillId="0" borderId="0" xfId="0" applyFont="1"/>
    <xf numFmtId="0" fontId="11" fillId="0" borderId="3" xfId="0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quotePrefix="1" applyFont="1" applyAlignment="1">
      <alignment horizontal="center"/>
    </xf>
    <xf numFmtId="0" fontId="5" fillId="0" borderId="0" xfId="246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" xfId="246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0" fontId="5" fillId="0" borderId="0" xfId="0" quotePrefix="1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3" fontId="11" fillId="0" borderId="3" xfId="0" applyNumberFormat="1" applyFont="1" applyBorder="1" applyAlignment="1">
      <alignment horizontal="center" vertical="center" wrapText="1" shrinkToFit="1"/>
    </xf>
    <xf numFmtId="170" fontId="5" fillId="0" borderId="3" xfId="238" applyNumberFormat="1" applyFont="1" applyBorder="1" applyAlignment="1">
      <alignment horizontal="center" vertical="center" wrapText="1"/>
    </xf>
    <xf numFmtId="0" fontId="5" fillId="0" borderId="3" xfId="238" applyFont="1" applyBorder="1" applyAlignment="1">
      <alignment horizontal="left" vertical="center" wrapText="1"/>
    </xf>
    <xf numFmtId="0" fontId="71" fillId="0" borderId="0" xfId="0" applyFont="1"/>
    <xf numFmtId="49" fontId="5" fillId="0" borderId="3" xfId="238" applyNumberFormat="1" applyFont="1" applyBorder="1" applyAlignment="1">
      <alignment horizontal="left" vertical="center" wrapText="1"/>
    </xf>
    <xf numFmtId="0" fontId="5" fillId="0" borderId="3" xfId="0" applyFont="1" applyBorder="1"/>
    <xf numFmtId="3" fontId="5" fillId="0" borderId="0" xfId="0" applyNumberFormat="1" applyFont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170" fontId="4" fillId="0" borderId="0" xfId="0" applyNumberFormat="1" applyFont="1" applyAlignment="1">
      <alignment vertical="center"/>
    </xf>
    <xf numFmtId="0" fontId="5" fillId="0" borderId="3" xfId="238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5" fillId="0" borderId="19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19" xfId="0" quotePrefix="1" applyFont="1" applyBorder="1" applyAlignment="1">
      <alignment horizontal="center" vertical="center"/>
    </xf>
    <xf numFmtId="0" fontId="4" fillId="0" borderId="17" xfId="246" applyFont="1" applyBorder="1" applyAlignment="1">
      <alignment horizontal="left" vertical="center" wrapText="1"/>
    </xf>
    <xf numFmtId="0" fontId="4" fillId="0" borderId="16" xfId="246" applyFont="1" applyBorder="1" applyAlignment="1">
      <alignment horizontal="left" vertical="center" wrapText="1"/>
    </xf>
    <xf numFmtId="0" fontId="4" fillId="0" borderId="15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9" xfId="246" applyFont="1" applyBorder="1" applyAlignment="1">
      <alignment horizontal="left" vertical="center" wrapText="1"/>
    </xf>
    <xf numFmtId="0" fontId="5" fillId="0" borderId="20" xfId="246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246" applyFont="1" applyBorder="1" applyAlignment="1">
      <alignment horizontal="left" vertical="center" wrapText="1"/>
    </xf>
    <xf numFmtId="169" fontId="5" fillId="0" borderId="3" xfId="207" applyNumberFormat="1" applyFont="1" applyFill="1" applyBorder="1" applyAlignment="1">
      <alignment horizontal="right" vertical="center" wrapText="1"/>
    </xf>
    <xf numFmtId="169" fontId="4" fillId="0" borderId="3" xfId="207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 wrapText="1"/>
    </xf>
    <xf numFmtId="170" fontId="5" fillId="0" borderId="19" xfId="0" applyNumberFormat="1" applyFont="1" applyBorder="1" applyAlignment="1">
      <alignment horizontal="right"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0" fontId="4" fillId="26" borderId="14" xfId="246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0" borderId="3" xfId="0" applyNumberFormat="1" applyFont="1" applyBorder="1" applyAlignment="1">
      <alignment horizontal="right" vertical="center" wrapText="1"/>
    </xf>
    <xf numFmtId="170" fontId="4" fillId="0" borderId="3" xfId="0" applyNumberFormat="1" applyFont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right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170" fontId="5" fillId="0" borderId="0" xfId="0" applyNumberFormat="1" applyFont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 shrinkToFit="1"/>
    </xf>
    <xf numFmtId="170" fontId="5" fillId="0" borderId="16" xfId="0" applyNumberFormat="1" applyFont="1" applyBorder="1" applyAlignment="1">
      <alignment vertical="center"/>
    </xf>
    <xf numFmtId="170" fontId="5" fillId="0" borderId="16" xfId="0" applyNumberFormat="1" applyFont="1" applyBorder="1" applyAlignment="1">
      <alignment vertical="center" wrapText="1"/>
    </xf>
    <xf numFmtId="170" fontId="5" fillId="0" borderId="3" xfId="0" applyNumberFormat="1" applyFont="1" applyBorder="1" applyAlignment="1">
      <alignment vertical="center"/>
    </xf>
    <xf numFmtId="170" fontId="5" fillId="0" borderId="17" xfId="0" applyNumberFormat="1" applyFont="1" applyBorder="1" applyAlignment="1">
      <alignment vertical="center" wrapText="1"/>
    </xf>
    <xf numFmtId="170" fontId="5" fillId="0" borderId="17" xfId="0" applyNumberFormat="1" applyFont="1" applyBorder="1" applyAlignment="1">
      <alignment vertical="center"/>
    </xf>
    <xf numFmtId="170" fontId="4" fillId="27" borderId="3" xfId="0" applyNumberFormat="1" applyFont="1" applyFill="1" applyBorder="1" applyAlignment="1">
      <alignment horizontal="center" vertical="center" wrapText="1"/>
    </xf>
    <xf numFmtId="170" fontId="4" fillId="26" borderId="3" xfId="0" applyNumberFormat="1" applyFont="1" applyFill="1" applyBorder="1" applyAlignment="1">
      <alignment horizontal="center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170" fontId="4" fillId="0" borderId="0" xfId="0" quotePrefix="1" applyNumberFormat="1" applyFont="1" applyAlignment="1">
      <alignment horizontal="center"/>
    </xf>
    <xf numFmtId="170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left" vertical="center"/>
    </xf>
    <xf numFmtId="170" fontId="5" fillId="0" borderId="0" xfId="0" applyNumberFormat="1" applyFont="1" applyAlignment="1">
      <alignment horizontal="left" vertical="justify"/>
    </xf>
    <xf numFmtId="170" fontId="5" fillId="0" borderId="15" xfId="0" applyNumberFormat="1" applyFont="1" applyBorder="1" applyAlignment="1">
      <alignment horizontal="center" vertical="center" wrapText="1"/>
    </xf>
    <xf numFmtId="170" fontId="5" fillId="0" borderId="19" xfId="0" applyNumberFormat="1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170" fontId="5" fillId="30" borderId="19" xfId="0" applyNumberFormat="1" applyFont="1" applyFill="1" applyBorder="1" applyAlignment="1">
      <alignment horizontal="center" vertical="center" wrapText="1"/>
    </xf>
    <xf numFmtId="170" fontId="5" fillId="27" borderId="3" xfId="0" applyNumberFormat="1" applyFont="1" applyFill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170" fontId="4" fillId="27" borderId="19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center" vertical="center" wrapText="1"/>
    </xf>
    <xf numFmtId="170" fontId="5" fillId="29" borderId="19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170" fontId="5" fillId="29" borderId="15" xfId="0" applyNumberFormat="1" applyFont="1" applyFill="1" applyBorder="1" applyAlignment="1">
      <alignment horizontal="center" vertical="center" wrapText="1"/>
    </xf>
    <xf numFmtId="170" fontId="5" fillId="29" borderId="20" xfId="0" applyNumberFormat="1" applyFont="1" applyFill="1" applyBorder="1" applyAlignment="1">
      <alignment horizontal="center" vertical="center" wrapText="1"/>
    </xf>
    <xf numFmtId="170" fontId="5" fillId="0" borderId="0" xfId="246" applyNumberFormat="1" applyFont="1" applyAlignment="1">
      <alignment horizontal="center" vertical="center"/>
    </xf>
    <xf numFmtId="170" fontId="4" fillId="0" borderId="17" xfId="246" applyNumberFormat="1" applyFont="1" applyBorder="1" applyAlignment="1">
      <alignment horizontal="left" vertical="center" wrapText="1"/>
    </xf>
    <xf numFmtId="170" fontId="4" fillId="0" borderId="0" xfId="0" quotePrefix="1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70" fontId="7" fillId="0" borderId="3" xfId="0" applyNumberFormat="1" applyFont="1" applyBorder="1" applyAlignment="1">
      <alignment horizontal="center" vertical="center" wrapText="1"/>
    </xf>
    <xf numFmtId="1" fontId="5" fillId="0" borderId="3" xfId="246" applyNumberFormat="1" applyFont="1" applyBorder="1" applyAlignment="1">
      <alignment horizontal="center" vertical="center"/>
    </xf>
    <xf numFmtId="1" fontId="5" fillId="0" borderId="3" xfId="246" applyNumberFormat="1" applyFont="1" applyBorder="1" applyAlignment="1">
      <alignment horizontal="center" vertical="center" wrapText="1"/>
    </xf>
    <xf numFmtId="1" fontId="5" fillId="0" borderId="0" xfId="246" applyNumberFormat="1" applyFont="1" applyAlignment="1">
      <alignment vertic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 shrinkToFit="1"/>
    </xf>
    <xf numFmtId="3" fontId="5" fillId="0" borderId="0" xfId="0" applyNumberFormat="1" applyFont="1" applyAlignment="1">
      <alignment vertical="center"/>
    </xf>
    <xf numFmtId="0" fontId="5" fillId="0" borderId="3" xfId="0" quotePrefix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76" fillId="0" borderId="0" xfId="0" quotePrefix="1" applyFont="1" applyAlignment="1">
      <alignment horizontal="center" vertical="center"/>
    </xf>
    <xf numFmtId="0" fontId="76" fillId="0" borderId="0" xfId="0" applyFont="1" applyAlignment="1">
      <alignment vertical="center"/>
    </xf>
    <xf numFmtId="170" fontId="76" fillId="0" borderId="0" xfId="0" quotePrefix="1" applyNumberFormat="1" applyFont="1" applyAlignment="1">
      <alignment vertical="center" wrapText="1"/>
    </xf>
    <xf numFmtId="170" fontId="7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 shrinkToFit="1"/>
    </xf>
    <xf numFmtId="170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8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246" applyFont="1" applyAlignment="1">
      <alignment horizontal="center" vertical="center"/>
    </xf>
    <xf numFmtId="169" fontId="80" fillId="0" borderId="0" xfId="0" applyNumberFormat="1" applyFont="1" applyAlignment="1">
      <alignment horizontal="right" vertical="center"/>
    </xf>
    <xf numFmtId="169" fontId="81" fillId="0" borderId="0" xfId="0" applyNumberFormat="1" applyFont="1" applyAlignment="1">
      <alignment horizontal="right" vertical="center"/>
    </xf>
    <xf numFmtId="4" fontId="5" fillId="0" borderId="3" xfId="238" applyNumberFormat="1" applyFont="1" applyBorder="1" applyAlignment="1">
      <alignment horizontal="center" vertical="center" wrapText="1"/>
    </xf>
    <xf numFmtId="178" fontId="4" fillId="0" borderId="14" xfId="207" applyNumberFormat="1" applyFont="1" applyFill="1" applyBorder="1" applyAlignment="1">
      <alignment horizontal="right" vertical="center" wrapText="1"/>
    </xf>
    <xf numFmtId="178" fontId="4" fillId="0" borderId="16" xfId="207" applyNumberFormat="1" applyFont="1" applyFill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178" fontId="7" fillId="0" borderId="14" xfId="207" applyNumberFormat="1" applyFont="1" applyFill="1" applyBorder="1" applyAlignment="1">
      <alignment horizontal="right" vertical="center" wrapText="1"/>
    </xf>
    <xf numFmtId="178" fontId="7" fillId="0" borderId="16" xfId="207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 shrinkToFit="1"/>
    </xf>
    <xf numFmtId="4" fontId="5" fillId="29" borderId="19" xfId="0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4" fontId="5" fillId="29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238" applyNumberFormat="1" applyFont="1" applyBorder="1" applyAlignment="1">
      <alignment horizontal="center" vertical="center" wrapText="1"/>
    </xf>
    <xf numFmtId="180" fontId="5" fillId="0" borderId="3" xfId="238" applyNumberFormat="1" applyFont="1" applyBorder="1" applyAlignment="1">
      <alignment horizontal="center" vertical="center" wrapText="1"/>
    </xf>
    <xf numFmtId="0" fontId="4" fillId="0" borderId="3" xfId="246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81" fontId="5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170" fontId="5" fillId="0" borderId="3" xfId="0" applyNumberFormat="1" applyFont="1" applyBorder="1" applyAlignment="1">
      <alignment horizontal="center" vertical="center"/>
    </xf>
    <xf numFmtId="169" fontId="5" fillId="0" borderId="3" xfId="207" applyNumberFormat="1" applyFont="1" applyFill="1" applyBorder="1" applyAlignment="1">
      <alignment horizontal="right" vertical="center"/>
    </xf>
    <xf numFmtId="170" fontId="5" fillId="30" borderId="3" xfId="0" applyNumberFormat="1" applyFont="1" applyFill="1" applyBorder="1" applyAlignment="1">
      <alignment horizontal="center" vertical="center"/>
    </xf>
    <xf numFmtId="170" fontId="4" fillId="29" borderId="3" xfId="0" applyNumberFormat="1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169" fontId="4" fillId="0" borderId="3" xfId="207" applyNumberFormat="1" applyFont="1" applyFill="1" applyBorder="1" applyAlignment="1">
      <alignment horizontal="right" vertical="center"/>
    </xf>
    <xf numFmtId="170" fontId="5" fillId="0" borderId="3" xfId="0" applyNumberFormat="1" applyFont="1" applyBorder="1" applyAlignment="1">
      <alignment horizontal="right" vertical="center"/>
    </xf>
    <xf numFmtId="170" fontId="4" fillId="30" borderId="3" xfId="0" applyNumberFormat="1" applyFont="1" applyFill="1" applyBorder="1" applyAlignment="1">
      <alignment horizontal="center" vertical="center"/>
    </xf>
    <xf numFmtId="170" fontId="5" fillId="0" borderId="15" xfId="0" applyNumberFormat="1" applyFont="1" applyBorder="1" applyAlignment="1">
      <alignment horizontal="center" vertical="center"/>
    </xf>
    <xf numFmtId="170" fontId="4" fillId="27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170" fontId="4" fillId="26" borderId="3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70" fontId="76" fillId="0" borderId="0" xfId="0" applyNumberFormat="1" applyFont="1" applyAlignment="1">
      <alignment horizontal="left" vertical="center"/>
    </xf>
    <xf numFmtId="170" fontId="76" fillId="0" borderId="0" xfId="0" quotePrefix="1" applyNumberFormat="1" applyFont="1" applyAlignment="1">
      <alignment vertical="center"/>
    </xf>
    <xf numFmtId="0" fontId="4" fillId="0" borderId="3" xfId="246" applyFont="1" applyBorder="1" applyAlignment="1">
      <alignment horizontal="left" vertical="center"/>
    </xf>
    <xf numFmtId="169" fontId="4" fillId="0" borderId="3" xfId="246" applyNumberFormat="1" applyFont="1" applyBorder="1" applyAlignment="1">
      <alignment horizontal="center" vertical="center"/>
    </xf>
    <xf numFmtId="170" fontId="4" fillId="0" borderId="3" xfId="246" applyNumberFormat="1" applyFont="1" applyBorder="1" applyAlignment="1">
      <alignment horizontal="center" vertical="center"/>
    </xf>
    <xf numFmtId="0" fontId="5" fillId="0" borderId="3" xfId="246" applyFont="1" applyBorder="1" applyAlignment="1">
      <alignment horizontal="left" vertical="center"/>
    </xf>
    <xf numFmtId="170" fontId="79" fillId="0" borderId="3" xfId="0" applyNumberFormat="1" applyFont="1" applyBorder="1" applyAlignment="1">
      <alignment horizontal="center" vertical="center"/>
    </xf>
    <xf numFmtId="169" fontId="5" fillId="0" borderId="3" xfId="207" applyNumberFormat="1" applyFont="1" applyFill="1" applyBorder="1" applyAlignment="1">
      <alignment horizontal="center" vertical="center"/>
    </xf>
    <xf numFmtId="170" fontId="5" fillId="27" borderId="3" xfId="0" applyNumberFormat="1" applyFont="1" applyFill="1" applyBorder="1" applyAlignment="1">
      <alignment horizontal="center" vertical="center"/>
    </xf>
    <xf numFmtId="0" fontId="79" fillId="0" borderId="3" xfId="0" applyFont="1" applyBorder="1" applyAlignment="1">
      <alignment horizontal="right" vertical="center"/>
    </xf>
    <xf numFmtId="170" fontId="79" fillId="0" borderId="3" xfId="0" applyNumberFormat="1" applyFont="1" applyBorder="1" applyAlignment="1">
      <alignment horizontal="right" vertical="center"/>
    </xf>
    <xf numFmtId="169" fontId="79" fillId="0" borderId="3" xfId="207" applyNumberFormat="1" applyFont="1" applyFill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170" fontId="79" fillId="0" borderId="0" xfId="0" applyNumberFormat="1" applyFont="1" applyAlignment="1">
      <alignment horizontal="center" vertical="center"/>
    </xf>
    <xf numFmtId="170" fontId="74" fillId="0" borderId="0" xfId="0" applyNumberFormat="1" applyFont="1" applyAlignment="1">
      <alignment horizontal="left" vertical="center"/>
    </xf>
    <xf numFmtId="170" fontId="4" fillId="0" borderId="0" xfId="0" applyNumberFormat="1" applyFont="1" applyAlignment="1">
      <alignment horizontal="left" vertical="center"/>
    </xf>
    <xf numFmtId="174" fontId="5" fillId="0" borderId="3" xfId="0" applyNumberFormat="1" applyFont="1" applyBorder="1" applyAlignment="1">
      <alignment horizontal="center" vertical="center" wrapText="1"/>
    </xf>
    <xf numFmtId="170" fontId="7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9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5" fillId="27" borderId="3" xfId="0" applyNumberFormat="1" applyFont="1" applyFill="1" applyBorder="1" applyAlignment="1">
      <alignment horizontal="center" vertical="center"/>
    </xf>
    <xf numFmtId="169" fontId="79" fillId="0" borderId="0" xfId="0" applyNumberFormat="1" applyFont="1" applyAlignment="1">
      <alignment vertical="center"/>
    </xf>
    <xf numFmtId="170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4" fillId="30" borderId="14" xfId="0" applyNumberFormat="1" applyFont="1" applyFill="1" applyBorder="1" applyAlignment="1">
      <alignment horizontal="center" vertical="center"/>
    </xf>
    <xf numFmtId="170" fontId="5" fillId="0" borderId="14" xfId="0" applyNumberFormat="1" applyFont="1" applyBorder="1" applyAlignment="1">
      <alignment horizontal="right" vertical="center"/>
    </xf>
    <xf numFmtId="170" fontId="4" fillId="27" borderId="14" xfId="0" applyNumberFormat="1" applyFont="1" applyFill="1" applyBorder="1" applyAlignment="1">
      <alignment horizontal="center" vertical="center"/>
    </xf>
    <xf numFmtId="170" fontId="5" fillId="30" borderId="14" xfId="0" applyNumberFormat="1" applyFont="1" applyFill="1" applyBorder="1" applyAlignment="1">
      <alignment horizontal="center" vertical="center"/>
    </xf>
    <xf numFmtId="170" fontId="79" fillId="0" borderId="14" xfId="0" applyNumberFormat="1" applyFont="1" applyBorder="1" applyAlignment="1">
      <alignment horizontal="right" vertical="center"/>
    </xf>
    <xf numFmtId="170" fontId="4" fillId="26" borderId="14" xfId="0" applyNumberFormat="1" applyFont="1" applyFill="1" applyBorder="1" applyAlignment="1">
      <alignment horizontal="center" vertical="center"/>
    </xf>
    <xf numFmtId="170" fontId="4" fillId="29" borderId="14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0" fontId="4" fillId="0" borderId="19" xfId="0" applyNumberFormat="1" applyFont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70" fontId="5" fillId="0" borderId="3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8" fillId="0" borderId="3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 wrapText="1"/>
    </xf>
    <xf numFmtId="170" fontId="4" fillId="31" borderId="3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left" vertical="center"/>
    </xf>
    <xf numFmtId="170" fontId="5" fillId="31" borderId="3" xfId="0" applyNumberFormat="1" applyFont="1" applyFill="1" applyBorder="1" applyAlignment="1">
      <alignment horizontal="center" vertical="center"/>
    </xf>
    <xf numFmtId="170" fontId="79" fillId="0" borderId="3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70" fontId="4" fillId="0" borderId="0" xfId="246" applyNumberFormat="1" applyFont="1" applyAlignment="1">
      <alignment vertical="center"/>
    </xf>
    <xf numFmtId="0" fontId="5" fillId="31" borderId="3" xfId="0" applyFont="1" applyFill="1" applyBorder="1" applyAlignment="1">
      <alignment horizontal="center" vertical="center"/>
    </xf>
    <xf numFmtId="1" fontId="4" fillId="31" borderId="3" xfId="0" applyNumberFormat="1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right" vertical="center"/>
    </xf>
    <xf numFmtId="1" fontId="5" fillId="31" borderId="3" xfId="0" applyNumberFormat="1" applyFont="1" applyFill="1" applyBorder="1" applyAlignment="1">
      <alignment horizontal="right" vertical="center"/>
    </xf>
    <xf numFmtId="170" fontId="7" fillId="31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8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49" fontId="13" fillId="0" borderId="3" xfId="0" quotePrefix="1" applyNumberFormat="1" applyFont="1" applyBorder="1" applyAlignment="1">
      <alignment horizontal="left" vertical="center" wrapText="1"/>
    </xf>
    <xf numFmtId="49" fontId="86" fillId="0" borderId="3" xfId="0" quotePrefix="1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169" fontId="13" fillId="0" borderId="3" xfId="207" applyNumberFormat="1" applyFont="1" applyFill="1" applyBorder="1" applyAlignment="1">
      <alignment horizontal="left" vertical="center" wrapText="1"/>
    </xf>
    <xf numFmtId="169" fontId="13" fillId="0" borderId="3" xfId="207" applyNumberFormat="1" applyFont="1" applyFill="1" applyBorder="1" applyAlignment="1">
      <alignment horizontal="left" vertical="center"/>
    </xf>
    <xf numFmtId="49" fontId="13" fillId="0" borderId="3" xfId="0" quotePrefix="1" applyNumberFormat="1" applyFont="1" applyBorder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69" fontId="5" fillId="0" borderId="3" xfId="207" applyNumberFormat="1" applyFont="1" applyFill="1" applyBorder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11" fillId="0" borderId="3" xfId="0" quotePrefix="1" applyNumberFormat="1" applyFont="1" applyBorder="1" applyAlignment="1">
      <alignment horizontal="left" vertical="center" wrapText="1"/>
    </xf>
    <xf numFmtId="49" fontId="11" fillId="0" borderId="3" xfId="0" quotePrefix="1" applyNumberFormat="1" applyFont="1" applyBorder="1" applyAlignment="1">
      <alignment horizontal="left" vertical="center"/>
    </xf>
    <xf numFmtId="49" fontId="87" fillId="0" borderId="3" xfId="0" quotePrefix="1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0" xfId="0" quotePrefix="1" applyFont="1" applyAlignment="1">
      <alignment horizontal="left"/>
    </xf>
    <xf numFmtId="170" fontId="87" fillId="0" borderId="0" xfId="0" applyNumberFormat="1" applyFont="1" applyAlignment="1">
      <alignment horizontal="left" vertical="justify"/>
    </xf>
    <xf numFmtId="170" fontId="87" fillId="0" borderId="0" xfId="0" applyNumberFormat="1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49" fontId="11" fillId="0" borderId="3" xfId="0" applyNumberFormat="1" applyFont="1" applyBorder="1" applyAlignment="1">
      <alignment horizontal="left" vertical="center" wrapText="1"/>
    </xf>
    <xf numFmtId="169" fontId="4" fillId="0" borderId="3" xfId="207" applyNumberFormat="1" applyFont="1" applyFill="1" applyBorder="1" applyAlignment="1">
      <alignment horizontal="center" vertical="center" wrapText="1"/>
    </xf>
    <xf numFmtId="169" fontId="5" fillId="0" borderId="3" xfId="20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0" fontId="5" fillId="0" borderId="17" xfId="0" applyNumberFormat="1" applyFont="1" applyBorder="1" applyAlignment="1">
      <alignment horizontal="left" vertical="center" wrapText="1"/>
    </xf>
    <xf numFmtId="170" fontId="5" fillId="0" borderId="16" xfId="0" applyNumberFormat="1" applyFont="1" applyBorder="1" applyAlignment="1">
      <alignment horizontal="left" vertical="center" wrapText="1"/>
    </xf>
    <xf numFmtId="170" fontId="0" fillId="0" borderId="16" xfId="0" applyNumberForma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0" fontId="4" fillId="0" borderId="3" xfId="246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238" applyFont="1" applyBorder="1" applyAlignment="1">
      <alignment horizontal="center" vertical="center" wrapText="1"/>
    </xf>
    <xf numFmtId="0" fontId="4" fillId="0" borderId="21" xfId="238" applyFont="1" applyBorder="1" applyAlignment="1">
      <alignment horizontal="center" vertical="center" wrapText="1"/>
    </xf>
    <xf numFmtId="0" fontId="4" fillId="0" borderId="22" xfId="238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246" applyFont="1" applyAlignment="1">
      <alignment horizontal="center" vertical="center"/>
    </xf>
    <xf numFmtId="0" fontId="5" fillId="0" borderId="3" xfId="246" applyFont="1" applyBorder="1" applyAlignment="1">
      <alignment horizontal="center" vertical="center"/>
    </xf>
    <xf numFmtId="0" fontId="5" fillId="0" borderId="3" xfId="246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238" applyFont="1" applyAlignment="1">
      <alignment horizontal="center" vertical="center" wrapText="1"/>
    </xf>
    <xf numFmtId="0" fontId="5" fillId="0" borderId="15" xfId="238" applyFont="1" applyBorder="1" applyAlignment="1">
      <alignment horizontal="center" vertical="center" wrapText="1"/>
    </xf>
    <xf numFmtId="0" fontId="5" fillId="0" borderId="19" xfId="238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70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4" fillId="0" borderId="14" xfId="207" applyNumberFormat="1" applyFont="1" applyFill="1" applyBorder="1" applyAlignment="1">
      <alignment horizontal="right" vertical="center" wrapText="1"/>
    </xf>
    <xf numFmtId="178" fontId="4" fillId="0" borderId="16" xfId="207" applyNumberFormat="1" applyFont="1" applyFill="1" applyBorder="1" applyAlignment="1">
      <alignment horizontal="right" vertical="center" wrapText="1"/>
    </xf>
    <xf numFmtId="178" fontId="5" fillId="0" borderId="14" xfId="207" applyNumberFormat="1" applyFont="1" applyFill="1" applyBorder="1" applyAlignment="1">
      <alignment horizontal="right" vertical="center" wrapText="1"/>
    </xf>
    <xf numFmtId="178" fontId="5" fillId="0" borderId="16" xfId="207" applyNumberFormat="1" applyFont="1" applyFill="1" applyBorder="1" applyAlignment="1">
      <alignment horizontal="right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 shrinkToFit="1"/>
    </xf>
    <xf numFmtId="0" fontId="5" fillId="0" borderId="3" xfId="0" applyFont="1" applyBorder="1" applyAlignment="1">
      <alignment horizontal="left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 wrapText="1"/>
    </xf>
    <xf numFmtId="174" fontId="5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181" fontId="5" fillId="0" borderId="14" xfId="0" applyNumberFormat="1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center" wrapText="1" shrinkToFit="1"/>
    </xf>
    <xf numFmtId="0" fontId="7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170" fontId="76" fillId="0" borderId="0" xfId="0" applyNumberFormat="1" applyFont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3" fontId="11" fillId="0" borderId="14" xfId="0" applyNumberFormat="1" applyFont="1" applyBorder="1" applyAlignment="1">
      <alignment horizontal="center" vertical="center" wrapText="1" shrinkToFit="1"/>
    </xf>
    <xf numFmtId="3" fontId="11" fillId="0" borderId="16" xfId="0" applyNumberFormat="1" applyFont="1" applyBorder="1" applyAlignment="1">
      <alignment horizontal="center" vertical="center" wrapText="1" shrinkToFit="1"/>
    </xf>
    <xf numFmtId="3" fontId="5" fillId="0" borderId="3" xfId="0" applyNumberFormat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354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8" xr:uid="{00000000-0005-0000-0000-0000CE000000}"/>
    <cellStyle name="Вывод 3" xfId="209" xr:uid="{00000000-0005-0000-0000-0000CF000000}"/>
    <cellStyle name="Вычисление 2" xfId="210" xr:uid="{00000000-0005-0000-0000-0000D0000000}"/>
    <cellStyle name="Вычисление 3" xfId="211" xr:uid="{00000000-0005-0000-0000-0000D1000000}"/>
    <cellStyle name="Денежный 2" xfId="212" xr:uid="{00000000-0005-0000-0000-0000D2000000}"/>
    <cellStyle name="Заголовок 1 2" xfId="213" xr:uid="{00000000-0005-0000-0000-0000D3000000}"/>
    <cellStyle name="Заголовок 1 3" xfId="214" xr:uid="{00000000-0005-0000-0000-0000D4000000}"/>
    <cellStyle name="Заголовок 2 2" xfId="215" xr:uid="{00000000-0005-0000-0000-0000D5000000}"/>
    <cellStyle name="Заголовок 2 3" xfId="216" xr:uid="{00000000-0005-0000-0000-0000D6000000}"/>
    <cellStyle name="Заголовок 3 2" xfId="217" xr:uid="{00000000-0005-0000-0000-0000D7000000}"/>
    <cellStyle name="Заголовок 3 3" xfId="218" xr:uid="{00000000-0005-0000-0000-0000D8000000}"/>
    <cellStyle name="Заголовок 4 2" xfId="219" xr:uid="{00000000-0005-0000-0000-0000D9000000}"/>
    <cellStyle name="Заголовок 4 3" xfId="220" xr:uid="{00000000-0005-0000-0000-0000DA000000}"/>
    <cellStyle name="Итог 2" xfId="221" xr:uid="{00000000-0005-0000-0000-0000DB000000}"/>
    <cellStyle name="Итог 3" xfId="222" xr:uid="{00000000-0005-0000-0000-0000DC000000}"/>
    <cellStyle name="Контрольная ячейка 2" xfId="223" xr:uid="{00000000-0005-0000-0000-0000DD000000}"/>
    <cellStyle name="Контрольная ячейка 3" xfId="224" xr:uid="{00000000-0005-0000-0000-0000DE000000}"/>
    <cellStyle name="Название 2" xfId="225" xr:uid="{00000000-0005-0000-0000-0000DF000000}"/>
    <cellStyle name="Название 3" xfId="226" xr:uid="{00000000-0005-0000-0000-0000E0000000}"/>
    <cellStyle name="Нейтральный 2" xfId="227" xr:uid="{00000000-0005-0000-0000-0000E1000000}"/>
    <cellStyle name="Нейтральный 3" xfId="228" xr:uid="{00000000-0005-0000-0000-0000E2000000}"/>
    <cellStyle name="Обычный" xfId="0" builtinId="0"/>
    <cellStyle name="Обычный 10" xfId="229" xr:uid="{00000000-0005-0000-0000-0000E4000000}"/>
    <cellStyle name="Обычный 11" xfId="230" xr:uid="{00000000-0005-0000-0000-0000E5000000}"/>
    <cellStyle name="Обычный 12" xfId="231" xr:uid="{00000000-0005-0000-0000-0000E6000000}"/>
    <cellStyle name="Обычный 13" xfId="232" xr:uid="{00000000-0005-0000-0000-0000E7000000}"/>
    <cellStyle name="Обычный 14" xfId="233" xr:uid="{00000000-0005-0000-0000-0000E8000000}"/>
    <cellStyle name="Обычный 15" xfId="234" xr:uid="{00000000-0005-0000-0000-0000E9000000}"/>
    <cellStyle name="Обычный 16" xfId="235" xr:uid="{00000000-0005-0000-0000-0000EA000000}"/>
    <cellStyle name="Обычный 17" xfId="236" xr:uid="{00000000-0005-0000-0000-0000EB000000}"/>
    <cellStyle name="Обычный 18" xfId="237" xr:uid="{00000000-0005-0000-0000-0000EC000000}"/>
    <cellStyle name="Обычный 2" xfId="238" xr:uid="{00000000-0005-0000-0000-0000ED000000}"/>
    <cellStyle name="Обычный 2 10" xfId="239" xr:uid="{00000000-0005-0000-0000-0000EE000000}"/>
    <cellStyle name="Обычный 2 11" xfId="240" xr:uid="{00000000-0005-0000-0000-0000EF000000}"/>
    <cellStyle name="Обычный 2 12" xfId="241" xr:uid="{00000000-0005-0000-0000-0000F0000000}"/>
    <cellStyle name="Обычный 2 13" xfId="242" xr:uid="{00000000-0005-0000-0000-0000F1000000}"/>
    <cellStyle name="Обычный 2 14" xfId="243" xr:uid="{00000000-0005-0000-0000-0000F2000000}"/>
    <cellStyle name="Обычный 2 15" xfId="244" xr:uid="{00000000-0005-0000-0000-0000F3000000}"/>
    <cellStyle name="Обычный 2 16" xfId="245" xr:uid="{00000000-0005-0000-0000-0000F4000000}"/>
    <cellStyle name="Обычный 2 2" xfId="246" xr:uid="{00000000-0005-0000-0000-0000F5000000}"/>
    <cellStyle name="Обычный 2 2 2" xfId="247" xr:uid="{00000000-0005-0000-0000-0000F6000000}"/>
    <cellStyle name="Обычный 2 2 3" xfId="248" xr:uid="{00000000-0005-0000-0000-0000F7000000}"/>
    <cellStyle name="Обычный 2 2_Расшифровка прочих" xfId="249" xr:uid="{00000000-0005-0000-0000-0000F8000000}"/>
    <cellStyle name="Обычный 2 3" xfId="250" xr:uid="{00000000-0005-0000-0000-0000F9000000}"/>
    <cellStyle name="Обычный 2 4" xfId="251" xr:uid="{00000000-0005-0000-0000-0000FA000000}"/>
    <cellStyle name="Обычный 2 5" xfId="252" xr:uid="{00000000-0005-0000-0000-0000FB000000}"/>
    <cellStyle name="Обычный 2 6" xfId="253" xr:uid="{00000000-0005-0000-0000-0000FC000000}"/>
    <cellStyle name="Обычный 2 7" xfId="254" xr:uid="{00000000-0005-0000-0000-0000FD000000}"/>
    <cellStyle name="Обычный 2 8" xfId="255" xr:uid="{00000000-0005-0000-0000-0000FE000000}"/>
    <cellStyle name="Обычный 2 9" xfId="256" xr:uid="{00000000-0005-0000-0000-0000FF000000}"/>
    <cellStyle name="Обычный 2_2604-2010" xfId="257" xr:uid="{00000000-0005-0000-0000-000000010000}"/>
    <cellStyle name="Обычный 3" xfId="258" xr:uid="{00000000-0005-0000-0000-000001010000}"/>
    <cellStyle name="Обычный 3 10" xfId="259" xr:uid="{00000000-0005-0000-0000-000002010000}"/>
    <cellStyle name="Обычный 3 11" xfId="260" xr:uid="{00000000-0005-0000-0000-000003010000}"/>
    <cellStyle name="Обычный 3 12" xfId="261" xr:uid="{00000000-0005-0000-0000-000004010000}"/>
    <cellStyle name="Обычный 3 13" xfId="262" xr:uid="{00000000-0005-0000-0000-000005010000}"/>
    <cellStyle name="Обычный 3 14" xfId="263" xr:uid="{00000000-0005-0000-0000-000006010000}"/>
    <cellStyle name="Обычный 3 2" xfId="264" xr:uid="{00000000-0005-0000-0000-000007010000}"/>
    <cellStyle name="Обычный 3 3" xfId="265" xr:uid="{00000000-0005-0000-0000-000008010000}"/>
    <cellStyle name="Обычный 3 4" xfId="266" xr:uid="{00000000-0005-0000-0000-000009010000}"/>
    <cellStyle name="Обычный 3 5" xfId="267" xr:uid="{00000000-0005-0000-0000-00000A010000}"/>
    <cellStyle name="Обычный 3 6" xfId="268" xr:uid="{00000000-0005-0000-0000-00000B010000}"/>
    <cellStyle name="Обычный 3 7" xfId="269" xr:uid="{00000000-0005-0000-0000-00000C010000}"/>
    <cellStyle name="Обычный 3 8" xfId="270" xr:uid="{00000000-0005-0000-0000-00000D010000}"/>
    <cellStyle name="Обычный 3 9" xfId="271" xr:uid="{00000000-0005-0000-0000-00000E010000}"/>
    <cellStyle name="Обычный 3_Дефицит_7 млрд_0608_бс" xfId="272" xr:uid="{00000000-0005-0000-0000-00000F010000}"/>
    <cellStyle name="Обычный 4" xfId="273" xr:uid="{00000000-0005-0000-0000-000010010000}"/>
    <cellStyle name="Обычный 5" xfId="274" xr:uid="{00000000-0005-0000-0000-000011010000}"/>
    <cellStyle name="Обычный 5 2" xfId="275" xr:uid="{00000000-0005-0000-0000-000012010000}"/>
    <cellStyle name="Обычный 6" xfId="276" xr:uid="{00000000-0005-0000-0000-000013010000}"/>
    <cellStyle name="Обычный 6 2" xfId="277" xr:uid="{00000000-0005-0000-0000-000014010000}"/>
    <cellStyle name="Обычный 6 3" xfId="278" xr:uid="{00000000-0005-0000-0000-000015010000}"/>
    <cellStyle name="Обычный 6 4" xfId="279" xr:uid="{00000000-0005-0000-0000-000016010000}"/>
    <cellStyle name="Обычный 6_Дефицит_7 млрд_0608_бс" xfId="280" xr:uid="{00000000-0005-0000-0000-000017010000}"/>
    <cellStyle name="Обычный 7" xfId="281" xr:uid="{00000000-0005-0000-0000-000018010000}"/>
    <cellStyle name="Обычный 7 2" xfId="282" xr:uid="{00000000-0005-0000-0000-000019010000}"/>
    <cellStyle name="Обычный 8" xfId="283" xr:uid="{00000000-0005-0000-0000-00001A010000}"/>
    <cellStyle name="Обычный 9" xfId="284" xr:uid="{00000000-0005-0000-0000-00001B010000}"/>
    <cellStyle name="Обычный 9 2" xfId="285" xr:uid="{00000000-0005-0000-0000-00001C010000}"/>
    <cellStyle name="Плохой 2" xfId="286" xr:uid="{00000000-0005-0000-0000-00001D010000}"/>
    <cellStyle name="Плохой 3" xfId="287" xr:uid="{00000000-0005-0000-0000-00001E010000}"/>
    <cellStyle name="Пояснение 2" xfId="288" xr:uid="{00000000-0005-0000-0000-00001F010000}"/>
    <cellStyle name="Пояснение 3" xfId="289" xr:uid="{00000000-0005-0000-0000-000020010000}"/>
    <cellStyle name="Примечание 2" xfId="290" xr:uid="{00000000-0005-0000-0000-000021010000}"/>
    <cellStyle name="Примечание 3" xfId="291" xr:uid="{00000000-0005-0000-0000-000022010000}"/>
    <cellStyle name="Процентный" xfId="207" builtinId="5"/>
    <cellStyle name="Процентный 2" xfId="292" xr:uid="{00000000-0005-0000-0000-000024010000}"/>
    <cellStyle name="Процентный 2 10" xfId="293" xr:uid="{00000000-0005-0000-0000-000025010000}"/>
    <cellStyle name="Процентный 2 11" xfId="294" xr:uid="{00000000-0005-0000-0000-000026010000}"/>
    <cellStyle name="Процентный 2 12" xfId="295" xr:uid="{00000000-0005-0000-0000-000027010000}"/>
    <cellStyle name="Процентный 2 13" xfId="296" xr:uid="{00000000-0005-0000-0000-000028010000}"/>
    <cellStyle name="Процентный 2 14" xfId="297" xr:uid="{00000000-0005-0000-0000-000029010000}"/>
    <cellStyle name="Процентный 2 15" xfId="298" xr:uid="{00000000-0005-0000-0000-00002A010000}"/>
    <cellStyle name="Процентный 2 16" xfId="299" xr:uid="{00000000-0005-0000-0000-00002B010000}"/>
    <cellStyle name="Процентный 2 2" xfId="300" xr:uid="{00000000-0005-0000-0000-00002C010000}"/>
    <cellStyle name="Процентный 2 3" xfId="301" xr:uid="{00000000-0005-0000-0000-00002D010000}"/>
    <cellStyle name="Процентный 2 4" xfId="302" xr:uid="{00000000-0005-0000-0000-00002E010000}"/>
    <cellStyle name="Процентный 2 5" xfId="303" xr:uid="{00000000-0005-0000-0000-00002F010000}"/>
    <cellStyle name="Процентный 2 6" xfId="304" xr:uid="{00000000-0005-0000-0000-000030010000}"/>
    <cellStyle name="Процентный 2 7" xfId="305" xr:uid="{00000000-0005-0000-0000-000031010000}"/>
    <cellStyle name="Процентный 2 8" xfId="306" xr:uid="{00000000-0005-0000-0000-000032010000}"/>
    <cellStyle name="Процентный 2 9" xfId="307" xr:uid="{00000000-0005-0000-0000-000033010000}"/>
    <cellStyle name="Процентный 3" xfId="308" xr:uid="{00000000-0005-0000-0000-000034010000}"/>
    <cellStyle name="Процентный 4" xfId="309" xr:uid="{00000000-0005-0000-0000-000035010000}"/>
    <cellStyle name="Процентный 4 2" xfId="310" xr:uid="{00000000-0005-0000-0000-000036010000}"/>
    <cellStyle name="Связанная ячейка 2" xfId="311" xr:uid="{00000000-0005-0000-0000-000037010000}"/>
    <cellStyle name="Связанная ячейка 3" xfId="312" xr:uid="{00000000-0005-0000-0000-000038010000}"/>
    <cellStyle name="Стиль 1" xfId="313" xr:uid="{00000000-0005-0000-0000-000039010000}"/>
    <cellStyle name="Стиль 1 2" xfId="314" xr:uid="{00000000-0005-0000-0000-00003A010000}"/>
    <cellStyle name="Стиль 1 3" xfId="315" xr:uid="{00000000-0005-0000-0000-00003B010000}"/>
    <cellStyle name="Стиль 1 4" xfId="316" xr:uid="{00000000-0005-0000-0000-00003C010000}"/>
    <cellStyle name="Стиль 1 5" xfId="317" xr:uid="{00000000-0005-0000-0000-00003D010000}"/>
    <cellStyle name="Стиль 1 6" xfId="318" xr:uid="{00000000-0005-0000-0000-00003E010000}"/>
    <cellStyle name="Стиль 1 7" xfId="319" xr:uid="{00000000-0005-0000-0000-00003F010000}"/>
    <cellStyle name="Текст предупреждения 2" xfId="320" xr:uid="{00000000-0005-0000-0000-000040010000}"/>
    <cellStyle name="Текст предупреждения 3" xfId="321" xr:uid="{00000000-0005-0000-0000-000041010000}"/>
    <cellStyle name="Тысячи [0]_1.62" xfId="322" xr:uid="{00000000-0005-0000-0000-000042010000}"/>
    <cellStyle name="Тысячи_1.62" xfId="323" xr:uid="{00000000-0005-0000-0000-000043010000}"/>
    <cellStyle name="Финансовый 2" xfId="324" xr:uid="{00000000-0005-0000-0000-000044010000}"/>
    <cellStyle name="Финансовый 2 10" xfId="325" xr:uid="{00000000-0005-0000-0000-000045010000}"/>
    <cellStyle name="Финансовый 2 11" xfId="326" xr:uid="{00000000-0005-0000-0000-000046010000}"/>
    <cellStyle name="Финансовый 2 12" xfId="327" xr:uid="{00000000-0005-0000-0000-000047010000}"/>
    <cellStyle name="Финансовый 2 13" xfId="328" xr:uid="{00000000-0005-0000-0000-000048010000}"/>
    <cellStyle name="Финансовый 2 14" xfId="329" xr:uid="{00000000-0005-0000-0000-000049010000}"/>
    <cellStyle name="Финансовый 2 15" xfId="330" xr:uid="{00000000-0005-0000-0000-00004A010000}"/>
    <cellStyle name="Финансовый 2 16" xfId="331" xr:uid="{00000000-0005-0000-0000-00004B010000}"/>
    <cellStyle name="Финансовый 2 17" xfId="332" xr:uid="{00000000-0005-0000-0000-00004C010000}"/>
    <cellStyle name="Финансовый 2 2" xfId="333" xr:uid="{00000000-0005-0000-0000-00004D010000}"/>
    <cellStyle name="Финансовый 2 3" xfId="334" xr:uid="{00000000-0005-0000-0000-00004E010000}"/>
    <cellStyle name="Финансовый 2 4" xfId="335" xr:uid="{00000000-0005-0000-0000-00004F010000}"/>
    <cellStyle name="Финансовый 2 5" xfId="336" xr:uid="{00000000-0005-0000-0000-000050010000}"/>
    <cellStyle name="Финансовый 2 6" xfId="337" xr:uid="{00000000-0005-0000-0000-000051010000}"/>
    <cellStyle name="Финансовый 2 7" xfId="338" xr:uid="{00000000-0005-0000-0000-000052010000}"/>
    <cellStyle name="Финансовый 2 8" xfId="339" xr:uid="{00000000-0005-0000-0000-000053010000}"/>
    <cellStyle name="Финансовый 2 9" xfId="340" xr:uid="{00000000-0005-0000-0000-000054010000}"/>
    <cellStyle name="Финансовый 3" xfId="341" xr:uid="{00000000-0005-0000-0000-000055010000}"/>
    <cellStyle name="Финансовый 3 2" xfId="342" xr:uid="{00000000-0005-0000-0000-000056010000}"/>
    <cellStyle name="Финансовый 4" xfId="343" xr:uid="{00000000-0005-0000-0000-000057010000}"/>
    <cellStyle name="Финансовый 4 2" xfId="344" xr:uid="{00000000-0005-0000-0000-000058010000}"/>
    <cellStyle name="Финансовый 4 3" xfId="345" xr:uid="{00000000-0005-0000-0000-000059010000}"/>
    <cellStyle name="Финансовый 5" xfId="346" xr:uid="{00000000-0005-0000-0000-00005A010000}"/>
    <cellStyle name="Финансовый 6" xfId="347" xr:uid="{00000000-0005-0000-0000-00005B010000}"/>
    <cellStyle name="Финансовый 7" xfId="348" xr:uid="{00000000-0005-0000-0000-00005C010000}"/>
    <cellStyle name="Хороший 2" xfId="349" xr:uid="{00000000-0005-0000-0000-00005D010000}"/>
    <cellStyle name="Хороший 3" xfId="350" xr:uid="{00000000-0005-0000-0000-00005E010000}"/>
    <cellStyle name="числовой" xfId="351" xr:uid="{00000000-0005-0000-0000-00005F010000}"/>
    <cellStyle name="Ю" xfId="352" xr:uid="{00000000-0005-0000-0000-000060010000}"/>
    <cellStyle name="Ю-FreeSet_10" xfId="353" xr:uid="{00000000-0005-0000-0000-00006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625522</xdr:colOff>
      <xdr:row>134</xdr:row>
      <xdr:rowOff>85298</xdr:rowOff>
    </xdr:from>
    <xdr:to>
      <xdr:col>6</xdr:col>
      <xdr:colOff>526007</xdr:colOff>
      <xdr:row>140</xdr:row>
      <xdr:rowOff>127948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1956007" y="37005336"/>
          <a:ext cx="1108881" cy="1407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625522</xdr:colOff>
      <xdr:row>134</xdr:row>
      <xdr:rowOff>85298</xdr:rowOff>
    </xdr:from>
    <xdr:to>
      <xdr:col>11</xdr:col>
      <xdr:colOff>526007</xdr:colOff>
      <xdr:row>140</xdr:row>
      <xdr:rowOff>127948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0696622" y="34467800"/>
          <a:ext cx="99268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625522</xdr:colOff>
      <xdr:row>134</xdr:row>
      <xdr:rowOff>85298</xdr:rowOff>
    </xdr:from>
    <xdr:to>
      <xdr:col>12</xdr:col>
      <xdr:colOff>526007</xdr:colOff>
      <xdr:row>140</xdr:row>
      <xdr:rowOff>127948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0696622" y="34721800"/>
          <a:ext cx="99268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625522</xdr:colOff>
      <xdr:row>134</xdr:row>
      <xdr:rowOff>85298</xdr:rowOff>
    </xdr:from>
    <xdr:to>
      <xdr:col>13</xdr:col>
      <xdr:colOff>526007</xdr:colOff>
      <xdr:row>140</xdr:row>
      <xdr:rowOff>127948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E2739EE8-173A-46FA-8607-F0C7C3F59798}"/>
            </a:ext>
          </a:extLst>
        </xdr:cNvPr>
        <xdr:cNvCxnSpPr/>
      </xdr:nvCxnSpPr>
      <xdr:spPr>
        <a:xfrm flipV="1">
          <a:off x="10696622" y="34912300"/>
          <a:ext cx="99268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zoomScale="60" zoomScaleNormal="60" zoomScaleSheetLayoutView="65" workbookViewId="0">
      <selection activeCell="L16" sqref="L16"/>
    </sheetView>
  </sheetViews>
  <sheetFormatPr defaultColWidth="9.109375" defaultRowHeight="18"/>
  <cols>
    <col min="1" max="1" width="86.109375" style="2" customWidth="1"/>
    <col min="2" max="2" width="17.109375" style="3" customWidth="1"/>
    <col min="3" max="3" width="20" style="133" customWidth="1"/>
    <col min="4" max="4" width="20.44140625" style="133" customWidth="1"/>
    <col min="5" max="5" width="18.33203125" style="133" customWidth="1"/>
    <col min="6" max="6" width="18.44140625" style="133" customWidth="1"/>
    <col min="7" max="7" width="17.33203125" style="133" customWidth="1"/>
    <col min="8" max="8" width="19.33203125" style="3" customWidth="1"/>
    <col min="9" max="9" width="10" style="2" customWidth="1"/>
    <col min="10" max="10" width="9.5546875" style="2" customWidth="1"/>
    <col min="11" max="16384" width="9.109375" style="2"/>
  </cols>
  <sheetData>
    <row r="1" spans="1:12" ht="18.75" customHeight="1">
      <c r="B1" s="19"/>
      <c r="C1" s="244"/>
      <c r="D1" s="245"/>
      <c r="E1" s="25"/>
      <c r="F1" s="312" t="s">
        <v>157</v>
      </c>
      <c r="G1" s="312"/>
      <c r="H1" s="312"/>
      <c r="I1"/>
      <c r="J1"/>
      <c r="K1"/>
      <c r="L1"/>
    </row>
    <row r="2" spans="1:12" ht="18.75" customHeight="1">
      <c r="A2" s="59"/>
      <c r="C2" s="244"/>
      <c r="D2" s="245"/>
      <c r="E2" s="25"/>
      <c r="F2" s="313" t="s">
        <v>91</v>
      </c>
      <c r="G2" s="313"/>
      <c r="H2" s="313"/>
      <c r="I2"/>
      <c r="J2"/>
      <c r="K2"/>
      <c r="L2"/>
    </row>
    <row r="3" spans="1:12" ht="18.75" customHeight="1">
      <c r="A3" s="3"/>
      <c r="E3" s="137"/>
      <c r="F3" s="313" t="s">
        <v>172</v>
      </c>
      <c r="G3" s="313"/>
      <c r="H3" s="313"/>
      <c r="I3"/>
      <c r="J3"/>
      <c r="K3"/>
      <c r="L3"/>
    </row>
    <row r="4" spans="1:12" ht="18.75" customHeight="1">
      <c r="A4" s="3"/>
      <c r="E4" s="137"/>
      <c r="F4" s="313" t="s">
        <v>173</v>
      </c>
      <c r="G4" s="313"/>
      <c r="H4" s="313"/>
      <c r="I4"/>
      <c r="J4"/>
      <c r="K4"/>
      <c r="L4"/>
    </row>
    <row r="5" spans="1:12" ht="18.75" customHeight="1">
      <c r="A5" s="3"/>
      <c r="E5" s="137"/>
      <c r="F5" s="305" t="s">
        <v>217</v>
      </c>
      <c r="G5" s="306"/>
      <c r="H5" s="307"/>
      <c r="I5"/>
      <c r="J5"/>
      <c r="K5"/>
      <c r="L5"/>
    </row>
    <row r="6" spans="1:12" ht="18.75" customHeight="1">
      <c r="A6" s="3"/>
      <c r="E6" s="137"/>
      <c r="F6" s="137"/>
      <c r="G6" s="137"/>
      <c r="H6" s="23"/>
      <c r="I6"/>
      <c r="J6"/>
      <c r="K6"/>
      <c r="L6"/>
    </row>
    <row r="7" spans="1:12" ht="18.75" customHeight="1">
      <c r="A7" s="3"/>
      <c r="E7" s="137"/>
      <c r="F7" s="137"/>
      <c r="G7" s="137"/>
      <c r="H7" s="23"/>
      <c r="I7"/>
      <c r="J7"/>
      <c r="K7"/>
      <c r="L7"/>
    </row>
    <row r="8" spans="1:12">
      <c r="F8" s="138"/>
    </row>
    <row r="9" spans="1:12" ht="20.100000000000001" customHeight="1">
      <c r="A9" s="57"/>
      <c r="B9" s="315"/>
      <c r="C9" s="315"/>
      <c r="D9" s="315"/>
      <c r="E9" s="315"/>
      <c r="F9" s="124"/>
      <c r="G9" s="172" t="s">
        <v>554</v>
      </c>
      <c r="H9" s="5" t="s">
        <v>175</v>
      </c>
    </row>
    <row r="10" spans="1:12" ht="20.100000000000001" customHeight="1">
      <c r="A10" s="60" t="s">
        <v>14</v>
      </c>
      <c r="B10" s="316" t="s">
        <v>416</v>
      </c>
      <c r="C10" s="316"/>
      <c r="D10" s="316"/>
      <c r="E10" s="316"/>
      <c r="F10" s="125"/>
      <c r="G10" s="126" t="s">
        <v>108</v>
      </c>
      <c r="H10" s="5">
        <v>3357731</v>
      </c>
    </row>
    <row r="11" spans="1:12" ht="20.100000000000001" customHeight="1">
      <c r="A11" s="57" t="s">
        <v>15</v>
      </c>
      <c r="B11" s="315" t="s">
        <v>417</v>
      </c>
      <c r="C11" s="315"/>
      <c r="D11" s="315"/>
      <c r="E11" s="315"/>
      <c r="F11" s="124"/>
      <c r="G11" s="126" t="s">
        <v>107</v>
      </c>
      <c r="H11" s="5">
        <v>150</v>
      </c>
    </row>
    <row r="12" spans="1:12" ht="20.100000000000001" customHeight="1">
      <c r="A12" s="57" t="s">
        <v>20</v>
      </c>
      <c r="B12" s="315" t="s">
        <v>418</v>
      </c>
      <c r="C12" s="315"/>
      <c r="D12" s="315"/>
      <c r="E12" s="315"/>
      <c r="F12" s="124"/>
      <c r="G12" s="126" t="s">
        <v>106</v>
      </c>
      <c r="H12" s="5">
        <v>7410136300</v>
      </c>
    </row>
    <row r="13" spans="1:12" ht="20.100000000000001" customHeight="1">
      <c r="A13" s="60" t="s">
        <v>548</v>
      </c>
      <c r="B13" s="315" t="s">
        <v>419</v>
      </c>
      <c r="C13" s="315"/>
      <c r="D13" s="315"/>
      <c r="E13" s="315"/>
      <c r="F13" s="125"/>
      <c r="G13" s="126" t="s">
        <v>9</v>
      </c>
      <c r="H13" s="5">
        <v>1009</v>
      </c>
    </row>
    <row r="14" spans="1:12" ht="20.100000000000001" customHeight="1">
      <c r="A14" s="60" t="s">
        <v>17</v>
      </c>
      <c r="B14" s="315" t="s">
        <v>420</v>
      </c>
      <c r="C14" s="315"/>
      <c r="D14" s="315"/>
      <c r="E14" s="315"/>
      <c r="F14" s="125"/>
      <c r="G14" s="126" t="s">
        <v>8</v>
      </c>
      <c r="H14" s="5">
        <v>90110</v>
      </c>
    </row>
    <row r="15" spans="1:12" ht="20.100000000000001" customHeight="1">
      <c r="A15" s="60" t="s">
        <v>16</v>
      </c>
      <c r="B15" s="315" t="s">
        <v>421</v>
      </c>
      <c r="C15" s="315"/>
      <c r="D15" s="315"/>
      <c r="E15" s="315"/>
      <c r="F15" s="125"/>
      <c r="G15" s="126" t="s">
        <v>10</v>
      </c>
      <c r="H15" s="5" t="s">
        <v>422</v>
      </c>
    </row>
    <row r="16" spans="1:12" ht="20.100000000000001" customHeight="1">
      <c r="A16" s="60" t="s">
        <v>372</v>
      </c>
      <c r="B16" s="315" t="s">
        <v>423</v>
      </c>
      <c r="C16" s="315"/>
      <c r="D16" s="315"/>
      <c r="E16" s="315"/>
      <c r="F16" s="318" t="s">
        <v>132</v>
      </c>
      <c r="G16" s="319"/>
      <c r="H16" s="11"/>
    </row>
    <row r="17" spans="1:8" ht="20.100000000000001" customHeight="1">
      <c r="A17" s="60" t="s">
        <v>21</v>
      </c>
      <c r="B17" s="315" t="s">
        <v>424</v>
      </c>
      <c r="C17" s="315"/>
      <c r="D17" s="315"/>
      <c r="E17" s="315"/>
      <c r="F17" s="318" t="s">
        <v>133</v>
      </c>
      <c r="G17" s="320"/>
      <c r="H17" s="11"/>
    </row>
    <row r="18" spans="1:8" ht="20.100000000000001" customHeight="1">
      <c r="A18" s="60" t="s">
        <v>90</v>
      </c>
      <c r="B18" s="315" t="s">
        <v>578</v>
      </c>
      <c r="C18" s="315"/>
      <c r="D18" s="315"/>
      <c r="E18" s="315"/>
      <c r="F18" s="127"/>
      <c r="G18" s="127"/>
      <c r="H18" s="61"/>
    </row>
    <row r="19" spans="1:8" ht="20.100000000000001" customHeight="1">
      <c r="A19" s="57" t="s">
        <v>11</v>
      </c>
      <c r="B19" s="315" t="s">
        <v>425</v>
      </c>
      <c r="C19" s="315"/>
      <c r="D19" s="315"/>
      <c r="E19" s="315"/>
      <c r="F19" s="128"/>
      <c r="G19" s="128"/>
      <c r="H19" s="58"/>
    </row>
    <row r="20" spans="1:8" ht="20.100000000000001" customHeight="1">
      <c r="A20" s="60" t="s">
        <v>12</v>
      </c>
      <c r="B20" s="315" t="s">
        <v>426</v>
      </c>
      <c r="C20" s="315"/>
      <c r="D20" s="315"/>
      <c r="E20" s="315"/>
      <c r="F20" s="127"/>
      <c r="G20" s="127"/>
      <c r="H20" s="61"/>
    </row>
    <row r="21" spans="1:8" ht="20.100000000000001" customHeight="1">
      <c r="A21" s="57" t="s">
        <v>13</v>
      </c>
      <c r="B21" s="316" t="s">
        <v>566</v>
      </c>
      <c r="C21" s="316"/>
      <c r="D21" s="316"/>
      <c r="E21" s="316"/>
      <c r="F21" s="128"/>
      <c r="G21" s="128"/>
      <c r="H21" s="58"/>
    </row>
    <row r="22" spans="1:8" ht="19.5" customHeight="1">
      <c r="A22" s="23"/>
      <c r="B22" s="2"/>
      <c r="C22" s="25"/>
      <c r="D22" s="25"/>
      <c r="E22" s="25"/>
      <c r="F22" s="25"/>
      <c r="G22" s="25"/>
      <c r="H22" s="2"/>
    </row>
    <row r="23" spans="1:8" ht="19.5" customHeight="1">
      <c r="A23" s="317" t="s">
        <v>158</v>
      </c>
      <c r="B23" s="317"/>
      <c r="C23" s="317"/>
      <c r="D23" s="317"/>
      <c r="E23" s="317"/>
      <c r="F23" s="317"/>
      <c r="G23" s="317"/>
      <c r="H23" s="317"/>
    </row>
    <row r="24" spans="1:8">
      <c r="A24" s="317" t="s">
        <v>159</v>
      </c>
      <c r="B24" s="317"/>
      <c r="C24" s="317"/>
      <c r="D24" s="317"/>
      <c r="E24" s="317"/>
      <c r="F24" s="317"/>
      <c r="G24" s="317"/>
      <c r="H24" s="317"/>
    </row>
    <row r="25" spans="1:8" ht="30">
      <c r="A25" s="321" t="s">
        <v>576</v>
      </c>
      <c r="B25" s="321"/>
      <c r="C25" s="321"/>
      <c r="D25" s="321"/>
      <c r="E25" s="321"/>
      <c r="F25" s="321"/>
      <c r="G25" s="321"/>
      <c r="H25" s="321"/>
    </row>
    <row r="26" spans="1:8">
      <c r="A26" s="314" t="s">
        <v>160</v>
      </c>
      <c r="B26" s="314"/>
      <c r="C26" s="314"/>
      <c r="D26" s="314"/>
      <c r="E26" s="314"/>
      <c r="F26" s="314"/>
      <c r="G26" s="314"/>
      <c r="H26" s="314"/>
    </row>
    <row r="27" spans="1:8" ht="9" customHeight="1">
      <c r="A27" s="12"/>
      <c r="B27" s="12"/>
      <c r="C27" s="45"/>
      <c r="D27" s="45"/>
      <c r="E27" s="45"/>
      <c r="F27" s="45"/>
      <c r="G27" s="45"/>
      <c r="H27" s="12"/>
    </row>
    <row r="28" spans="1:8">
      <c r="A28" s="317" t="s">
        <v>139</v>
      </c>
      <c r="B28" s="317"/>
      <c r="C28" s="317"/>
      <c r="D28" s="317"/>
      <c r="E28" s="317"/>
      <c r="F28" s="317"/>
      <c r="G28" s="317"/>
      <c r="H28" s="317"/>
    </row>
    <row r="29" spans="1:8" ht="12" customHeight="1">
      <c r="B29" s="23"/>
      <c r="C29" s="137"/>
      <c r="D29" s="137"/>
      <c r="E29" s="137"/>
      <c r="F29" s="137"/>
      <c r="G29" s="137"/>
      <c r="H29" s="23"/>
    </row>
    <row r="30" spans="1:8" ht="43.5" customHeight="1">
      <c r="A30" s="333" t="s">
        <v>191</v>
      </c>
      <c r="B30" s="332" t="s">
        <v>18</v>
      </c>
      <c r="C30" s="330" t="s">
        <v>155</v>
      </c>
      <c r="D30" s="330"/>
      <c r="E30" s="331" t="s">
        <v>577</v>
      </c>
      <c r="F30" s="331"/>
      <c r="G30" s="331"/>
      <c r="H30" s="331"/>
    </row>
    <row r="31" spans="1:8" ht="44.25" customHeight="1">
      <c r="A31" s="333"/>
      <c r="B31" s="332"/>
      <c r="C31" s="121" t="s">
        <v>178</v>
      </c>
      <c r="D31" s="121" t="s">
        <v>179</v>
      </c>
      <c r="E31" s="139" t="s">
        <v>180</v>
      </c>
      <c r="F31" s="139" t="s">
        <v>167</v>
      </c>
      <c r="G31" s="139" t="s">
        <v>186</v>
      </c>
      <c r="H31" s="55" t="s">
        <v>187</v>
      </c>
    </row>
    <row r="32" spans="1:8" s="157" customFormat="1" ht="18.600000000000001" thickBot="1">
      <c r="A32" s="155">
        <v>1</v>
      </c>
      <c r="B32" s="156">
        <v>2</v>
      </c>
      <c r="C32" s="155">
        <v>3</v>
      </c>
      <c r="D32" s="156">
        <v>4</v>
      </c>
      <c r="E32" s="155">
        <v>5</v>
      </c>
      <c r="F32" s="156">
        <v>6</v>
      </c>
      <c r="G32" s="155">
        <v>7</v>
      </c>
      <c r="H32" s="156">
        <v>8</v>
      </c>
    </row>
    <row r="33" spans="1:8" s="4" customFormat="1" thickBot="1">
      <c r="A33" s="327" t="s">
        <v>83</v>
      </c>
      <c r="B33" s="328"/>
      <c r="C33" s="328"/>
      <c r="D33" s="328"/>
      <c r="E33" s="328"/>
      <c r="F33" s="328"/>
      <c r="G33" s="328"/>
      <c r="H33" s="329"/>
    </row>
    <row r="34" spans="1:8" s="4" customFormat="1" ht="20.100000000000001" customHeight="1">
      <c r="A34" s="82" t="s">
        <v>140</v>
      </c>
      <c r="B34" s="80">
        <v>1000</v>
      </c>
      <c r="C34" s="140">
        <f>'I. Фін результат'!C7</f>
        <v>54113</v>
      </c>
      <c r="D34" s="140">
        <f>'I. Фін результат'!D7</f>
        <v>60191</v>
      </c>
      <c r="E34" s="140">
        <f>'I. Фін результат'!E7</f>
        <v>60100</v>
      </c>
      <c r="F34" s="140">
        <f>'I. Фін результат'!F7</f>
        <v>60191</v>
      </c>
      <c r="G34" s="140">
        <f>F34-E34</f>
        <v>91</v>
      </c>
      <c r="H34" s="109">
        <f>(F34/E34)*100</f>
        <v>100.1514143094842</v>
      </c>
    </row>
    <row r="35" spans="1:8" s="4" customFormat="1" ht="20.100000000000001" customHeight="1">
      <c r="A35" s="66" t="s">
        <v>124</v>
      </c>
      <c r="B35" s="6">
        <v>1010</v>
      </c>
      <c r="C35" s="140">
        <f>'I. Фін результат'!C8</f>
        <v>49036.999999999993</v>
      </c>
      <c r="D35" s="140">
        <f>'I. Фін результат'!D8</f>
        <v>50321.000000000007</v>
      </c>
      <c r="E35" s="140">
        <f>'I. Фін результат'!E8</f>
        <v>52006.499999999993</v>
      </c>
      <c r="F35" s="140">
        <f>'I. Фін результат'!F8</f>
        <v>50321.000000000007</v>
      </c>
      <c r="G35" s="121">
        <f>F35-E35</f>
        <v>-1685.4999999999854</v>
      </c>
      <c r="H35" s="109">
        <f t="shared" ref="H35:H80" si="0">(F35/E35)*100</f>
        <v>96.759058963783389</v>
      </c>
    </row>
    <row r="36" spans="1:8" s="4" customFormat="1" ht="20.100000000000001" customHeight="1">
      <c r="A36" s="67" t="s">
        <v>181</v>
      </c>
      <c r="B36" s="6">
        <v>1020</v>
      </c>
      <c r="C36" s="129">
        <f>C34-C35</f>
        <v>5076.0000000000073</v>
      </c>
      <c r="D36" s="129">
        <f t="shared" ref="D36:F36" si="1">D34-D35</f>
        <v>9869.9999999999927</v>
      </c>
      <c r="E36" s="129">
        <f t="shared" si="1"/>
        <v>8093.5000000000073</v>
      </c>
      <c r="F36" s="129">
        <f t="shared" si="1"/>
        <v>9869.9999999999927</v>
      </c>
      <c r="G36" s="141">
        <f t="shared" ref="G36:G80" si="2">F36-E36</f>
        <v>1776.4999999999854</v>
      </c>
      <c r="H36" s="110">
        <f t="shared" si="0"/>
        <v>121.94971273243942</v>
      </c>
    </row>
    <row r="37" spans="1:8" s="4" customFormat="1" ht="20.100000000000001" customHeight="1">
      <c r="A37" s="66" t="s">
        <v>150</v>
      </c>
      <c r="B37" s="8">
        <v>1030</v>
      </c>
      <c r="C37" s="140">
        <f>'I. Фін результат'!C24</f>
        <v>4506</v>
      </c>
      <c r="D37" s="140">
        <f>'I. Фін результат'!D24</f>
        <v>5207.9999999999991</v>
      </c>
      <c r="E37" s="140">
        <f>'I. Фін результат'!E24</f>
        <v>5116.0999999999995</v>
      </c>
      <c r="F37" s="140">
        <f>'I. Фін результат'!F24</f>
        <v>5207.9999999999991</v>
      </c>
      <c r="G37" s="121">
        <f t="shared" si="2"/>
        <v>91.899999999999636</v>
      </c>
      <c r="H37" s="109">
        <f t="shared" si="0"/>
        <v>101.79629014288227</v>
      </c>
    </row>
    <row r="38" spans="1:8" s="4" customFormat="1" ht="20.100000000000001" customHeight="1">
      <c r="A38" s="7" t="s">
        <v>92</v>
      </c>
      <c r="B38" s="8">
        <v>1031</v>
      </c>
      <c r="C38" s="140">
        <f>'I. Фін результат'!C25</f>
        <v>49.5</v>
      </c>
      <c r="D38" s="140">
        <f>'I. Фін результат'!D25</f>
        <v>75.599999999999994</v>
      </c>
      <c r="E38" s="140">
        <f>'I. Фін результат'!E25</f>
        <v>90</v>
      </c>
      <c r="F38" s="140">
        <f>'I. Фін результат'!F25</f>
        <v>75.599999999999994</v>
      </c>
      <c r="G38" s="121">
        <f t="shared" si="2"/>
        <v>-14.400000000000006</v>
      </c>
      <c r="H38" s="109">
        <f t="shared" si="0"/>
        <v>84</v>
      </c>
    </row>
    <row r="39" spans="1:8" s="4" customFormat="1" ht="20.100000000000001" customHeight="1">
      <c r="A39" s="7" t="s">
        <v>142</v>
      </c>
      <c r="B39" s="8">
        <v>1032</v>
      </c>
      <c r="C39" s="140">
        <f>'I. Фін результат'!C26</f>
        <v>0</v>
      </c>
      <c r="D39" s="140">
        <f>'I. Фін результат'!D26</f>
        <v>0</v>
      </c>
      <c r="E39" s="140">
        <f>'I. Фін результат'!E26</f>
        <v>0</v>
      </c>
      <c r="F39" s="140">
        <f>'I. Фін результат'!F26</f>
        <v>0</v>
      </c>
      <c r="G39" s="121">
        <f t="shared" si="2"/>
        <v>0</v>
      </c>
      <c r="H39" s="109"/>
    </row>
    <row r="40" spans="1:8" s="4" customFormat="1" ht="20.100000000000001" customHeight="1">
      <c r="A40" s="7" t="s">
        <v>55</v>
      </c>
      <c r="B40" s="8">
        <v>1033</v>
      </c>
      <c r="C40" s="140">
        <f>'I. Фін результат'!C27</f>
        <v>0</v>
      </c>
      <c r="D40" s="140">
        <f>'I. Фін результат'!D27</f>
        <v>0</v>
      </c>
      <c r="E40" s="140">
        <f>'I. Фін результат'!E27</f>
        <v>0</v>
      </c>
      <c r="F40" s="140">
        <f>'I. Фін результат'!F27</f>
        <v>0</v>
      </c>
      <c r="G40" s="121">
        <f t="shared" si="2"/>
        <v>0</v>
      </c>
      <c r="H40" s="109"/>
    </row>
    <row r="41" spans="1:8" s="4" customFormat="1" ht="20.100000000000001" customHeight="1">
      <c r="A41" s="7" t="s">
        <v>22</v>
      </c>
      <c r="B41" s="8">
        <v>1034</v>
      </c>
      <c r="C41" s="140">
        <f>'I. Фін результат'!C28</f>
        <v>0</v>
      </c>
      <c r="D41" s="140">
        <f>'I. Фін результат'!D28</f>
        <v>0</v>
      </c>
      <c r="E41" s="140">
        <f>'I. Фін результат'!E28</f>
        <v>0</v>
      </c>
      <c r="F41" s="140">
        <f>'I. Фін результат'!F28</f>
        <v>0</v>
      </c>
      <c r="G41" s="121">
        <f t="shared" si="2"/>
        <v>0</v>
      </c>
      <c r="H41" s="109"/>
    </row>
    <row r="42" spans="1:8" s="4" customFormat="1" ht="20.100000000000001" customHeight="1">
      <c r="A42" s="7" t="s">
        <v>23</v>
      </c>
      <c r="B42" s="8">
        <v>1035</v>
      </c>
      <c r="C42" s="140">
        <f>'I. Фін результат'!C29</f>
        <v>0</v>
      </c>
      <c r="D42" s="140">
        <f>'I. Фін результат'!D29</f>
        <v>0</v>
      </c>
      <c r="E42" s="140">
        <f>'I. Фін результат'!E29</f>
        <v>0</v>
      </c>
      <c r="F42" s="140">
        <f>'I. Фін результат'!F29</f>
        <v>0</v>
      </c>
      <c r="G42" s="121">
        <f t="shared" si="2"/>
        <v>0</v>
      </c>
      <c r="H42" s="109"/>
    </row>
    <row r="43" spans="1:8" s="4" customFormat="1" ht="20.100000000000001" customHeight="1">
      <c r="A43" s="66" t="s">
        <v>113</v>
      </c>
      <c r="B43" s="6">
        <v>1060</v>
      </c>
      <c r="C43" s="140">
        <f>'I. Фін результат'!C53</f>
        <v>0</v>
      </c>
      <c r="D43" s="140">
        <f>'I. Фін результат'!D53</f>
        <v>0</v>
      </c>
      <c r="E43" s="140">
        <f>'I. Фін результат'!E53</f>
        <v>0</v>
      </c>
      <c r="F43" s="140">
        <f>'I. Фін результат'!F53</f>
        <v>0</v>
      </c>
      <c r="G43" s="121">
        <f t="shared" si="2"/>
        <v>0</v>
      </c>
      <c r="H43" s="109"/>
    </row>
    <row r="44" spans="1:8" s="4" customFormat="1" ht="20.100000000000001" customHeight="1">
      <c r="A44" s="9" t="s">
        <v>228</v>
      </c>
      <c r="B44" s="10">
        <v>1070</v>
      </c>
      <c r="C44" s="145">
        <f>'I. Фін результат'!C61</f>
        <v>220</v>
      </c>
      <c r="D44" s="145">
        <f>'I. Фін результат'!D61</f>
        <v>200</v>
      </c>
      <c r="E44" s="145">
        <f>'I. Фін результат'!E61</f>
        <v>131</v>
      </c>
      <c r="F44" s="145">
        <f>'I. Фін результат'!F61</f>
        <v>200</v>
      </c>
      <c r="G44" s="141">
        <f t="shared" si="2"/>
        <v>69</v>
      </c>
      <c r="H44" s="110">
        <f t="shared" si="0"/>
        <v>152.67175572519085</v>
      </c>
    </row>
    <row r="45" spans="1:8" s="4" customFormat="1" ht="20.100000000000001" customHeight="1">
      <c r="A45" s="7" t="s">
        <v>147</v>
      </c>
      <c r="B45" s="8">
        <v>1071</v>
      </c>
      <c r="C45" s="140">
        <f>'I. Фін результат'!C62</f>
        <v>0</v>
      </c>
      <c r="D45" s="140">
        <f>'I. Фін результат'!D62</f>
        <v>0</v>
      </c>
      <c r="E45" s="140">
        <f>'I. Фін результат'!E62</f>
        <v>0</v>
      </c>
      <c r="F45" s="140">
        <f>'I. Фін результат'!F62</f>
        <v>0</v>
      </c>
      <c r="G45" s="121">
        <f t="shared" si="2"/>
        <v>0</v>
      </c>
      <c r="H45" s="109"/>
    </row>
    <row r="46" spans="1:8" s="4" customFormat="1" ht="20.100000000000001" customHeight="1">
      <c r="A46" s="7" t="s">
        <v>229</v>
      </c>
      <c r="B46" s="8">
        <v>1072</v>
      </c>
      <c r="C46" s="140">
        <f>'I. Фін результат'!C63</f>
        <v>0</v>
      </c>
      <c r="D46" s="140">
        <f>'I. Фін результат'!D63</f>
        <v>0</v>
      </c>
      <c r="E46" s="140">
        <f>'I. Фін результат'!E63</f>
        <v>0</v>
      </c>
      <c r="F46" s="140">
        <f>'I. Фін результат'!F63</f>
        <v>0</v>
      </c>
      <c r="G46" s="121">
        <f t="shared" si="2"/>
        <v>0</v>
      </c>
      <c r="H46" s="109"/>
    </row>
    <row r="47" spans="1:8" s="4" customFormat="1" ht="20.100000000000001" customHeight="1">
      <c r="A47" s="171" t="s">
        <v>230</v>
      </c>
      <c r="B47" s="10">
        <v>1080</v>
      </c>
      <c r="C47" s="145">
        <f>'I. Фін результат'!C70</f>
        <v>2399.1000000000004</v>
      </c>
      <c r="D47" s="145">
        <f>'I. Фін результат'!D70</f>
        <v>1997.4</v>
      </c>
      <c r="E47" s="145">
        <f>'I. Фін результат'!E70</f>
        <v>1951.1999999999998</v>
      </c>
      <c r="F47" s="145">
        <f>'I. Фін результат'!F70</f>
        <v>1997.4</v>
      </c>
      <c r="G47" s="141">
        <f t="shared" si="2"/>
        <v>46.200000000000273</v>
      </c>
      <c r="H47" s="110">
        <f t="shared" si="0"/>
        <v>102.36777367773679</v>
      </c>
    </row>
    <row r="48" spans="1:8" s="4" customFormat="1" ht="20.100000000000001" customHeight="1">
      <c r="A48" s="7" t="s">
        <v>147</v>
      </c>
      <c r="B48" s="8">
        <v>1081</v>
      </c>
      <c r="C48" s="140">
        <f>'I. Фін результат'!C71</f>
        <v>0</v>
      </c>
      <c r="D48" s="140">
        <f>'I. Фін результат'!D71</f>
        <v>0</v>
      </c>
      <c r="E48" s="140">
        <f>'I. Фін результат'!E71</f>
        <v>0</v>
      </c>
      <c r="F48" s="140">
        <f>'I. Фін результат'!F71</f>
        <v>0</v>
      </c>
      <c r="G48" s="121">
        <f t="shared" si="2"/>
        <v>0</v>
      </c>
      <c r="H48" s="109"/>
    </row>
    <row r="49" spans="1:8" s="4" customFormat="1" ht="20.100000000000001" customHeight="1">
      <c r="A49" s="7" t="s">
        <v>231</v>
      </c>
      <c r="B49" s="8">
        <v>1082</v>
      </c>
      <c r="C49" s="140">
        <f>'I. Фін результат'!C72</f>
        <v>0</v>
      </c>
      <c r="D49" s="140">
        <f>'I. Фін результат'!D72</f>
        <v>0</v>
      </c>
      <c r="E49" s="140">
        <f>'I. Фін результат'!E72</f>
        <v>0</v>
      </c>
      <c r="F49" s="140">
        <f>'I. Фін результат'!F72</f>
        <v>0</v>
      </c>
      <c r="G49" s="121">
        <f t="shared" si="2"/>
        <v>0</v>
      </c>
      <c r="H49" s="109"/>
    </row>
    <row r="50" spans="1:8" s="4" customFormat="1" ht="20.100000000000001" customHeight="1">
      <c r="A50" s="9" t="s">
        <v>4</v>
      </c>
      <c r="B50" s="6">
        <v>1100</v>
      </c>
      <c r="C50" s="129">
        <f>C36-C37+C44-C47</f>
        <v>-1609.0999999999931</v>
      </c>
      <c r="D50" s="129">
        <f t="shared" ref="D50:F50" si="3">D36-D37+D44-D47</f>
        <v>2864.5999999999935</v>
      </c>
      <c r="E50" s="129">
        <f t="shared" si="3"/>
        <v>1157.200000000008</v>
      </c>
      <c r="F50" s="129">
        <f t="shared" si="3"/>
        <v>2864.5999999999935</v>
      </c>
      <c r="G50" s="141">
        <f t="shared" si="2"/>
        <v>1707.3999999999855</v>
      </c>
      <c r="H50" s="110">
        <f t="shared" si="0"/>
        <v>247.5458002073949</v>
      </c>
    </row>
    <row r="51" spans="1:8" s="4" customFormat="1" ht="20.100000000000001" customHeight="1">
      <c r="A51" s="68" t="s">
        <v>114</v>
      </c>
      <c r="B51" s="6">
        <v>1310</v>
      </c>
      <c r="C51" s="141">
        <f>'I. Фін результат'!C118</f>
        <v>625.90000000000691</v>
      </c>
      <c r="D51" s="141">
        <f>'I. Фін результат'!D118</f>
        <v>5379.3999999999942</v>
      </c>
      <c r="E51" s="141">
        <f>'I. Фін результат'!E118</f>
        <v>3291.200000000008</v>
      </c>
      <c r="F51" s="141">
        <f>'I. Фін результат'!F118</f>
        <v>5379.3999999999942</v>
      </c>
      <c r="G51" s="141">
        <f t="shared" si="2"/>
        <v>2088.1999999999862</v>
      </c>
      <c r="H51" s="110">
        <f t="shared" si="0"/>
        <v>163.44798249878409</v>
      </c>
    </row>
    <row r="52" spans="1:8" s="4" customFormat="1">
      <c r="A52" s="68" t="s">
        <v>152</v>
      </c>
      <c r="B52" s="6">
        <v>5010</v>
      </c>
      <c r="C52" s="131">
        <f>(C51/C34)*100</f>
        <v>1.1566536691737788</v>
      </c>
      <c r="D52" s="131">
        <f t="shared" ref="D52:F52" si="4">(D51/D34)*100</f>
        <v>8.9372165273878057</v>
      </c>
      <c r="E52" s="131">
        <f t="shared" si="4"/>
        <v>5.4762063227953544</v>
      </c>
      <c r="F52" s="131">
        <f t="shared" si="4"/>
        <v>8.9372165273878057</v>
      </c>
      <c r="G52" s="141">
        <f t="shared" si="2"/>
        <v>3.4610102045924513</v>
      </c>
      <c r="H52" s="110">
        <f t="shared" si="0"/>
        <v>163.20087302382288</v>
      </c>
    </row>
    <row r="53" spans="1:8" s="4" customFormat="1" ht="20.100000000000001" customHeight="1">
      <c r="A53" s="7" t="s">
        <v>232</v>
      </c>
      <c r="B53" s="8">
        <v>1110</v>
      </c>
      <c r="C53" s="140">
        <f>'I. Фін результат'!C88</f>
        <v>0</v>
      </c>
      <c r="D53" s="140">
        <f>'I. Фін результат'!D88</f>
        <v>0</v>
      </c>
      <c r="E53" s="140">
        <f>'I. Фін результат'!E88</f>
        <v>0</v>
      </c>
      <c r="F53" s="140">
        <f>'I. Фін результат'!F88</f>
        <v>0</v>
      </c>
      <c r="G53" s="121">
        <f t="shared" si="2"/>
        <v>0</v>
      </c>
      <c r="H53" s="109"/>
    </row>
    <row r="54" spans="1:8" s="4" customFormat="1">
      <c r="A54" s="7" t="s">
        <v>233</v>
      </c>
      <c r="B54" s="8">
        <v>1120</v>
      </c>
      <c r="C54" s="140">
        <f>'I. Фін результат'!C89</f>
        <v>0</v>
      </c>
      <c r="D54" s="140">
        <f>'I. Фін результат'!D89</f>
        <v>0</v>
      </c>
      <c r="E54" s="140">
        <f>'I. Фін результат'!E89</f>
        <v>0</v>
      </c>
      <c r="F54" s="140">
        <f>'I. Фін результат'!F89</f>
        <v>0</v>
      </c>
      <c r="G54" s="121">
        <f t="shared" si="2"/>
        <v>0</v>
      </c>
      <c r="H54" s="109"/>
    </row>
    <row r="55" spans="1:8" s="4" customFormat="1" ht="20.100000000000001" customHeight="1">
      <c r="A55" s="7" t="s">
        <v>234</v>
      </c>
      <c r="B55" s="8">
        <v>1130</v>
      </c>
      <c r="C55" s="140">
        <f>'I. Фін результат'!C90</f>
        <v>0</v>
      </c>
      <c r="D55" s="140">
        <f>'I. Фін результат'!D90</f>
        <v>0</v>
      </c>
      <c r="E55" s="140">
        <f>'I. Фін результат'!E90</f>
        <v>0</v>
      </c>
      <c r="F55" s="140">
        <f>'I. Фін результат'!F90</f>
        <v>0</v>
      </c>
      <c r="G55" s="121">
        <f t="shared" si="2"/>
        <v>0</v>
      </c>
      <c r="H55" s="109"/>
    </row>
    <row r="56" spans="1:8" s="4" customFormat="1" ht="20.100000000000001" customHeight="1">
      <c r="A56" s="7" t="s">
        <v>235</v>
      </c>
      <c r="B56" s="8">
        <v>1140</v>
      </c>
      <c r="C56" s="140">
        <f>'I. Фін результат'!C91</f>
        <v>1</v>
      </c>
      <c r="D56" s="140">
        <f>'I. Фін результат'!D91</f>
        <v>0</v>
      </c>
      <c r="E56" s="140">
        <f>'I. Фін результат'!E91</f>
        <v>0</v>
      </c>
      <c r="F56" s="140">
        <f>'I. Фін результат'!F91</f>
        <v>0</v>
      </c>
      <c r="G56" s="121">
        <f t="shared" si="2"/>
        <v>0</v>
      </c>
      <c r="H56" s="109"/>
    </row>
    <row r="57" spans="1:8" s="4" customFormat="1" ht="20.100000000000001" customHeight="1">
      <c r="A57" s="9" t="s">
        <v>252</v>
      </c>
      <c r="B57" s="10">
        <v>1150</v>
      </c>
      <c r="C57" s="145">
        <f>'I. Фін результат'!C92</f>
        <v>990</v>
      </c>
      <c r="D57" s="145">
        <f>'I. Фін результат'!D92</f>
        <v>1122</v>
      </c>
      <c r="E57" s="145">
        <f>'I. Фін результат'!E92</f>
        <v>1131.0999999999999</v>
      </c>
      <c r="F57" s="145">
        <f>'I. Фін результат'!F92</f>
        <v>1122</v>
      </c>
      <c r="G57" s="141">
        <f t="shared" si="2"/>
        <v>-9.0999999999999091</v>
      </c>
      <c r="H57" s="110">
        <f t="shared" si="0"/>
        <v>99.195473432941398</v>
      </c>
    </row>
    <row r="58" spans="1:8" s="4" customFormat="1" ht="20.100000000000001" customHeight="1">
      <c r="A58" s="7" t="s">
        <v>147</v>
      </c>
      <c r="B58" s="8">
        <v>1151</v>
      </c>
      <c r="C58" s="140">
        <f>'I. Фін результат'!C93</f>
        <v>0</v>
      </c>
      <c r="D58" s="140">
        <f>'I. Фін результат'!D93</f>
        <v>0</v>
      </c>
      <c r="E58" s="140">
        <f>'I. Фін результат'!E93</f>
        <v>0</v>
      </c>
      <c r="F58" s="140">
        <f>'I. Фін результат'!F93</f>
        <v>0</v>
      </c>
      <c r="G58" s="121">
        <f t="shared" si="2"/>
        <v>0</v>
      </c>
      <c r="H58" s="109"/>
    </row>
    <row r="59" spans="1:8" s="4" customFormat="1" ht="20.100000000000001" customHeight="1">
      <c r="A59" s="7" t="s">
        <v>254</v>
      </c>
      <c r="B59" s="8">
        <v>1160</v>
      </c>
      <c r="C59" s="140">
        <f>'I. Фін результат'!C97</f>
        <v>0</v>
      </c>
      <c r="D59" s="140">
        <f>'I. Фін результат'!D97</f>
        <v>26.6</v>
      </c>
      <c r="E59" s="140">
        <f>'I. Фін результат'!E97</f>
        <v>0</v>
      </c>
      <c r="F59" s="140">
        <f>'I. Фін результат'!F97</f>
        <v>26.6</v>
      </c>
      <c r="G59" s="121">
        <f t="shared" si="2"/>
        <v>26.6</v>
      </c>
      <c r="H59" s="109"/>
    </row>
    <row r="60" spans="1:8" s="4" customFormat="1" ht="20.100000000000001" customHeight="1">
      <c r="A60" s="7" t="s">
        <v>147</v>
      </c>
      <c r="B60" s="8">
        <v>1161</v>
      </c>
      <c r="C60" s="140">
        <f>'I. Фін результат'!C98</f>
        <v>0</v>
      </c>
      <c r="D60" s="140">
        <f>'I. Фін результат'!D98</f>
        <v>0</v>
      </c>
      <c r="E60" s="140">
        <f>'I. Фін результат'!E98</f>
        <v>0</v>
      </c>
      <c r="F60" s="140">
        <f>'I. Фін результат'!F98</f>
        <v>0</v>
      </c>
      <c r="G60" s="121">
        <f t="shared" si="2"/>
        <v>0</v>
      </c>
      <c r="H60" s="109"/>
    </row>
    <row r="61" spans="1:8" s="4" customFormat="1" ht="20.100000000000001" customHeight="1">
      <c r="A61" s="68" t="s">
        <v>82</v>
      </c>
      <c r="B61" s="81">
        <v>1170</v>
      </c>
      <c r="C61" s="129">
        <f>'I. Фін результат'!C100</f>
        <v>-620.09999999999309</v>
      </c>
      <c r="D61" s="129">
        <f>'I. Фін результат'!D100</f>
        <v>3959.9999999999936</v>
      </c>
      <c r="E61" s="129">
        <f>'I. Фін результат'!E100</f>
        <v>2288.3000000000079</v>
      </c>
      <c r="F61" s="129">
        <f>'I. Фін результат'!F100</f>
        <v>3959.9999999999936</v>
      </c>
      <c r="G61" s="141">
        <f t="shared" si="2"/>
        <v>1671.6999999999857</v>
      </c>
      <c r="H61" s="110">
        <f t="shared" si="0"/>
        <v>173.05423239959708</v>
      </c>
    </row>
    <row r="62" spans="1:8" s="4" customFormat="1" ht="20.100000000000001" customHeight="1">
      <c r="A62" s="7" t="s">
        <v>245</v>
      </c>
      <c r="B62" s="6">
        <v>1180</v>
      </c>
      <c r="C62" s="140">
        <f>'I. Фін результат'!C101</f>
        <v>0</v>
      </c>
      <c r="D62" s="140">
        <f>'I. Фін результат'!D101</f>
        <v>608</v>
      </c>
      <c r="E62" s="140">
        <f>'I. Фін результат'!E101</f>
        <v>686.3</v>
      </c>
      <c r="F62" s="140">
        <f>'I. Фін результат'!F101</f>
        <v>608</v>
      </c>
      <c r="G62" s="121">
        <f t="shared" si="2"/>
        <v>-78.299999999999955</v>
      </c>
      <c r="H62" s="109"/>
    </row>
    <row r="63" spans="1:8" s="4" customFormat="1" ht="20.100000000000001" customHeight="1">
      <c r="A63" s="7" t="s">
        <v>246</v>
      </c>
      <c r="B63" s="6">
        <v>1181</v>
      </c>
      <c r="C63" s="140">
        <v>0</v>
      </c>
      <c r="D63" s="140">
        <v>0</v>
      </c>
      <c r="E63" s="140">
        <v>0</v>
      </c>
      <c r="F63" s="140">
        <v>0</v>
      </c>
      <c r="G63" s="121">
        <f t="shared" si="2"/>
        <v>0</v>
      </c>
      <c r="H63" s="109"/>
    </row>
    <row r="64" spans="1:8" s="4" customFormat="1" ht="20.100000000000001" customHeight="1">
      <c r="A64" s="7" t="s">
        <v>247</v>
      </c>
      <c r="B64" s="8">
        <v>1190</v>
      </c>
      <c r="C64" s="140">
        <v>0</v>
      </c>
      <c r="D64" s="140">
        <v>0</v>
      </c>
      <c r="E64" s="140">
        <v>0</v>
      </c>
      <c r="F64" s="140">
        <v>0</v>
      </c>
      <c r="G64" s="121">
        <f t="shared" si="2"/>
        <v>0</v>
      </c>
      <c r="H64" s="109"/>
    </row>
    <row r="65" spans="1:8" s="4" customFormat="1" ht="20.100000000000001" customHeight="1">
      <c r="A65" s="7" t="s">
        <v>248</v>
      </c>
      <c r="B65" s="5">
        <v>1191</v>
      </c>
      <c r="C65" s="140">
        <v>0</v>
      </c>
      <c r="D65" s="140">
        <v>0</v>
      </c>
      <c r="E65" s="140">
        <v>0</v>
      </c>
      <c r="F65" s="140">
        <v>0</v>
      </c>
      <c r="G65" s="121">
        <f t="shared" si="2"/>
        <v>0</v>
      </c>
      <c r="H65" s="109"/>
    </row>
    <row r="66" spans="1:8" s="4" customFormat="1" ht="20.100000000000001" customHeight="1">
      <c r="A66" s="9" t="s">
        <v>283</v>
      </c>
      <c r="B66" s="8">
        <v>1200</v>
      </c>
      <c r="C66" s="129">
        <f>C61-C62</f>
        <v>-620.09999999999309</v>
      </c>
      <c r="D66" s="129">
        <f>D61-D62</f>
        <v>3351.9999999999936</v>
      </c>
      <c r="E66" s="129">
        <f>E61-E62</f>
        <v>1602.000000000008</v>
      </c>
      <c r="F66" s="129">
        <f>F61-F62</f>
        <v>3351.9999999999936</v>
      </c>
      <c r="G66" s="141">
        <f t="shared" si="2"/>
        <v>1749.9999999999857</v>
      </c>
      <c r="H66" s="110">
        <f t="shared" si="0"/>
        <v>209.23845193507969</v>
      </c>
    </row>
    <row r="67" spans="1:8" s="4" customFormat="1" ht="20.100000000000001" customHeight="1">
      <c r="A67" s="7" t="s">
        <v>408</v>
      </c>
      <c r="B67" s="5">
        <v>1201</v>
      </c>
      <c r="C67" s="140"/>
      <c r="D67" s="140">
        <f>'I. Фін результат'!D106</f>
        <v>3351.9999999999936</v>
      </c>
      <c r="E67" s="140">
        <f>'I. Фін результат'!E106</f>
        <v>1602.000000000008</v>
      </c>
      <c r="F67" s="140">
        <f>F66</f>
        <v>3351.9999999999936</v>
      </c>
      <c r="G67" s="121">
        <f t="shared" si="2"/>
        <v>1749.9999999999857</v>
      </c>
      <c r="H67" s="110"/>
    </row>
    <row r="68" spans="1:8" s="4" customFormat="1" ht="20.100000000000001" customHeight="1">
      <c r="A68" s="7" t="s">
        <v>409</v>
      </c>
      <c r="B68" s="5">
        <v>1202</v>
      </c>
      <c r="C68" s="140">
        <f>C66</f>
        <v>-620.09999999999309</v>
      </c>
      <c r="D68" s="140"/>
      <c r="E68" s="140"/>
      <c r="F68" s="140"/>
      <c r="G68" s="121"/>
      <c r="H68" s="109"/>
    </row>
    <row r="69" spans="1:8" s="4" customFormat="1" ht="20.100000000000001" customHeight="1">
      <c r="A69" s="9" t="s">
        <v>19</v>
      </c>
      <c r="B69" s="8">
        <v>1210</v>
      </c>
      <c r="C69" s="130">
        <f>SUM(C34,C44,C53,C55,C57,C63,C64)</f>
        <v>55323</v>
      </c>
      <c r="D69" s="130">
        <f>SUM(D34,D44,D53,D55,D57,D63,D64)</f>
        <v>61513</v>
      </c>
      <c r="E69" s="130">
        <f>SUM(E34,E44,E53,E55,E57,E63,E64)</f>
        <v>61362.1</v>
      </c>
      <c r="F69" s="130">
        <f>SUM(F34,F44,F53,F55,F57,F63,F64)</f>
        <v>61513</v>
      </c>
      <c r="G69" s="141">
        <f t="shared" si="2"/>
        <v>150.90000000000146</v>
      </c>
      <c r="H69" s="110">
        <f t="shared" si="0"/>
        <v>100.24591726815086</v>
      </c>
    </row>
    <row r="70" spans="1:8" s="4" customFormat="1" ht="20.100000000000001" customHeight="1">
      <c r="A70" s="9" t="s">
        <v>100</v>
      </c>
      <c r="B70" s="8">
        <v>1220</v>
      </c>
      <c r="C70" s="130">
        <f>SUM(C35,C37,C43,C47,C54,C56,C59,C62,C65)</f>
        <v>55943.099999999991</v>
      </c>
      <c r="D70" s="130">
        <f>SUM(D35,D37,D43,D47,D54,D56,D59,D62,D65)</f>
        <v>58161.000000000007</v>
      </c>
      <c r="E70" s="130">
        <f>SUM(E35,E37,E43,E47,E54,E56,E59,E62,E65)</f>
        <v>59760.099999999991</v>
      </c>
      <c r="F70" s="130">
        <f>SUM(F35,F37,F43,F47,F54,F56,F59,F62,F65)</f>
        <v>58161.000000000007</v>
      </c>
      <c r="G70" s="141">
        <f t="shared" si="2"/>
        <v>-1599.099999999984</v>
      </c>
      <c r="H70" s="110">
        <f t="shared" si="0"/>
        <v>97.324134330431207</v>
      </c>
    </row>
    <row r="71" spans="1:8" s="4" customFormat="1" ht="20.100000000000001" customHeight="1">
      <c r="A71" s="7" t="s">
        <v>177</v>
      </c>
      <c r="B71" s="8">
        <v>1230</v>
      </c>
      <c r="C71" s="140"/>
      <c r="D71" s="140"/>
      <c r="E71" s="140"/>
      <c r="F71" s="140"/>
      <c r="G71" s="121"/>
      <c r="H71" s="109"/>
    </row>
    <row r="72" spans="1:8" s="4" customFormat="1" ht="20.100000000000001" customHeight="1">
      <c r="A72" s="9" t="s">
        <v>154</v>
      </c>
      <c r="B72" s="8"/>
      <c r="C72" s="120"/>
      <c r="D72" s="142"/>
      <c r="E72" s="142"/>
      <c r="F72" s="142"/>
      <c r="G72" s="121"/>
      <c r="H72" s="109"/>
    </row>
    <row r="73" spans="1:8" s="4" customFormat="1" ht="20.100000000000001" customHeight="1">
      <c r="A73" s="7" t="s">
        <v>189</v>
      </c>
      <c r="B73" s="8">
        <v>1400</v>
      </c>
      <c r="C73" s="140">
        <f>'I. Фін результат'!C120</f>
        <v>22856.5</v>
      </c>
      <c r="D73" s="140">
        <f>'I. Фін результат'!D120</f>
        <v>21234.399999999998</v>
      </c>
      <c r="E73" s="140">
        <f>'I. Фін результат'!E120</f>
        <v>21694.1</v>
      </c>
      <c r="F73" s="140">
        <f>'I. Фін результат'!F120</f>
        <v>21234.399999999998</v>
      </c>
      <c r="G73" s="121">
        <f t="shared" si="2"/>
        <v>-459.70000000000073</v>
      </c>
      <c r="H73" s="109">
        <f t="shared" si="0"/>
        <v>97.880990684103054</v>
      </c>
    </row>
    <row r="74" spans="1:8" s="4" customFormat="1" ht="20.100000000000001" customHeight="1">
      <c r="A74" s="7" t="s">
        <v>190</v>
      </c>
      <c r="B74" s="33">
        <v>1401</v>
      </c>
      <c r="C74" s="140">
        <f>'I. Фін результат'!C121</f>
        <v>18200.099999999999</v>
      </c>
      <c r="D74" s="140">
        <f>'I. Фін результат'!D121</f>
        <v>16063.099999999999</v>
      </c>
      <c r="E74" s="140">
        <f>'I. Фін результат'!E121</f>
        <v>16526.3</v>
      </c>
      <c r="F74" s="140">
        <f>'I. Фін результат'!F121</f>
        <v>16063.099999999999</v>
      </c>
      <c r="G74" s="121">
        <f t="shared" si="2"/>
        <v>-463.20000000000073</v>
      </c>
      <c r="H74" s="109">
        <f t="shared" si="0"/>
        <v>97.197194774389899</v>
      </c>
    </row>
    <row r="75" spans="1:8" s="4" customFormat="1" ht="20.100000000000001" customHeight="1">
      <c r="A75" s="7" t="s">
        <v>28</v>
      </c>
      <c r="B75" s="33">
        <v>1402</v>
      </c>
      <c r="C75" s="140">
        <f>'I. Фін результат'!C122</f>
        <v>4656.3999999999996</v>
      </c>
      <c r="D75" s="140">
        <f>'I. Фін результат'!D122</f>
        <v>5171.3</v>
      </c>
      <c r="E75" s="140">
        <f>'I. Фін результат'!E122</f>
        <v>5167.8</v>
      </c>
      <c r="F75" s="140">
        <f>'I. Фін результат'!F122</f>
        <v>5171.3</v>
      </c>
      <c r="G75" s="121">
        <f t="shared" si="2"/>
        <v>3.5</v>
      </c>
      <c r="H75" s="109">
        <f t="shared" si="0"/>
        <v>100.06772707922134</v>
      </c>
    </row>
    <row r="76" spans="1:8" s="4" customFormat="1" ht="20.100000000000001" customHeight="1">
      <c r="A76" s="7" t="s">
        <v>5</v>
      </c>
      <c r="B76" s="13">
        <v>1410</v>
      </c>
      <c r="C76" s="140">
        <f>'I. Фін результат'!C123</f>
        <v>21748.9</v>
      </c>
      <c r="D76" s="140">
        <f>'I. Фін результат'!D123</f>
        <v>25124</v>
      </c>
      <c r="E76" s="140">
        <f>'I. Фін результат'!E123</f>
        <v>26293.9</v>
      </c>
      <c r="F76" s="140">
        <f>'I. Фін результат'!F123</f>
        <v>25124</v>
      </c>
      <c r="G76" s="121">
        <f t="shared" si="2"/>
        <v>-1169.9000000000015</v>
      </c>
      <c r="H76" s="109">
        <f t="shared" si="0"/>
        <v>95.550679054837801</v>
      </c>
    </row>
    <row r="77" spans="1:8" s="4" customFormat="1" ht="20.100000000000001" customHeight="1">
      <c r="A77" s="7" t="s">
        <v>6</v>
      </c>
      <c r="B77" s="13">
        <v>1420</v>
      </c>
      <c r="C77" s="140">
        <f>'I. Фін результат'!C124</f>
        <v>4705.5</v>
      </c>
      <c r="D77" s="140">
        <f>'I. Фін результат'!D124</f>
        <v>5477.4</v>
      </c>
      <c r="E77" s="140">
        <f>'I. Фін результат'!E124</f>
        <v>5704.3</v>
      </c>
      <c r="F77" s="140">
        <f>'I. Фін результат'!F124</f>
        <v>5477.4</v>
      </c>
      <c r="G77" s="121">
        <f t="shared" si="2"/>
        <v>-226.90000000000055</v>
      </c>
      <c r="H77" s="109">
        <f t="shared" si="0"/>
        <v>96.022298967445593</v>
      </c>
    </row>
    <row r="78" spans="1:8" s="4" customFormat="1" ht="20.100000000000001" customHeight="1">
      <c r="A78" s="7" t="s">
        <v>7</v>
      </c>
      <c r="B78" s="13">
        <v>1430</v>
      </c>
      <c r="C78" s="140">
        <f>'I. Фін результат'!C125</f>
        <v>2235</v>
      </c>
      <c r="D78" s="140">
        <f>'I. Фін результат'!D125</f>
        <v>2514.8000000000002</v>
      </c>
      <c r="E78" s="140">
        <f>'I. Фін результат'!E125</f>
        <v>2134</v>
      </c>
      <c r="F78" s="140">
        <f>'I. Фін результат'!F125</f>
        <v>2514.8000000000002</v>
      </c>
      <c r="G78" s="121">
        <f t="shared" si="2"/>
        <v>380.80000000000018</v>
      </c>
      <c r="H78" s="109">
        <f t="shared" si="0"/>
        <v>117.84442361761951</v>
      </c>
    </row>
    <row r="79" spans="1:8" s="4" customFormat="1" ht="20.100000000000001" customHeight="1">
      <c r="A79" s="7" t="s">
        <v>29</v>
      </c>
      <c r="B79" s="13">
        <v>1440</v>
      </c>
      <c r="C79" s="140">
        <f>'I. Фін результат'!C126</f>
        <v>4381.1000000000004</v>
      </c>
      <c r="D79" s="140">
        <f>'I. Фін результат'!D126</f>
        <v>3125.8</v>
      </c>
      <c r="E79" s="140">
        <f>'I. Фін результат'!E126</f>
        <v>3247.5</v>
      </c>
      <c r="F79" s="140">
        <f>'I. Фін результат'!F126</f>
        <v>3125.8</v>
      </c>
      <c r="G79" s="121">
        <f t="shared" si="2"/>
        <v>-121.69999999999982</v>
      </c>
      <c r="H79" s="109">
        <f t="shared" si="0"/>
        <v>96.25250192455735</v>
      </c>
    </row>
    <row r="80" spans="1:8" s="4" customFormat="1" ht="20.100000000000001" customHeight="1" thickBot="1">
      <c r="A80" s="9" t="s">
        <v>50</v>
      </c>
      <c r="B80" s="13">
        <v>1450</v>
      </c>
      <c r="C80" s="129">
        <f>SUM(C73,C76,C77,C78,C79)</f>
        <v>55927</v>
      </c>
      <c r="D80" s="129">
        <f>SUM(D73,D76,D77,D78,D79)</f>
        <v>57476.4</v>
      </c>
      <c r="E80" s="129">
        <f>SUM(E73,E76,E77,E78,E79)</f>
        <v>59073.8</v>
      </c>
      <c r="F80" s="129">
        <f>SUM(F73,F76,F77,F78,F79)</f>
        <v>57476.4</v>
      </c>
      <c r="G80" s="141">
        <f t="shared" si="2"/>
        <v>-1597.4000000000015</v>
      </c>
      <c r="H80" s="110">
        <f t="shared" si="0"/>
        <v>97.295924758522389</v>
      </c>
    </row>
    <row r="81" spans="1:8" s="4" customFormat="1" thickBot="1">
      <c r="A81" s="327" t="s">
        <v>117</v>
      </c>
      <c r="B81" s="328"/>
      <c r="C81" s="328"/>
      <c r="D81" s="328"/>
      <c r="E81" s="328"/>
      <c r="F81" s="328"/>
      <c r="G81" s="328"/>
      <c r="H81" s="329"/>
    </row>
    <row r="82" spans="1:8" s="4" customFormat="1" ht="17.399999999999999">
      <c r="A82" s="324" t="s">
        <v>116</v>
      </c>
      <c r="B82" s="325"/>
      <c r="C82" s="325"/>
      <c r="D82" s="325"/>
      <c r="E82" s="325"/>
      <c r="F82" s="325"/>
      <c r="G82" s="325"/>
      <c r="H82" s="326"/>
    </row>
    <row r="83" spans="1:8" s="4" customFormat="1" ht="37.5" customHeight="1">
      <c r="A83" s="98" t="s">
        <v>52</v>
      </c>
      <c r="B83" s="86">
        <v>2000</v>
      </c>
      <c r="C83" s="140">
        <f>'ІІ. Розр. з бюджетом'!C8</f>
        <v>-5437</v>
      </c>
      <c r="D83" s="140">
        <f>'ІІ. Розр. з бюджетом'!D8</f>
        <v>-6311</v>
      </c>
      <c r="E83" s="140">
        <f>'ІІ. Розр. з бюджетом'!E8</f>
        <v>-5970.6</v>
      </c>
      <c r="F83" s="140">
        <f>'ІІ. Розр. з бюджетом'!F8</f>
        <v>-6311</v>
      </c>
      <c r="G83" s="140">
        <f t="shared" ref="G83:G94" si="5">F83-E83</f>
        <v>-340.39999999999964</v>
      </c>
      <c r="H83" s="109">
        <f t="shared" ref="H83:H135" si="6">(F83/E83)*100</f>
        <v>105.70126955414865</v>
      </c>
    </row>
    <row r="84" spans="1:8" s="4" customFormat="1" ht="21.45" customHeight="1">
      <c r="A84" s="36" t="s">
        <v>283</v>
      </c>
      <c r="B84" s="5">
        <v>1200</v>
      </c>
      <c r="C84" s="143">
        <f t="shared" ref="C84:F84" si="7">C66</f>
        <v>-620.09999999999309</v>
      </c>
      <c r="D84" s="143">
        <f t="shared" si="7"/>
        <v>3351.9999999999936</v>
      </c>
      <c r="E84" s="143">
        <f t="shared" si="7"/>
        <v>1602.000000000008</v>
      </c>
      <c r="F84" s="143">
        <f t="shared" si="7"/>
        <v>3351.9999999999936</v>
      </c>
      <c r="G84" s="140"/>
      <c r="H84" s="109"/>
    </row>
    <row r="85" spans="1:8" s="4" customFormat="1" ht="27.45" customHeight="1">
      <c r="A85" s="7" t="s">
        <v>515</v>
      </c>
      <c r="B85" s="5">
        <v>2010</v>
      </c>
      <c r="C85" s="140" t="str">
        <f>'ІІ. Розр. з бюджетом'!C10</f>
        <v>(    )</v>
      </c>
      <c r="D85" s="140" t="str">
        <f>'ІІ. Розр. з бюджетом'!D10</f>
        <v>(    )</v>
      </c>
      <c r="E85" s="140" t="str">
        <f>'ІІ. Розр. з бюджетом'!E10</f>
        <v>(    )</v>
      </c>
      <c r="F85" s="140" t="str">
        <f>'ІІ. Розр. з бюджетом'!F10</f>
        <v>(    )</v>
      </c>
      <c r="G85" s="121"/>
      <c r="H85" s="109"/>
    </row>
    <row r="86" spans="1:8" s="4" customFormat="1" ht="39.75" customHeight="1">
      <c r="A86" s="7" t="s">
        <v>141</v>
      </c>
      <c r="B86" s="5">
        <v>2011</v>
      </c>
      <c r="C86" s="140" t="str">
        <f>'ІІ. Розр. з бюджетом'!C11</f>
        <v>(    )</v>
      </c>
      <c r="D86" s="140" t="str">
        <f>'ІІ. Розр. з бюджетом'!D11</f>
        <v>(    )</v>
      </c>
      <c r="E86" s="140" t="str">
        <f>'ІІ. Розр. з бюджетом'!E11</f>
        <v>(    )</v>
      </c>
      <c r="F86" s="140" t="str">
        <f>'ІІ. Розр. з бюджетом'!F11</f>
        <v>(    )</v>
      </c>
      <c r="G86" s="121"/>
      <c r="H86" s="109"/>
    </row>
    <row r="87" spans="1:8" s="4" customFormat="1" ht="36">
      <c r="A87" s="7" t="s">
        <v>516</v>
      </c>
      <c r="B87" s="5">
        <v>2012</v>
      </c>
      <c r="C87" s="140" t="str">
        <f>'ІІ. Розр. з бюджетом'!C12</f>
        <v>(    )</v>
      </c>
      <c r="D87" s="140" t="str">
        <f>'ІІ. Розр. з бюджетом'!D12</f>
        <v>(    )</v>
      </c>
      <c r="E87" s="140" t="str">
        <f>'ІІ. Розр. з бюджетом'!E12</f>
        <v>(    )</v>
      </c>
      <c r="F87" s="140" t="str">
        <f>'ІІ. Розр. з бюджетом'!F12</f>
        <v>(    )</v>
      </c>
      <c r="G87" s="158"/>
      <c r="H87" s="109"/>
    </row>
    <row r="88" spans="1:8" s="4" customFormat="1">
      <c r="A88" s="7" t="s">
        <v>125</v>
      </c>
      <c r="B88" s="5" t="s">
        <v>148</v>
      </c>
      <c r="C88" s="140">
        <f>'ІІ. Розр. з бюджетом'!C13</f>
        <v>0</v>
      </c>
      <c r="D88" s="140">
        <f>'ІІ. Розр. з бюджетом'!D13</f>
        <v>0</v>
      </c>
      <c r="E88" s="140">
        <f>'ІІ. Розр. з бюджетом'!E13</f>
        <v>0</v>
      </c>
      <c r="F88" s="140">
        <f>'ІІ. Розр. з бюджетом'!F13</f>
        <v>0</v>
      </c>
      <c r="G88" s="121"/>
      <c r="H88" s="109"/>
    </row>
    <row r="89" spans="1:8" s="4" customFormat="1">
      <c r="A89" s="36" t="s">
        <v>134</v>
      </c>
      <c r="B89" s="5">
        <v>2020</v>
      </c>
      <c r="C89" s="140" t="str">
        <f>'ІІ. Розр. з бюджетом'!C14</f>
        <v>(    )</v>
      </c>
      <c r="D89" s="140">
        <f>'ІІ. Розр. з бюджетом'!D14</f>
        <v>-2514</v>
      </c>
      <c r="E89" s="140" t="str">
        <f>'ІІ. Розр. з бюджетом'!E14</f>
        <v>(    )</v>
      </c>
      <c r="F89" s="140">
        <f>'ІІ. Розр. з бюджетом'!F14</f>
        <v>-2514</v>
      </c>
      <c r="G89" s="121"/>
      <c r="H89" s="109"/>
    </row>
    <row r="90" spans="1:8" s="4" customFormat="1">
      <c r="A90" s="36" t="s">
        <v>62</v>
      </c>
      <c r="B90" s="5">
        <v>2030</v>
      </c>
      <c r="C90" s="140"/>
      <c r="D90" s="140"/>
      <c r="E90" s="140"/>
      <c r="F90" s="140"/>
      <c r="G90" s="121"/>
      <c r="H90" s="109"/>
    </row>
    <row r="91" spans="1:8" s="4" customFormat="1">
      <c r="A91" s="36" t="s">
        <v>27</v>
      </c>
      <c r="B91" s="5">
        <v>2040</v>
      </c>
      <c r="C91" s="140" t="str">
        <f>'ІІ. Розр. з бюджетом'!C16</f>
        <v>(    )</v>
      </c>
      <c r="D91" s="140" t="str">
        <f>'ІІ. Розр. з бюджетом'!D16</f>
        <v>(    )</v>
      </c>
      <c r="E91" s="140" t="str">
        <f>'ІІ. Розр. з бюджетом'!E16</f>
        <v>(    )</v>
      </c>
      <c r="F91" s="140" t="str">
        <f>'ІІ. Розр. з бюджетом'!F16</f>
        <v>(    )</v>
      </c>
      <c r="G91" s="121"/>
      <c r="H91" s="109"/>
    </row>
    <row r="92" spans="1:8" s="4" customFormat="1">
      <c r="A92" s="36" t="s">
        <v>236</v>
      </c>
      <c r="B92" s="5">
        <v>2050</v>
      </c>
      <c r="C92" s="140">
        <f>'ІІ. Розр. з бюджетом'!C17</f>
        <v>-253.9</v>
      </c>
      <c r="D92" s="140">
        <f>'ІІ. Розр. з бюджетом'!D17</f>
        <v>-162</v>
      </c>
      <c r="E92" s="140" t="str">
        <f>'ІІ. Розр. з бюджетом'!E17</f>
        <v>(    )</v>
      </c>
      <c r="F92" s="140">
        <f>'ІІ. Розр. з бюджетом'!F17</f>
        <v>-162</v>
      </c>
      <c r="G92" s="121"/>
      <c r="H92" s="109"/>
    </row>
    <row r="93" spans="1:8" s="4" customFormat="1">
      <c r="A93" s="36" t="s">
        <v>237</v>
      </c>
      <c r="B93" s="5">
        <v>2060</v>
      </c>
      <c r="C93" s="140" t="str">
        <f>'ІІ. Розр. з бюджетом'!C18</f>
        <v>(    )</v>
      </c>
      <c r="D93" s="140" t="str">
        <f>'ІІ. Розр. з бюджетом'!D18</f>
        <v>(    )</v>
      </c>
      <c r="E93" s="140" t="str">
        <f>'ІІ. Розр. з бюджетом'!E18</f>
        <v>(    )</v>
      </c>
      <c r="F93" s="140" t="str">
        <f>'ІІ. Розр. з бюджетом'!F18</f>
        <v>(    )</v>
      </c>
      <c r="G93" s="121"/>
      <c r="H93" s="109"/>
    </row>
    <row r="94" spans="1:8" s="4" customFormat="1" ht="41.25" customHeight="1">
      <c r="A94" s="36" t="s">
        <v>53</v>
      </c>
      <c r="B94" s="5">
        <v>2070</v>
      </c>
      <c r="C94" s="144">
        <f>'ІІ. Розр. з бюджетом'!C19</f>
        <v>-6311</v>
      </c>
      <c r="D94" s="144">
        <f>F94</f>
        <v>-5635.0000000000064</v>
      </c>
      <c r="E94" s="144">
        <f>E83+E84</f>
        <v>-4368.5999999999922</v>
      </c>
      <c r="F94" s="144">
        <f>'ІІ. Розр. з бюджетом'!F19</f>
        <v>-5635.0000000000064</v>
      </c>
      <c r="G94" s="121">
        <f t="shared" si="5"/>
        <v>-1266.4000000000142</v>
      </c>
      <c r="H94" s="109">
        <f t="shared" si="6"/>
        <v>128.9886920294835</v>
      </c>
    </row>
    <row r="95" spans="1:8" s="4" customFormat="1" ht="21.75" customHeight="1">
      <c r="A95" s="322" t="s">
        <v>359</v>
      </c>
      <c r="B95" s="316"/>
      <c r="C95" s="316"/>
      <c r="D95" s="316"/>
      <c r="E95" s="316"/>
      <c r="F95" s="316"/>
      <c r="G95" s="316"/>
      <c r="H95" s="323"/>
    </row>
    <row r="96" spans="1:8" s="4" customFormat="1" ht="41.25" customHeight="1">
      <c r="A96" s="56" t="s">
        <v>351</v>
      </c>
      <c r="B96" s="5">
        <v>2110</v>
      </c>
      <c r="C96" s="141">
        <f>'ІІ. Розр. з бюджетом'!C21</f>
        <v>7611.6</v>
      </c>
      <c r="D96" s="141">
        <f>'ІІ. Розр. з бюджетом'!D21</f>
        <v>8580.7999999999993</v>
      </c>
      <c r="E96" s="141">
        <f>'ІІ. Розр. з бюджетом'!E21</f>
        <v>8788.5999999999985</v>
      </c>
      <c r="F96" s="141">
        <f>'ІІ. Розр. з бюджетом'!F21</f>
        <v>8580.7999999999993</v>
      </c>
      <c r="G96" s="141">
        <f t="shared" ref="G96:G108" si="8">F96-E96</f>
        <v>-207.79999999999927</v>
      </c>
      <c r="H96" s="110">
        <f t="shared" si="6"/>
        <v>97.635573356393508</v>
      </c>
    </row>
    <row r="97" spans="1:8" s="4" customFormat="1">
      <c r="A97" s="7" t="s">
        <v>262</v>
      </c>
      <c r="B97" s="5">
        <v>2111</v>
      </c>
      <c r="C97" s="121">
        <f>'ІІ. Розр. з бюджетом'!C22</f>
        <v>185.3</v>
      </c>
      <c r="D97" s="121">
        <f>'ІІ. Розр. з бюджетом'!D22</f>
        <v>557</v>
      </c>
      <c r="E97" s="121">
        <f>'ІІ. Розр. з бюджетом'!E22</f>
        <v>686.3</v>
      </c>
      <c r="F97" s="121">
        <f>'ІІ. Розр. з бюджетом'!F22</f>
        <v>557</v>
      </c>
      <c r="G97" s="121">
        <f t="shared" si="8"/>
        <v>-129.29999999999995</v>
      </c>
      <c r="H97" s="109"/>
    </row>
    <row r="98" spans="1:8" s="4" customFormat="1">
      <c r="A98" s="7" t="s">
        <v>352</v>
      </c>
      <c r="B98" s="5">
        <v>2112</v>
      </c>
      <c r="C98" s="121">
        <f>'ІІ. Розр. з бюджетом'!C23</f>
        <v>7088.8</v>
      </c>
      <c r="D98" s="121">
        <f>'ІІ. Розр. з бюджетом'!D23</f>
        <v>7638.0999999999995</v>
      </c>
      <c r="E98" s="121">
        <f>'ІІ. Розр. з бюджетом'!E23</f>
        <v>7706</v>
      </c>
      <c r="F98" s="121">
        <f>'ІІ. Розр. з бюджетом'!F23</f>
        <v>7638.0999999999995</v>
      </c>
      <c r="G98" s="121">
        <f t="shared" si="8"/>
        <v>-67.900000000000546</v>
      </c>
      <c r="H98" s="109">
        <f t="shared" si="6"/>
        <v>99.118868414222675</v>
      </c>
    </row>
    <row r="99" spans="1:8" s="4" customFormat="1" ht="19.5" customHeight="1">
      <c r="A99" s="36" t="s">
        <v>353</v>
      </c>
      <c r="B99" s="6">
        <v>2113</v>
      </c>
      <c r="C99" s="121">
        <f>'ІІ. Розр. з бюджетом'!C24</f>
        <v>0</v>
      </c>
      <c r="D99" s="121">
        <f>'ІІ. Розр. з бюджетом'!D24</f>
        <v>0</v>
      </c>
      <c r="E99" s="121">
        <f>'ІІ. Розр. з бюджетом'!E24</f>
        <v>0</v>
      </c>
      <c r="F99" s="121">
        <f>'ІІ. Розр. з бюджетом'!F24</f>
        <v>0</v>
      </c>
      <c r="G99" s="121"/>
      <c r="H99" s="109"/>
    </row>
    <row r="100" spans="1:8" s="4" customFormat="1">
      <c r="A100" s="36" t="s">
        <v>72</v>
      </c>
      <c r="B100" s="6">
        <v>2114</v>
      </c>
      <c r="C100" s="121">
        <f>'ІІ. Розр. з бюджетом'!C25</f>
        <v>0</v>
      </c>
      <c r="D100" s="121">
        <f>'ІІ. Розр. з бюджетом'!D25</f>
        <v>0</v>
      </c>
      <c r="E100" s="121">
        <f>'ІІ. Розр. з бюджетом'!E25</f>
        <v>0</v>
      </c>
      <c r="F100" s="121">
        <f>'ІІ. Розр. з бюджетом'!F25</f>
        <v>0</v>
      </c>
      <c r="G100" s="121">
        <f t="shared" si="8"/>
        <v>0</v>
      </c>
      <c r="H100" s="109"/>
    </row>
    <row r="101" spans="1:8" s="4" customFormat="1" ht="36">
      <c r="A101" s="36" t="s">
        <v>354</v>
      </c>
      <c r="B101" s="6">
        <v>2115</v>
      </c>
      <c r="C101" s="121">
        <f>'ІІ. Розр. з бюджетом'!C26</f>
        <v>0</v>
      </c>
      <c r="D101" s="121">
        <f>'ІІ. Розр. з бюджетом'!D26</f>
        <v>0</v>
      </c>
      <c r="E101" s="121">
        <f>'ІІ. Розр. з бюджетом'!E26</f>
        <v>0</v>
      </c>
      <c r="F101" s="121">
        <f>'ІІ. Розр. з бюджетом'!F26</f>
        <v>0</v>
      </c>
      <c r="G101" s="121">
        <f t="shared" si="8"/>
        <v>0</v>
      </c>
      <c r="H101" s="109"/>
    </row>
    <row r="102" spans="1:8" s="4" customFormat="1">
      <c r="A102" s="36" t="s">
        <v>88</v>
      </c>
      <c r="B102" s="6">
        <v>2116</v>
      </c>
      <c r="C102" s="121">
        <f>'ІІ. Розр. з бюджетом'!C27</f>
        <v>0</v>
      </c>
      <c r="D102" s="121">
        <f>'ІІ. Розр. з бюджетом'!D27</f>
        <v>0</v>
      </c>
      <c r="E102" s="121">
        <f>'ІІ. Розр. з бюджетом'!E27</f>
        <v>0</v>
      </c>
      <c r="F102" s="121">
        <f>'ІІ. Розр. з бюджетом'!F27</f>
        <v>0</v>
      </c>
      <c r="G102" s="121">
        <f t="shared" si="8"/>
        <v>0</v>
      </c>
      <c r="H102" s="109"/>
    </row>
    <row r="103" spans="1:8" s="4" customFormat="1">
      <c r="A103" s="36" t="s">
        <v>374</v>
      </c>
      <c r="B103" s="6">
        <v>2117</v>
      </c>
      <c r="C103" s="121">
        <f>'ІІ. Розр. з бюджетом'!C28</f>
        <v>0</v>
      </c>
      <c r="D103" s="121">
        <f>'ІІ. Розр. з бюджетом'!D28</f>
        <v>0</v>
      </c>
      <c r="E103" s="121">
        <f>'ІІ. Розр. з бюджетом'!E28</f>
        <v>0</v>
      </c>
      <c r="F103" s="121">
        <f>'ІІ. Розр. з бюджетом'!F28</f>
        <v>0</v>
      </c>
      <c r="G103" s="121">
        <f t="shared" si="8"/>
        <v>0</v>
      </c>
      <c r="H103" s="109"/>
    </row>
    <row r="104" spans="1:8" s="4" customFormat="1" ht="21.75" customHeight="1">
      <c r="A104" s="56" t="s">
        <v>355</v>
      </c>
      <c r="B104" s="42">
        <v>2120</v>
      </c>
      <c r="C104" s="145">
        <f>'ІІ. Розр. з бюджетом'!C31</f>
        <v>5845.4</v>
      </c>
      <c r="D104" s="145">
        <f>'ІІ. Розр. з бюджетом'!D31</f>
        <v>5679.1</v>
      </c>
      <c r="E104" s="145">
        <f>'ІІ. Розр. з бюджетом'!E31</f>
        <v>5679</v>
      </c>
      <c r="F104" s="145">
        <f>'ІІ. Розр. з бюджетом'!F31</f>
        <v>5679.1</v>
      </c>
      <c r="G104" s="141">
        <f t="shared" si="8"/>
        <v>0.1000000000003638</v>
      </c>
      <c r="H104" s="110">
        <f t="shared" si="6"/>
        <v>100.00176087339321</v>
      </c>
    </row>
    <row r="105" spans="1:8" s="4" customFormat="1" ht="34.799999999999997">
      <c r="A105" s="56" t="s">
        <v>356</v>
      </c>
      <c r="B105" s="42">
        <v>2130</v>
      </c>
      <c r="C105" s="145">
        <f>'ІІ. Розр. з бюджетом'!C36</f>
        <v>4788.8</v>
      </c>
      <c r="D105" s="145">
        <f>'ІІ. Розр. з бюджетом'!D36</f>
        <v>5444.9</v>
      </c>
      <c r="E105" s="145">
        <f>'ІІ. Розр. з бюджетом'!E36</f>
        <v>5810.4</v>
      </c>
      <c r="F105" s="145">
        <f>'ІІ. Розр. з бюджетом'!F36</f>
        <v>5444.9</v>
      </c>
      <c r="G105" s="141">
        <f t="shared" si="8"/>
        <v>-365.5</v>
      </c>
      <c r="H105" s="110">
        <f t="shared" si="6"/>
        <v>93.709555280187246</v>
      </c>
    </row>
    <row r="106" spans="1:8" s="4" customFormat="1" ht="60.75" customHeight="1">
      <c r="A106" s="69" t="s">
        <v>375</v>
      </c>
      <c r="B106" s="6">
        <v>2131</v>
      </c>
      <c r="C106" s="140">
        <f>'ІІ. Розр. з бюджетом'!C37</f>
        <v>0</v>
      </c>
      <c r="D106" s="140">
        <f>'ІІ. Розр. з бюджетом'!D37</f>
        <v>0</v>
      </c>
      <c r="E106" s="140">
        <f>'ІІ. Розр. з бюджетом'!E37</f>
        <v>0</v>
      </c>
      <c r="F106" s="140">
        <f>'ІІ. Розр. з бюджетом'!F37</f>
        <v>0</v>
      </c>
      <c r="G106" s="121">
        <f t="shared" si="8"/>
        <v>0</v>
      </c>
      <c r="H106" s="109"/>
    </row>
    <row r="107" spans="1:8" s="4" customFormat="1" ht="19.5" customHeight="1">
      <c r="A107" s="69" t="s">
        <v>357</v>
      </c>
      <c r="B107" s="6">
        <v>2133</v>
      </c>
      <c r="C107" s="140">
        <f>'ІІ. Розр. з бюджетом'!C39</f>
        <v>4788.8</v>
      </c>
      <c r="D107" s="140">
        <f>'ІІ. Розр. з бюджетом'!D39</f>
        <v>5444.9</v>
      </c>
      <c r="E107" s="140">
        <f>'ІІ. Розр. з бюджетом'!E39</f>
        <v>5810.4</v>
      </c>
      <c r="F107" s="140">
        <f>'ІІ. Розр. з бюджетом'!F39</f>
        <v>5444.9</v>
      </c>
      <c r="G107" s="121">
        <f t="shared" si="8"/>
        <v>-365.5</v>
      </c>
      <c r="H107" s="109">
        <f t="shared" si="6"/>
        <v>93.709555280187246</v>
      </c>
    </row>
    <row r="108" spans="1:8" s="4" customFormat="1" ht="22.65" customHeight="1" thickBot="1">
      <c r="A108" s="68" t="s">
        <v>358</v>
      </c>
      <c r="B108" s="6">
        <v>2200</v>
      </c>
      <c r="C108" s="145">
        <f>'ІІ. Розр. з бюджетом'!C44</f>
        <v>18698.5</v>
      </c>
      <c r="D108" s="145">
        <f>'ІІ. Розр. з бюджетом'!D44</f>
        <v>19729.899999999998</v>
      </c>
      <c r="E108" s="145">
        <f>'ІІ. Розр. з бюджетом'!E44</f>
        <v>20278</v>
      </c>
      <c r="F108" s="145">
        <f>'ІІ. Розр. з бюджетом'!F44</f>
        <v>19729.899999999998</v>
      </c>
      <c r="G108" s="141">
        <f t="shared" si="8"/>
        <v>-548.10000000000218</v>
      </c>
      <c r="H108" s="110">
        <f t="shared" si="6"/>
        <v>97.297070717033236</v>
      </c>
    </row>
    <row r="109" spans="1:8" s="4" customFormat="1" thickBot="1">
      <c r="A109" s="327" t="s">
        <v>290</v>
      </c>
      <c r="B109" s="328"/>
      <c r="C109" s="328"/>
      <c r="D109" s="328"/>
      <c r="E109" s="328"/>
      <c r="F109" s="328"/>
      <c r="G109" s="328"/>
      <c r="H109" s="329"/>
    </row>
    <row r="110" spans="1:8" s="4" customFormat="1" ht="20.100000000000001" customHeight="1">
      <c r="A110" s="83" t="s">
        <v>287</v>
      </c>
      <c r="B110" s="8">
        <v>3405</v>
      </c>
      <c r="C110" s="145">
        <f>'ІІІ. Рух грош. коштів'!C91</f>
        <v>995</v>
      </c>
      <c r="D110" s="145">
        <f>'ІІІ. Рух грош. коштів'!D91</f>
        <v>532.4</v>
      </c>
      <c r="E110" s="145">
        <f>'ІІІ. Рух грош. коштів'!E91</f>
        <v>475.45</v>
      </c>
      <c r="F110" s="145">
        <f>'ІІІ. Рух грош. коштів'!F91</f>
        <v>532.4</v>
      </c>
      <c r="G110" s="141">
        <f t="shared" ref="G110:G116" si="9">F110-E110</f>
        <v>56.949999999999989</v>
      </c>
      <c r="H110" s="110">
        <f t="shared" si="6"/>
        <v>111.97812598590808</v>
      </c>
    </row>
    <row r="111" spans="1:8" s="4" customFormat="1" ht="20.100000000000001" customHeight="1">
      <c r="A111" s="69" t="s">
        <v>348</v>
      </c>
      <c r="B111" s="97">
        <v>3030</v>
      </c>
      <c r="C111" s="140">
        <f>'ІІІ. Рух грош. коштів'!C11</f>
        <v>21</v>
      </c>
      <c r="D111" s="140">
        <f>'ІІІ. Рух грош. коштів'!D11</f>
        <v>24.6</v>
      </c>
      <c r="E111" s="140">
        <f>'ІІІ. Рух грош. коштів'!E11</f>
        <v>30.6</v>
      </c>
      <c r="F111" s="140">
        <f>'ІІІ. Рух грош. коштів'!F11</f>
        <v>24.6</v>
      </c>
      <c r="G111" s="121">
        <f t="shared" ref="G111" si="10">F111-E111</f>
        <v>-6</v>
      </c>
      <c r="H111" s="109"/>
    </row>
    <row r="112" spans="1:8" s="4" customFormat="1">
      <c r="A112" s="69" t="s">
        <v>281</v>
      </c>
      <c r="B112" s="97">
        <v>3195</v>
      </c>
      <c r="C112" s="140">
        <f>'ІІІ. Рух грош. коштів'!C51</f>
        <v>976.79999999999563</v>
      </c>
      <c r="D112" s="140">
        <f>'ІІІ. Рух грош. коштів'!D51</f>
        <v>3229.7999999999884</v>
      </c>
      <c r="E112" s="140">
        <f>'ІІІ. Рух грош. коштів'!E51</f>
        <v>1686.6000000000058</v>
      </c>
      <c r="F112" s="140">
        <f>'ІІІ. Рух грош. коштів'!F51</f>
        <v>3229.7999999999884</v>
      </c>
      <c r="G112" s="121">
        <f t="shared" si="9"/>
        <v>1543.1999999999825</v>
      </c>
      <c r="H112" s="109">
        <f t="shared" si="6"/>
        <v>191.49768765563721</v>
      </c>
    </row>
    <row r="113" spans="1:8">
      <c r="A113" s="69" t="s">
        <v>118</v>
      </c>
      <c r="B113" s="97">
        <v>3295</v>
      </c>
      <c r="C113" s="140">
        <f>'ІІІ. Рух грош. коштів'!C70</f>
        <v>-1439.4</v>
      </c>
      <c r="D113" s="140">
        <f>'ІІІ. Рух грош. коштів'!D70</f>
        <v>-1736.1999999999998</v>
      </c>
      <c r="E113" s="140">
        <f>'ІІІ. Рух грош. коштів'!E70</f>
        <v>-1043.5</v>
      </c>
      <c r="F113" s="140">
        <f>'ІІІ. Рух грош. коштів'!F70</f>
        <v>-1736.1999999999998</v>
      </c>
      <c r="G113" s="121">
        <f t="shared" si="9"/>
        <v>-692.69999999999982</v>
      </c>
      <c r="H113" s="109"/>
    </row>
    <row r="114" spans="1:8" s="4" customFormat="1">
      <c r="A114" s="69" t="s">
        <v>289</v>
      </c>
      <c r="B114" s="8">
        <v>3395</v>
      </c>
      <c r="C114" s="140">
        <f>'ІІІ. Рух грош. коштів'!C89</f>
        <v>0</v>
      </c>
      <c r="D114" s="140">
        <f>'ІІІ. Рух грош. коштів'!D89</f>
        <v>0</v>
      </c>
      <c r="E114" s="140">
        <f>'ІІІ. Рух грош. коштів'!E89</f>
        <v>0</v>
      </c>
      <c r="F114" s="140">
        <f>'ІІІ. Рух грош. коштів'!F89</f>
        <v>0</v>
      </c>
      <c r="G114" s="121">
        <f t="shared" si="9"/>
        <v>0</v>
      </c>
      <c r="H114" s="109"/>
    </row>
    <row r="115" spans="1:8" s="4" customFormat="1">
      <c r="A115" s="69" t="s">
        <v>121</v>
      </c>
      <c r="B115" s="8">
        <v>3410</v>
      </c>
      <c r="C115" s="140">
        <f>'ІІІ. Рух грош. коштів'!C92</f>
        <v>0</v>
      </c>
      <c r="D115" s="140">
        <f>'ІІІ. Рух грош. коштів'!D92</f>
        <v>0</v>
      </c>
      <c r="E115" s="140">
        <f>'ІІІ. Рух грош. коштів'!E92</f>
        <v>0</v>
      </c>
      <c r="F115" s="140">
        <f>'ІІІ. Рух грош. коштів'!F92</f>
        <v>0</v>
      </c>
      <c r="G115" s="121">
        <f t="shared" si="9"/>
        <v>0</v>
      </c>
      <c r="H115" s="109"/>
    </row>
    <row r="116" spans="1:8" s="4" customFormat="1" ht="18.600000000000001" thickBot="1">
      <c r="A116" s="84" t="s">
        <v>288</v>
      </c>
      <c r="B116" s="8">
        <v>3415</v>
      </c>
      <c r="C116" s="129">
        <f>SUM(C110,C112:C115)</f>
        <v>532.39999999999554</v>
      </c>
      <c r="D116" s="129">
        <f>F116</f>
        <v>2025.9999999999886</v>
      </c>
      <c r="E116" s="129">
        <f>SUM(E110,E112:E115)</f>
        <v>1118.5500000000056</v>
      </c>
      <c r="F116" s="129">
        <f>SUM(F110,F112:F115)</f>
        <v>2025.9999999999886</v>
      </c>
      <c r="G116" s="141">
        <f t="shared" si="9"/>
        <v>907.44999999998299</v>
      </c>
      <c r="H116" s="110">
        <f t="shared" si="6"/>
        <v>181.12735237584178</v>
      </c>
    </row>
    <row r="117" spans="1:8" s="4" customFormat="1" thickBot="1">
      <c r="A117" s="334" t="s">
        <v>291</v>
      </c>
      <c r="B117" s="335"/>
      <c r="C117" s="335"/>
      <c r="D117" s="335"/>
      <c r="E117" s="335"/>
      <c r="F117" s="335"/>
      <c r="G117" s="335"/>
      <c r="H117" s="336"/>
    </row>
    <row r="118" spans="1:8" s="4" customFormat="1" ht="20.100000000000001" customHeight="1">
      <c r="A118" s="83" t="s">
        <v>238</v>
      </c>
      <c r="B118" s="85">
        <v>4000</v>
      </c>
      <c r="C118" s="146">
        <f>SUM(C119:C124)</f>
        <v>1201</v>
      </c>
      <c r="D118" s="146">
        <f>SUM(D119:D124)</f>
        <v>1422</v>
      </c>
      <c r="E118" s="146">
        <f>SUM(E119:E124)</f>
        <v>1163</v>
      </c>
      <c r="F118" s="146">
        <f>SUM(F119:F124)</f>
        <v>1422</v>
      </c>
      <c r="G118" s="141">
        <f t="shared" ref="G118:G124" si="11">F118-E118</f>
        <v>259</v>
      </c>
      <c r="H118" s="110">
        <f t="shared" si="6"/>
        <v>122.26999140154773</v>
      </c>
    </row>
    <row r="119" spans="1:8" s="4" customFormat="1" ht="20.100000000000001" customHeight="1">
      <c r="A119" s="7" t="s">
        <v>1</v>
      </c>
      <c r="B119" s="5" t="s">
        <v>149</v>
      </c>
      <c r="C119" s="140">
        <f>'IV. Кап. інвестиції'!C7</f>
        <v>0</v>
      </c>
      <c r="D119" s="140">
        <f>'IV. Кап. інвестиції'!D7</f>
        <v>0</v>
      </c>
      <c r="E119" s="140">
        <f>'IV. Кап. інвестиції'!E7</f>
        <v>0</v>
      </c>
      <c r="F119" s="140">
        <f>'IV. Кап. інвестиції'!F7</f>
        <v>0</v>
      </c>
      <c r="G119" s="121">
        <f t="shared" si="11"/>
        <v>0</v>
      </c>
      <c r="H119" s="109"/>
    </row>
    <row r="120" spans="1:8" s="4" customFormat="1" ht="20.100000000000001" customHeight="1">
      <c r="A120" s="7" t="s">
        <v>2</v>
      </c>
      <c r="B120" s="8">
        <v>4020</v>
      </c>
      <c r="C120" s="140">
        <f>'IV. Кап. інвестиції'!C8</f>
        <v>326</v>
      </c>
      <c r="D120" s="140">
        <f>'IV. Кап. інвестиції'!D8</f>
        <v>352.59999999999997</v>
      </c>
      <c r="E120" s="140">
        <f>'IV. Кап. інвестиції'!E8</f>
        <v>345</v>
      </c>
      <c r="F120" s="140">
        <f>'IV. Кап. інвестиції'!F8</f>
        <v>352.59999999999997</v>
      </c>
      <c r="G120" s="121">
        <f t="shared" si="11"/>
        <v>7.5999999999999659</v>
      </c>
      <c r="H120" s="109"/>
    </row>
    <row r="121" spans="1:8" s="4" customFormat="1" ht="20.100000000000001" customHeight="1">
      <c r="A121" s="7" t="s">
        <v>30</v>
      </c>
      <c r="B121" s="5">
        <v>4030</v>
      </c>
      <c r="C121" s="140">
        <f>'IV. Кап. інвестиції'!C9</f>
        <v>866</v>
      </c>
      <c r="D121" s="140">
        <f>'IV. Кап. інвестиції'!D9</f>
        <v>1032.4000000000001</v>
      </c>
      <c r="E121" s="140">
        <f>'IV. Кап. інвестиції'!E9</f>
        <v>801</v>
      </c>
      <c r="F121" s="140">
        <f>'IV. Кап. інвестиції'!F9</f>
        <v>1032.4000000000001</v>
      </c>
      <c r="G121" s="121">
        <f t="shared" si="11"/>
        <v>231.40000000000009</v>
      </c>
      <c r="H121" s="109">
        <f t="shared" si="6"/>
        <v>128.88888888888889</v>
      </c>
    </row>
    <row r="122" spans="1:8" s="4" customFormat="1">
      <c r="A122" s="7" t="s">
        <v>3</v>
      </c>
      <c r="B122" s="8">
        <v>4040</v>
      </c>
      <c r="C122" s="140">
        <f>'IV. Кап. інвестиції'!C10</f>
        <v>9</v>
      </c>
      <c r="D122" s="140">
        <f>'IV. Кап. інвестиції'!D10</f>
        <v>37</v>
      </c>
      <c r="E122" s="140">
        <f>'IV. Кап. інвестиції'!E10</f>
        <v>17</v>
      </c>
      <c r="F122" s="140">
        <f>'IV. Кап. інвестиції'!F10</f>
        <v>37</v>
      </c>
      <c r="G122" s="121">
        <f t="shared" si="11"/>
        <v>20</v>
      </c>
      <c r="H122" s="109"/>
    </row>
    <row r="123" spans="1:8" s="4" customFormat="1" ht="36">
      <c r="A123" s="7" t="s">
        <v>61</v>
      </c>
      <c r="B123" s="5">
        <v>4050</v>
      </c>
      <c r="C123" s="140">
        <f>'IV. Кап. інвестиції'!C11</f>
        <v>0</v>
      </c>
      <c r="D123" s="140">
        <f>'IV. Кап. інвестиції'!D11</f>
        <v>0</v>
      </c>
      <c r="E123" s="140">
        <f>'IV. Кап. інвестиції'!E11</f>
        <v>0</v>
      </c>
      <c r="F123" s="140">
        <f>'IV. Кап. інвестиції'!F11</f>
        <v>0</v>
      </c>
      <c r="G123" s="121"/>
      <c r="H123" s="109"/>
    </row>
    <row r="124" spans="1:8" s="4" customFormat="1">
      <c r="A124" s="7" t="s">
        <v>249</v>
      </c>
      <c r="B124" s="5">
        <v>4060</v>
      </c>
      <c r="C124" s="140">
        <f>'IV. Кап. інвестиції'!C12</f>
        <v>0</v>
      </c>
      <c r="D124" s="140">
        <f>'IV. Кап. інвестиції'!D12</f>
        <v>0</v>
      </c>
      <c r="E124" s="140">
        <f>'IV. Кап. інвестиції'!E12</f>
        <v>0</v>
      </c>
      <c r="F124" s="140">
        <f>'IV. Кап. інвестиції'!F12</f>
        <v>0</v>
      </c>
      <c r="G124" s="121">
        <f t="shared" si="11"/>
        <v>0</v>
      </c>
      <c r="H124" s="109"/>
    </row>
    <row r="125" spans="1:8" s="4" customFormat="1" ht="20.100000000000001" customHeight="1">
      <c r="A125" s="68" t="s">
        <v>239</v>
      </c>
      <c r="B125" s="85">
        <v>4000</v>
      </c>
      <c r="C125" s="129">
        <f>SUM(C126:C129)</f>
        <v>1201</v>
      </c>
      <c r="D125" s="129">
        <f>SUM(D126:D129)</f>
        <v>1422</v>
      </c>
      <c r="E125" s="129">
        <f>SUM(E126:E129)</f>
        <v>1163</v>
      </c>
      <c r="F125" s="129">
        <f>SUM(F126:F129)</f>
        <v>1422</v>
      </c>
      <c r="G125" s="141">
        <f>F125-E125</f>
        <v>259</v>
      </c>
      <c r="H125" s="110">
        <f t="shared" si="6"/>
        <v>122.26999140154773</v>
      </c>
    </row>
    <row r="126" spans="1:8" s="4" customFormat="1" ht="20.100000000000001" customHeight="1">
      <c r="A126" s="36" t="s">
        <v>376</v>
      </c>
      <c r="B126" s="86" t="s">
        <v>240</v>
      </c>
      <c r="C126" s="140">
        <v>0</v>
      </c>
      <c r="D126" s="140">
        <v>0</v>
      </c>
      <c r="E126" s="140">
        <f>'6.2. Інша інфо_2'!M41</f>
        <v>0</v>
      </c>
      <c r="F126" s="140">
        <f>'6.2. Інша інфо_2'!N41</f>
        <v>0</v>
      </c>
      <c r="G126" s="121">
        <f>F126-E126</f>
        <v>0</v>
      </c>
      <c r="H126" s="109"/>
    </row>
    <row r="127" spans="1:8" s="4" customFormat="1" ht="20.100000000000001" customHeight="1">
      <c r="A127" s="36" t="s">
        <v>377</v>
      </c>
      <c r="B127" s="86" t="s">
        <v>241</v>
      </c>
      <c r="C127" s="140">
        <v>0</v>
      </c>
      <c r="D127" s="140">
        <v>0</v>
      </c>
      <c r="E127" s="140">
        <f>'6.2. Інша інфо_2'!Q41</f>
        <v>0</v>
      </c>
      <c r="F127" s="140">
        <f>'6.2. Інша інфо_2'!R41</f>
        <v>0</v>
      </c>
      <c r="G127" s="121">
        <f>F127-E127</f>
        <v>0</v>
      </c>
      <c r="H127" s="109"/>
    </row>
    <row r="128" spans="1:8" s="4" customFormat="1" ht="20.100000000000001" customHeight="1">
      <c r="A128" s="36" t="s">
        <v>199</v>
      </c>
      <c r="B128" s="86" t="s">
        <v>242</v>
      </c>
      <c r="C128" s="140">
        <f>C118</f>
        <v>1201</v>
      </c>
      <c r="D128" s="140">
        <f>D118</f>
        <v>1422</v>
      </c>
      <c r="E128" s="140">
        <f>'6.2. Інша інфо_2'!U41</f>
        <v>1163</v>
      </c>
      <c r="F128" s="140">
        <f>F118</f>
        <v>1422</v>
      </c>
      <c r="G128" s="121">
        <f>F128-E128</f>
        <v>259</v>
      </c>
      <c r="H128" s="109">
        <f t="shared" si="6"/>
        <v>122.26999140154773</v>
      </c>
    </row>
    <row r="129" spans="1:8" s="4" customFormat="1" ht="20.100000000000001" customHeight="1" thickBot="1">
      <c r="A129" s="99" t="s">
        <v>378</v>
      </c>
      <c r="B129" s="100" t="s">
        <v>243</v>
      </c>
      <c r="C129" s="147">
        <v>0</v>
      </c>
      <c r="D129" s="147">
        <v>0</v>
      </c>
      <c r="E129" s="147">
        <f>'6.2. Інша інфо_2'!Y41</f>
        <v>0</v>
      </c>
      <c r="F129" s="147">
        <f>'6.2. Інша інфо_2'!Z41</f>
        <v>0</v>
      </c>
      <c r="G129" s="147">
        <f>F129-E129</f>
        <v>0</v>
      </c>
      <c r="H129" s="116"/>
    </row>
    <row r="130" spans="1:8" s="4" customFormat="1" thickBot="1">
      <c r="A130" s="337" t="s">
        <v>145</v>
      </c>
      <c r="B130" s="338"/>
      <c r="C130" s="338"/>
      <c r="D130" s="338"/>
      <c r="E130" s="338"/>
      <c r="F130" s="338"/>
      <c r="G130" s="338"/>
      <c r="H130" s="339"/>
    </row>
    <row r="131" spans="1:8" s="4" customFormat="1">
      <c r="A131" s="87" t="s">
        <v>322</v>
      </c>
      <c r="B131" s="86">
        <v>5040</v>
      </c>
      <c r="C131" s="148">
        <f>(C66/C34)*100</f>
        <v>-1.1459353574926414</v>
      </c>
      <c r="D131" s="201">
        <f>(D66/D34)*100</f>
        <v>5.5689388779053237</v>
      </c>
      <c r="E131" s="148">
        <f>(E66/E34)*100</f>
        <v>2.6655574043261363</v>
      </c>
      <c r="F131" s="148">
        <f>(F66/F34)*100</f>
        <v>5.5689388779053237</v>
      </c>
      <c r="G131" s="149">
        <f>F131-E131</f>
        <v>2.9033814735791874</v>
      </c>
      <c r="H131" s="109">
        <f t="shared" si="6"/>
        <v>208.92211395886909</v>
      </c>
    </row>
    <row r="132" spans="1:8" s="4" customFormat="1">
      <c r="A132" s="87" t="s">
        <v>323</v>
      </c>
      <c r="B132" s="86">
        <v>5020</v>
      </c>
      <c r="C132" s="201">
        <f>(C66/C143)*100</f>
        <v>-0.50954419583062283</v>
      </c>
      <c r="D132" s="201">
        <f>(D66/D143)*100</f>
        <v>2.6698101185166254</v>
      </c>
      <c r="E132" s="202">
        <f>(E66/E143)*100</f>
        <v>1.286178796515602</v>
      </c>
      <c r="F132" s="202">
        <f>(F66/F143)*100</f>
        <v>2.6698101185166254</v>
      </c>
      <c r="G132" s="149">
        <f>F132-E132</f>
        <v>1.3836313220010235</v>
      </c>
      <c r="H132" s="109">
        <f t="shared" si="6"/>
        <v>207.57690344059711</v>
      </c>
    </row>
    <row r="133" spans="1:8" s="4" customFormat="1">
      <c r="A133" s="69" t="s">
        <v>324</v>
      </c>
      <c r="B133" s="5">
        <v>5030</v>
      </c>
      <c r="C133" s="203">
        <f>(C66/C149)*100</f>
        <v>-0.54840678145975874</v>
      </c>
      <c r="D133" s="203">
        <f>(D66/D149)*100</f>
        <v>2.8681440917258438</v>
      </c>
      <c r="E133" s="204">
        <f>(E66/E149)*100</f>
        <v>1.3662530382499749</v>
      </c>
      <c r="F133" s="204">
        <f>(F66/F149)*100</f>
        <v>2.8681440917258438</v>
      </c>
      <c r="G133" s="149">
        <f>F133-E133</f>
        <v>1.5018910534758689</v>
      </c>
      <c r="H133" s="109">
        <f t="shared" si="6"/>
        <v>209.92773750019484</v>
      </c>
    </row>
    <row r="134" spans="1:8" s="4" customFormat="1">
      <c r="A134" s="88" t="s">
        <v>153</v>
      </c>
      <c r="B134" s="89">
        <v>5110</v>
      </c>
      <c r="C134" s="150">
        <f>C149/C146</f>
        <v>13.111433209647496</v>
      </c>
      <c r="D134" s="150">
        <f>D149/D146</f>
        <v>13.461184058972586</v>
      </c>
      <c r="E134" s="150">
        <f>E149/E146</f>
        <v>16.062328767123287</v>
      </c>
      <c r="F134" s="150">
        <f>F149/F146</f>
        <v>13.461184058972586</v>
      </c>
      <c r="G134" s="149">
        <f>F134-E134</f>
        <v>-2.6011447081507004</v>
      </c>
      <c r="H134" s="109">
        <f t="shared" si="6"/>
        <v>83.805930348812325</v>
      </c>
    </row>
    <row r="135" spans="1:8" s="4" customFormat="1" ht="21.75" customHeight="1" thickBot="1">
      <c r="A135" s="117" t="s">
        <v>325</v>
      </c>
      <c r="B135" s="100">
        <v>5220</v>
      </c>
      <c r="C135" s="151">
        <f>C140/C139</f>
        <v>0.45883453622026193</v>
      </c>
      <c r="D135" s="151">
        <f>D140/D139</f>
        <v>0.4962302135554415</v>
      </c>
      <c r="E135" s="151">
        <f>E140/E139</f>
        <v>0.45518877407422298</v>
      </c>
      <c r="F135" s="151">
        <f>F140/F139</f>
        <v>0.4962302135554415</v>
      </c>
      <c r="G135" s="151">
        <f>F135-E135</f>
        <v>4.1041439481218522E-2</v>
      </c>
      <c r="H135" s="116">
        <f t="shared" si="6"/>
        <v>109.016355810771</v>
      </c>
    </row>
    <row r="136" spans="1:8" s="4" customFormat="1" ht="24.75" customHeight="1" thickBot="1">
      <c r="A136" s="327" t="s">
        <v>292</v>
      </c>
      <c r="B136" s="328"/>
      <c r="C136" s="328"/>
      <c r="D136" s="328"/>
      <c r="E136" s="328"/>
      <c r="F136" s="328"/>
      <c r="G136" s="328"/>
      <c r="H136" s="329"/>
    </row>
    <row r="137" spans="1:8" s="4" customFormat="1" ht="20.100000000000001" customHeight="1">
      <c r="A137" s="87" t="s">
        <v>315</v>
      </c>
      <c r="B137" s="86">
        <v>6000</v>
      </c>
      <c r="C137" s="140">
        <v>106252</v>
      </c>
      <c r="D137" s="140">
        <f>F137</f>
        <v>106837</v>
      </c>
      <c r="E137" s="140">
        <v>107500</v>
      </c>
      <c r="F137" s="140">
        <v>106837</v>
      </c>
      <c r="G137" s="121">
        <f>D137-C137</f>
        <v>585</v>
      </c>
      <c r="H137" s="109">
        <f>(D137/C137)*100</f>
        <v>100.55057787147537</v>
      </c>
    </row>
    <row r="138" spans="1:8" s="4" customFormat="1" ht="20.100000000000001" customHeight="1">
      <c r="A138" s="87" t="s">
        <v>316</v>
      </c>
      <c r="B138" s="86">
        <v>6001</v>
      </c>
      <c r="C138" s="140">
        <f>C139-C140</f>
        <v>12147</v>
      </c>
      <c r="D138" s="140">
        <f t="shared" ref="D138:D142" si="12">F138</f>
        <v>12762</v>
      </c>
      <c r="E138" s="121">
        <f>E139-E140</f>
        <v>13550</v>
      </c>
      <c r="F138" s="121">
        <f>F139-F140</f>
        <v>12762</v>
      </c>
      <c r="G138" s="121">
        <f t="shared" ref="G138:G149" si="13">D138-C138</f>
        <v>615</v>
      </c>
      <c r="H138" s="109">
        <f t="shared" ref="H138:H149" si="14">(D138/C138)*100</f>
        <v>105.06297851321314</v>
      </c>
    </row>
    <row r="139" spans="1:8" s="4" customFormat="1" ht="20.100000000000001" customHeight="1">
      <c r="A139" s="87" t="s">
        <v>317</v>
      </c>
      <c r="B139" s="86">
        <v>6002</v>
      </c>
      <c r="C139" s="140">
        <v>22446</v>
      </c>
      <c r="D139" s="140">
        <f t="shared" si="12"/>
        <v>25333</v>
      </c>
      <c r="E139" s="140">
        <v>24871</v>
      </c>
      <c r="F139" s="140">
        <v>25333</v>
      </c>
      <c r="G139" s="121">
        <f t="shared" si="13"/>
        <v>2887</v>
      </c>
      <c r="H139" s="109">
        <f t="shared" si="14"/>
        <v>112.86197986278179</v>
      </c>
    </row>
    <row r="140" spans="1:8" s="4" customFormat="1" ht="20.100000000000001" customHeight="1">
      <c r="A140" s="87" t="s">
        <v>318</v>
      </c>
      <c r="B140" s="86">
        <v>6003</v>
      </c>
      <c r="C140" s="140">
        <v>10299</v>
      </c>
      <c r="D140" s="140">
        <f t="shared" si="12"/>
        <v>12571</v>
      </c>
      <c r="E140" s="140">
        <v>11321</v>
      </c>
      <c r="F140" s="140">
        <v>12571</v>
      </c>
      <c r="G140" s="121">
        <f t="shared" si="13"/>
        <v>2272</v>
      </c>
      <c r="H140" s="109">
        <f t="shared" si="14"/>
        <v>122.06039421303039</v>
      </c>
    </row>
    <row r="141" spans="1:8" s="4" customFormat="1" ht="20.100000000000001" customHeight="1">
      <c r="A141" s="69" t="s">
        <v>319</v>
      </c>
      <c r="B141" s="5">
        <v>6010</v>
      </c>
      <c r="C141" s="140">
        <v>15445</v>
      </c>
      <c r="D141" s="140">
        <f t="shared" si="12"/>
        <v>18715</v>
      </c>
      <c r="E141" s="140">
        <v>17055</v>
      </c>
      <c r="F141" s="140">
        <v>18715</v>
      </c>
      <c r="G141" s="121">
        <f t="shared" si="13"/>
        <v>3270</v>
      </c>
      <c r="H141" s="109">
        <f t="shared" si="14"/>
        <v>121.17190029135642</v>
      </c>
    </row>
    <row r="142" spans="1:8" s="4" customFormat="1">
      <c r="A142" s="69" t="s">
        <v>320</v>
      </c>
      <c r="B142" s="5">
        <v>6011</v>
      </c>
      <c r="C142" s="140">
        <v>532.4</v>
      </c>
      <c r="D142" s="140">
        <f t="shared" si="12"/>
        <v>2025.9999999999886</v>
      </c>
      <c r="E142" s="140">
        <f>E116</f>
        <v>1118.5500000000056</v>
      </c>
      <c r="F142" s="140">
        <f>F116</f>
        <v>2025.9999999999886</v>
      </c>
      <c r="G142" s="121">
        <f t="shared" si="13"/>
        <v>1493.5999999999885</v>
      </c>
      <c r="H142" s="109">
        <f t="shared" si="14"/>
        <v>380.54094665664707</v>
      </c>
    </row>
    <row r="143" spans="1:8" s="4" customFormat="1" ht="20.100000000000001" customHeight="1">
      <c r="A143" s="68" t="s">
        <v>182</v>
      </c>
      <c r="B143" s="5">
        <v>6020</v>
      </c>
      <c r="C143" s="145">
        <v>121697</v>
      </c>
      <c r="D143" s="145">
        <f t="shared" ref="D143" si="15">D137+D141</f>
        <v>125552</v>
      </c>
      <c r="E143" s="145">
        <f t="shared" ref="E143" si="16">E137+E141</f>
        <v>124555</v>
      </c>
      <c r="F143" s="145">
        <f t="shared" ref="F143" si="17">F137+F141</f>
        <v>125552</v>
      </c>
      <c r="G143" s="141">
        <f t="shared" si="13"/>
        <v>3855</v>
      </c>
      <c r="H143" s="110">
        <f t="shared" si="14"/>
        <v>103.16770339449617</v>
      </c>
    </row>
    <row r="144" spans="1:8" s="4" customFormat="1" ht="20.100000000000001" customHeight="1">
      <c r="A144" s="69" t="s">
        <v>122</v>
      </c>
      <c r="B144" s="5">
        <v>6030</v>
      </c>
      <c r="C144" s="140">
        <v>0</v>
      </c>
      <c r="D144" s="140">
        <v>0</v>
      </c>
      <c r="E144" s="140">
        <v>0</v>
      </c>
      <c r="F144" s="140">
        <v>0</v>
      </c>
      <c r="G144" s="121">
        <f t="shared" si="13"/>
        <v>0</v>
      </c>
      <c r="H144" s="109"/>
    </row>
    <row r="145" spans="1:8" s="4" customFormat="1" ht="20.100000000000001" customHeight="1">
      <c r="A145" s="69" t="s">
        <v>123</v>
      </c>
      <c r="B145" s="5">
        <v>6040</v>
      </c>
      <c r="C145" s="140">
        <v>8624</v>
      </c>
      <c r="D145" s="140">
        <f>F145</f>
        <v>8682</v>
      </c>
      <c r="E145" s="140">
        <v>7300</v>
      </c>
      <c r="F145" s="140">
        <v>8682</v>
      </c>
      <c r="G145" s="121">
        <f t="shared" si="13"/>
        <v>58</v>
      </c>
      <c r="H145" s="109">
        <f t="shared" si="14"/>
        <v>100.67254174397031</v>
      </c>
    </row>
    <row r="146" spans="1:8" s="4" customFormat="1" ht="20.100000000000001" customHeight="1">
      <c r="A146" s="68" t="s">
        <v>183</v>
      </c>
      <c r="B146" s="5">
        <v>6050</v>
      </c>
      <c r="C146" s="141">
        <f>C145</f>
        <v>8624</v>
      </c>
      <c r="D146" s="141">
        <f>SUM(D144:D145)</f>
        <v>8682</v>
      </c>
      <c r="E146" s="141">
        <f>SUM(E144:E145)</f>
        <v>7300</v>
      </c>
      <c r="F146" s="141">
        <f>SUM(F144:F145)</f>
        <v>8682</v>
      </c>
      <c r="G146" s="141">
        <f t="shared" si="13"/>
        <v>58</v>
      </c>
      <c r="H146" s="110">
        <f t="shared" si="14"/>
        <v>100.67254174397031</v>
      </c>
    </row>
    <row r="147" spans="1:8" s="4" customFormat="1" ht="20.100000000000001" customHeight="1">
      <c r="A147" s="69" t="s">
        <v>379</v>
      </c>
      <c r="B147" s="5">
        <v>6060</v>
      </c>
      <c r="C147" s="140">
        <v>0</v>
      </c>
      <c r="D147" s="140">
        <v>0</v>
      </c>
      <c r="E147" s="140">
        <v>0</v>
      </c>
      <c r="F147" s="140">
        <v>0</v>
      </c>
      <c r="G147" s="121">
        <f t="shared" si="13"/>
        <v>0</v>
      </c>
      <c r="H147" s="109"/>
    </row>
    <row r="148" spans="1:8" s="4" customFormat="1">
      <c r="A148" s="69" t="s">
        <v>380</v>
      </c>
      <c r="B148" s="5">
        <v>6070</v>
      </c>
      <c r="C148" s="140">
        <v>0</v>
      </c>
      <c r="D148" s="140">
        <v>0</v>
      </c>
      <c r="E148" s="140">
        <v>0</v>
      </c>
      <c r="F148" s="140">
        <v>0</v>
      </c>
      <c r="G148" s="121">
        <f t="shared" si="13"/>
        <v>0</v>
      </c>
      <c r="H148" s="109"/>
    </row>
    <row r="149" spans="1:8" s="4" customFormat="1" ht="20.100000000000001" customHeight="1" thickBot="1">
      <c r="A149" s="68" t="s">
        <v>115</v>
      </c>
      <c r="B149" s="5">
        <v>6080</v>
      </c>
      <c r="C149" s="145">
        <v>113073</v>
      </c>
      <c r="D149" s="145">
        <f>D143-D146</f>
        <v>116870</v>
      </c>
      <c r="E149" s="145">
        <f>E143-E146</f>
        <v>117255</v>
      </c>
      <c r="F149" s="145">
        <v>116870</v>
      </c>
      <c r="G149" s="141">
        <f t="shared" si="13"/>
        <v>3797</v>
      </c>
      <c r="H149" s="110">
        <f t="shared" si="14"/>
        <v>103.35800765876913</v>
      </c>
    </row>
    <row r="150" spans="1:8" s="4" customFormat="1" thickBot="1">
      <c r="A150" s="334" t="s">
        <v>293</v>
      </c>
      <c r="B150" s="335"/>
      <c r="C150" s="335"/>
      <c r="D150" s="335"/>
      <c r="E150" s="335"/>
      <c r="F150" s="335"/>
      <c r="G150" s="335"/>
      <c r="H150" s="336"/>
    </row>
    <row r="151" spans="1:8" s="4" customFormat="1" ht="20.100000000000001" customHeight="1">
      <c r="A151" s="83" t="s">
        <v>349</v>
      </c>
      <c r="B151" s="90" t="s">
        <v>294</v>
      </c>
      <c r="C151" s="146">
        <f>SUM(C152:C154)</f>
        <v>0</v>
      </c>
      <c r="D151" s="146">
        <f>SUM(D152:D154)</f>
        <v>0</v>
      </c>
      <c r="E151" s="146">
        <f>SUM(E152:E154)</f>
        <v>0</v>
      </c>
      <c r="F151" s="146">
        <f>SUM(F152:F154)</f>
        <v>0</v>
      </c>
      <c r="G151" s="145">
        <f t="shared" ref="G151:G158" si="18">F151-E151</f>
        <v>0</v>
      </c>
      <c r="H151" s="110"/>
    </row>
    <row r="152" spans="1:8" s="4" customFormat="1" ht="20.100000000000001" customHeight="1">
      <c r="A152" s="69" t="s">
        <v>381</v>
      </c>
      <c r="B152" s="91" t="s">
        <v>296</v>
      </c>
      <c r="C152" s="121">
        <v>0</v>
      </c>
      <c r="D152" s="121"/>
      <c r="E152" s="140">
        <f>'6.1. Інша інфо_1'!F72</f>
        <v>0</v>
      </c>
      <c r="F152" s="140">
        <f>'6.1. Інша інфо_1'!H72</f>
        <v>0</v>
      </c>
      <c r="G152" s="121">
        <f t="shared" si="18"/>
        <v>0</v>
      </c>
      <c r="H152" s="109"/>
    </row>
    <row r="153" spans="1:8" s="4" customFormat="1" ht="20.100000000000001" customHeight="1">
      <c r="A153" s="69" t="s">
        <v>382</v>
      </c>
      <c r="B153" s="91" t="s">
        <v>297</v>
      </c>
      <c r="C153" s="121">
        <v>0</v>
      </c>
      <c r="D153" s="121"/>
      <c r="E153" s="140">
        <f>'6.1. Інша інфо_1'!F75</f>
        <v>0</v>
      </c>
      <c r="F153" s="140">
        <f>'6.1. Інша інфо_1'!H75</f>
        <v>0</v>
      </c>
      <c r="G153" s="121">
        <f t="shared" si="18"/>
        <v>0</v>
      </c>
      <c r="H153" s="109"/>
    </row>
    <row r="154" spans="1:8" s="4" customFormat="1" ht="20.100000000000001" customHeight="1">
      <c r="A154" s="69" t="s">
        <v>383</v>
      </c>
      <c r="B154" s="91" t="s">
        <v>298</v>
      </c>
      <c r="C154" s="121">
        <v>0</v>
      </c>
      <c r="D154" s="121"/>
      <c r="E154" s="140">
        <f>'6.1. Інша інфо_1'!F78</f>
        <v>0</v>
      </c>
      <c r="F154" s="140">
        <f>'6.1. Інша інфо_1'!H78</f>
        <v>0</v>
      </c>
      <c r="G154" s="121">
        <f t="shared" si="18"/>
        <v>0</v>
      </c>
      <c r="H154" s="109"/>
    </row>
    <row r="155" spans="1:8" s="4" customFormat="1" ht="20.100000000000001" customHeight="1">
      <c r="A155" s="68" t="s">
        <v>350</v>
      </c>
      <c r="B155" s="91" t="s">
        <v>295</v>
      </c>
      <c r="C155" s="129">
        <f>SUM(C156:C158)</f>
        <v>0</v>
      </c>
      <c r="D155" s="129">
        <f>SUM(D156:D158)</f>
        <v>0</v>
      </c>
      <c r="E155" s="129">
        <f>SUM(E156:E158)</f>
        <v>0</v>
      </c>
      <c r="F155" s="129">
        <f>SUM(F156:F158)</f>
        <v>0</v>
      </c>
      <c r="G155" s="141">
        <f t="shared" si="18"/>
        <v>0</v>
      </c>
      <c r="H155" s="110"/>
    </row>
    <row r="156" spans="1:8" s="4" customFormat="1" ht="20.100000000000001" customHeight="1">
      <c r="A156" s="69" t="s">
        <v>381</v>
      </c>
      <c r="B156" s="91" t="s">
        <v>299</v>
      </c>
      <c r="C156" s="121">
        <v>0</v>
      </c>
      <c r="D156" s="121"/>
      <c r="E156" s="140">
        <f>'6.1. Інша інфо_1'!J72</f>
        <v>0</v>
      </c>
      <c r="F156" s="140">
        <f>'6.1. Інша інфо_1'!L72</f>
        <v>0</v>
      </c>
      <c r="G156" s="121">
        <f t="shared" si="18"/>
        <v>0</v>
      </c>
      <c r="H156" s="109"/>
    </row>
    <row r="157" spans="1:8" s="4" customFormat="1" ht="20.100000000000001" customHeight="1">
      <c r="A157" s="69" t="s">
        <v>382</v>
      </c>
      <c r="B157" s="91" t="s">
        <v>300</v>
      </c>
      <c r="C157" s="121">
        <v>0</v>
      </c>
      <c r="D157" s="121"/>
      <c r="E157" s="140">
        <f>'6.1. Інша інфо_1'!J75</f>
        <v>0</v>
      </c>
      <c r="F157" s="140">
        <f>'6.1. Інша інфо_1'!L75</f>
        <v>0</v>
      </c>
      <c r="G157" s="121">
        <f t="shared" si="18"/>
        <v>0</v>
      </c>
      <c r="H157" s="109"/>
    </row>
    <row r="158" spans="1:8" s="4" customFormat="1" ht="20.100000000000001" customHeight="1" thickBot="1">
      <c r="A158" s="88" t="s">
        <v>383</v>
      </c>
      <c r="B158" s="92" t="s">
        <v>301</v>
      </c>
      <c r="C158" s="121">
        <v>0</v>
      </c>
      <c r="D158" s="121"/>
      <c r="E158" s="140">
        <f>'6.1. Інша інфо_1'!J78</f>
        <v>0</v>
      </c>
      <c r="F158" s="140">
        <f>'6.1. Інша інфо_1'!L78</f>
        <v>0</v>
      </c>
      <c r="G158" s="121">
        <f t="shared" si="18"/>
        <v>0</v>
      </c>
      <c r="H158" s="109"/>
    </row>
    <row r="159" spans="1:8" s="4" customFormat="1" ht="27.9" customHeight="1" thickBot="1">
      <c r="A159" s="327" t="s">
        <v>302</v>
      </c>
      <c r="B159" s="328"/>
      <c r="C159" s="328"/>
      <c r="D159" s="328"/>
      <c r="E159" s="328"/>
      <c r="F159" s="328"/>
      <c r="G159" s="328"/>
      <c r="H159" s="329"/>
    </row>
    <row r="160" spans="1:8" s="4" customFormat="1" ht="43.5" customHeight="1">
      <c r="A160" s="68" t="s">
        <v>332</v>
      </c>
      <c r="B160" s="91" t="s">
        <v>303</v>
      </c>
      <c r="C160" s="282">
        <f>SUM(C163:C165)</f>
        <v>220</v>
      </c>
      <c r="D160" s="282">
        <f>SUM(D163:D165)</f>
        <v>216.25</v>
      </c>
      <c r="E160" s="282">
        <f>SUM(E163:E165)</f>
        <v>220</v>
      </c>
      <c r="F160" s="282">
        <f>SUM(F163:F165)</f>
        <v>216.25</v>
      </c>
      <c r="G160" s="141">
        <f>F160-E160</f>
        <v>-3.75</v>
      </c>
      <c r="H160" s="110">
        <f t="shared" ref="H160" si="19">(F160/E160)*100</f>
        <v>98.295454545454547</v>
      </c>
    </row>
    <row r="161" spans="1:10" s="4" customFormat="1" ht="18.75" customHeight="1">
      <c r="A161" s="69" t="s">
        <v>504</v>
      </c>
      <c r="B161" s="91" t="s">
        <v>304</v>
      </c>
      <c r="C161" s="282" t="s">
        <v>514</v>
      </c>
      <c r="D161" s="282" t="s">
        <v>514</v>
      </c>
      <c r="E161" s="282" t="s">
        <v>514</v>
      </c>
      <c r="F161" s="282" t="s">
        <v>514</v>
      </c>
      <c r="G161" s="141" t="s">
        <v>514</v>
      </c>
      <c r="H161" s="141" t="s">
        <v>514</v>
      </c>
    </row>
    <row r="162" spans="1:10" s="4" customFormat="1" ht="18.75" customHeight="1">
      <c r="A162" s="69" t="s">
        <v>505</v>
      </c>
      <c r="B162" s="91" t="s">
        <v>305</v>
      </c>
      <c r="C162" s="282" t="s">
        <v>514</v>
      </c>
      <c r="D162" s="282" t="s">
        <v>514</v>
      </c>
      <c r="E162" s="282" t="s">
        <v>514</v>
      </c>
      <c r="F162" s="282" t="s">
        <v>514</v>
      </c>
      <c r="G162" s="141" t="s">
        <v>514</v>
      </c>
      <c r="H162" s="141" t="s">
        <v>514</v>
      </c>
    </row>
    <row r="163" spans="1:10" s="4" customFormat="1">
      <c r="A163" s="7" t="s">
        <v>506</v>
      </c>
      <c r="B163" s="91" t="s">
        <v>306</v>
      </c>
      <c r="C163" s="177">
        <v>1</v>
      </c>
      <c r="D163" s="177">
        <f>'6.1. Інша інфо_1'!Y14</f>
        <v>1</v>
      </c>
      <c r="E163" s="177">
        <f>'6.1. Інша інфо_1'!F14</f>
        <v>1</v>
      </c>
      <c r="F163" s="177">
        <f>'6.1. Інша інфо_1'!I14</f>
        <v>1</v>
      </c>
      <c r="G163" s="121">
        <f>F163-E163</f>
        <v>0</v>
      </c>
      <c r="H163" s="109">
        <f>(F163/E163)*100</f>
        <v>100</v>
      </c>
    </row>
    <row r="164" spans="1:10" s="4" customFormat="1">
      <c r="A164" s="7" t="s">
        <v>194</v>
      </c>
      <c r="B164" s="91" t="s">
        <v>502</v>
      </c>
      <c r="C164" s="177">
        <v>45</v>
      </c>
      <c r="D164" s="177">
        <f>'6.1. Інша інфо_1'!Y15</f>
        <v>45.25</v>
      </c>
      <c r="E164" s="177">
        <f>'6.1. Інша інфо_1'!F15</f>
        <v>45</v>
      </c>
      <c r="F164" s="177">
        <f>'6.1. Інша інфо_1'!I15</f>
        <v>45.25</v>
      </c>
      <c r="G164" s="121">
        <f t="shared" ref="G164:G172" si="20">F164-E164</f>
        <v>0.25</v>
      </c>
      <c r="H164" s="109">
        <f t="shared" ref="H164:H172" si="21">(F164/E164)*100</f>
        <v>100.55555555555556</v>
      </c>
    </row>
    <row r="165" spans="1:10" s="4" customFormat="1">
      <c r="A165" s="7" t="s">
        <v>195</v>
      </c>
      <c r="B165" s="91" t="s">
        <v>503</v>
      </c>
      <c r="C165" s="177">
        <v>174</v>
      </c>
      <c r="D165" s="177">
        <f>'6.1. Інша інфо_1'!Y16</f>
        <v>170</v>
      </c>
      <c r="E165" s="177">
        <f>'6.1. Інша інфо_1'!F16</f>
        <v>174</v>
      </c>
      <c r="F165" s="177">
        <f>'6.1. Інша інфо_1'!I16</f>
        <v>170</v>
      </c>
      <c r="G165" s="121">
        <f t="shared" si="20"/>
        <v>-4</v>
      </c>
      <c r="H165" s="109">
        <f t="shared" si="21"/>
        <v>97.701149425287355</v>
      </c>
    </row>
    <row r="166" spans="1:10" s="4" customFormat="1" ht="20.100000000000001" customHeight="1">
      <c r="A166" s="68" t="s">
        <v>5</v>
      </c>
      <c r="B166" s="91" t="s">
        <v>307</v>
      </c>
      <c r="C166" s="141">
        <v>21748.9</v>
      </c>
      <c r="D166" s="141">
        <f>'6.1. Інша інфо_1'!Y17</f>
        <v>25124.02</v>
      </c>
      <c r="E166" s="141">
        <f>E76</f>
        <v>26293.9</v>
      </c>
      <c r="F166" s="141">
        <f>F76</f>
        <v>25124</v>
      </c>
      <c r="G166" s="141">
        <f t="shared" si="20"/>
        <v>-1169.9000000000015</v>
      </c>
      <c r="H166" s="110">
        <f t="shared" si="21"/>
        <v>95.550679054837801</v>
      </c>
    </row>
    <row r="167" spans="1:10" s="4" customFormat="1" ht="34.799999999999997">
      <c r="A167" s="68" t="s">
        <v>244</v>
      </c>
      <c r="B167" s="91" t="s">
        <v>308</v>
      </c>
      <c r="C167" s="141">
        <v>8228.9</v>
      </c>
      <c r="D167" s="141">
        <f>'6.1. Інша інфо_1'!Y29</f>
        <v>9681.703275529866</v>
      </c>
      <c r="E167" s="141">
        <f>'6.1. Інша інфо_1'!F29</f>
        <v>9959.7999999999993</v>
      </c>
      <c r="F167" s="141">
        <f>'6.1. Інша інфо_1'!I29</f>
        <v>9681.703275529866</v>
      </c>
      <c r="G167" s="141">
        <f t="shared" si="20"/>
        <v>-278.09672447013327</v>
      </c>
      <c r="H167" s="110">
        <f t="shared" si="21"/>
        <v>97.207808144037699</v>
      </c>
    </row>
    <row r="168" spans="1:10" s="4" customFormat="1">
      <c r="A168" s="69" t="s">
        <v>504</v>
      </c>
      <c r="B168" s="91" t="s">
        <v>309</v>
      </c>
      <c r="C168" s="141" t="s">
        <v>514</v>
      </c>
      <c r="D168" s="141" t="s">
        <v>514</v>
      </c>
      <c r="E168" s="141" t="s">
        <v>514</v>
      </c>
      <c r="F168" s="141" t="s">
        <v>514</v>
      </c>
      <c r="G168" s="141" t="s">
        <v>514</v>
      </c>
      <c r="H168" s="141" t="s">
        <v>514</v>
      </c>
    </row>
    <row r="169" spans="1:10" s="4" customFormat="1">
      <c r="A169" s="69" t="s">
        <v>505</v>
      </c>
      <c r="B169" s="91" t="s">
        <v>310</v>
      </c>
      <c r="C169" s="141" t="s">
        <v>514</v>
      </c>
      <c r="D169" s="141" t="s">
        <v>514</v>
      </c>
      <c r="E169" s="141" t="s">
        <v>514</v>
      </c>
      <c r="F169" s="141" t="s">
        <v>514</v>
      </c>
      <c r="G169" s="141" t="s">
        <v>514</v>
      </c>
      <c r="H169" s="141" t="s">
        <v>514</v>
      </c>
    </row>
    <row r="170" spans="1:10" s="4" customFormat="1" ht="20.100000000000001" customHeight="1">
      <c r="A170" s="7" t="s">
        <v>506</v>
      </c>
      <c r="B170" s="91" t="s">
        <v>311</v>
      </c>
      <c r="C170" s="121">
        <v>19709</v>
      </c>
      <c r="D170" s="121">
        <f>'6.1. Інша інфо_1'!Y32</f>
        <v>23943.333333333332</v>
      </c>
      <c r="E170" s="140">
        <f>'6.1. Інша інфо_1'!F32</f>
        <v>24166.7</v>
      </c>
      <c r="F170" s="140">
        <f>'6.1. Інша інфо_1'!I32</f>
        <v>23943.333333333332</v>
      </c>
      <c r="G170" s="121">
        <f t="shared" si="20"/>
        <v>-223.36666666666861</v>
      </c>
      <c r="H170" s="109">
        <f t="shared" si="21"/>
        <v>99.075725412792522</v>
      </c>
      <c r="J170" s="249">
        <f>D170/C170</f>
        <v>1.2148426268878854</v>
      </c>
    </row>
    <row r="171" spans="1:10" s="4" customFormat="1" ht="20.100000000000001" customHeight="1">
      <c r="A171" s="7" t="s">
        <v>194</v>
      </c>
      <c r="B171" s="91" t="s">
        <v>507</v>
      </c>
      <c r="C171" s="121">
        <v>11270.5</v>
      </c>
      <c r="D171" s="121">
        <f>'6.1. Інша інфо_1'!Y36</f>
        <v>13350.828729281768</v>
      </c>
      <c r="E171" s="140">
        <f>'6.1. Інша інфо_1'!F36</f>
        <v>13965.3</v>
      </c>
      <c r="F171" s="140">
        <f>'6.1. Інша інфо_1'!I36</f>
        <v>13350.828729281768</v>
      </c>
      <c r="G171" s="121">
        <f t="shared" si="20"/>
        <v>-614.47127071823161</v>
      </c>
      <c r="H171" s="109">
        <f t="shared" si="21"/>
        <v>95.60001381482509</v>
      </c>
      <c r="J171" s="249">
        <f t="shared" ref="J171:J172" si="22">D171/C171</f>
        <v>1.1845817602840838</v>
      </c>
    </row>
    <row r="172" spans="1:10" s="4" customFormat="1" ht="20.100000000000001" customHeight="1">
      <c r="A172" s="7" t="s">
        <v>517</v>
      </c>
      <c r="B172" s="91" t="s">
        <v>508</v>
      </c>
      <c r="C172" s="121">
        <v>7377.5</v>
      </c>
      <c r="D172" s="121">
        <f>'6.1. Інша інфо_1'!Y37</f>
        <v>8621.176470588236</v>
      </c>
      <c r="E172" s="140">
        <f>'6.1. Інша інфо_1'!F37</f>
        <v>8842.2999999999993</v>
      </c>
      <c r="F172" s="140">
        <f>'6.1. Інша інфо_1'!I37</f>
        <v>8621.176470588236</v>
      </c>
      <c r="G172" s="121">
        <f t="shared" si="20"/>
        <v>-221.12352941176323</v>
      </c>
      <c r="H172" s="109">
        <f t="shared" si="21"/>
        <v>97.499253255241698</v>
      </c>
      <c r="J172" s="249">
        <f t="shared" si="22"/>
        <v>1.1685769529770567</v>
      </c>
    </row>
    <row r="173" spans="1:10" s="4" customFormat="1" ht="20.100000000000001" customHeight="1">
      <c r="A173" s="24"/>
      <c r="B173" s="107"/>
      <c r="C173" s="118"/>
      <c r="D173" s="118"/>
      <c r="E173" s="108"/>
      <c r="F173" s="108"/>
      <c r="G173" s="108"/>
      <c r="H173" s="108"/>
    </row>
    <row r="174" spans="1:10" s="4" customFormat="1" ht="20.100000000000001" customHeight="1">
      <c r="A174" s="192"/>
      <c r="B174" s="107"/>
      <c r="C174" s="118"/>
      <c r="D174" s="118"/>
      <c r="E174" s="108"/>
      <c r="F174" s="108"/>
      <c r="G174" s="108"/>
      <c r="H174" s="108"/>
    </row>
    <row r="175" spans="1:10">
      <c r="A175" s="52"/>
    </row>
    <row r="176" spans="1:10" ht="27.75" customHeight="1">
      <c r="A176" s="46" t="s">
        <v>486</v>
      </c>
      <c r="B176" s="1"/>
      <c r="C176" s="340" t="s">
        <v>89</v>
      </c>
      <c r="D176" s="340"/>
      <c r="E176" s="62"/>
      <c r="F176" s="341" t="s">
        <v>487</v>
      </c>
      <c r="G176" s="341"/>
      <c r="H176" s="341"/>
      <c r="I176" s="166"/>
    </row>
    <row r="177" spans="1:9">
      <c r="A177" s="23" t="s">
        <v>211</v>
      </c>
      <c r="B177" s="2"/>
      <c r="C177" s="312" t="s">
        <v>210</v>
      </c>
      <c r="D177" s="312"/>
      <c r="E177" s="25"/>
      <c r="F177" s="314" t="s">
        <v>85</v>
      </c>
      <c r="G177" s="314"/>
      <c r="H177" s="314"/>
      <c r="I177" s="166"/>
    </row>
    <row r="178" spans="1:9">
      <c r="A178" s="52"/>
    </row>
    <row r="179" spans="1:9">
      <c r="A179" s="52"/>
    </row>
    <row r="180" spans="1:9">
      <c r="A180" s="52"/>
    </row>
    <row r="181" spans="1:9">
      <c r="A181" s="52"/>
    </row>
    <row r="182" spans="1:9">
      <c r="A182" s="52"/>
    </row>
    <row r="183" spans="1:9">
      <c r="A183" s="52"/>
    </row>
    <row r="184" spans="1:9">
      <c r="A184" s="52"/>
    </row>
    <row r="185" spans="1:9">
      <c r="A185" s="52"/>
    </row>
    <row r="186" spans="1:9">
      <c r="A186" s="52"/>
    </row>
    <row r="187" spans="1:9">
      <c r="A187" s="52"/>
    </row>
    <row r="188" spans="1:9">
      <c r="A188" s="52"/>
    </row>
    <row r="189" spans="1:9">
      <c r="A189" s="52"/>
    </row>
    <row r="190" spans="1:9">
      <c r="A190" s="52"/>
    </row>
    <row r="191" spans="1:9">
      <c r="A191" s="52"/>
    </row>
    <row r="192" spans="1:9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  <row r="329" spans="1:1">
      <c r="A329" s="52"/>
    </row>
    <row r="330" spans="1:1">
      <c r="A330" s="52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41"/>
    </row>
    <row r="337" spans="1:1">
      <c r="A337" s="41"/>
    </row>
    <row r="338" spans="1:1">
      <c r="A338" s="41"/>
    </row>
    <row r="339" spans="1:1">
      <c r="A339" s="41"/>
    </row>
    <row r="340" spans="1:1">
      <c r="A340" s="41"/>
    </row>
    <row r="341" spans="1:1">
      <c r="A341" s="41"/>
    </row>
    <row r="342" spans="1:1">
      <c r="A342" s="41"/>
    </row>
    <row r="343" spans="1:1">
      <c r="A343" s="41"/>
    </row>
    <row r="344" spans="1:1">
      <c r="A344" s="41"/>
    </row>
    <row r="345" spans="1:1">
      <c r="A345" s="41"/>
    </row>
    <row r="346" spans="1:1">
      <c r="A346" s="41"/>
    </row>
    <row r="347" spans="1:1">
      <c r="A347" s="41"/>
    </row>
    <row r="348" spans="1:1">
      <c r="A348" s="41"/>
    </row>
    <row r="349" spans="1:1">
      <c r="A349" s="41"/>
    </row>
    <row r="350" spans="1:1">
      <c r="A350" s="41"/>
    </row>
    <row r="351" spans="1:1">
      <c r="A351" s="41"/>
    </row>
    <row r="352" spans="1:1">
      <c r="A352" s="41"/>
    </row>
    <row r="353" spans="1:1">
      <c r="A353" s="41"/>
    </row>
    <row r="354" spans="1:1">
      <c r="A354" s="41"/>
    </row>
    <row r="355" spans="1:1">
      <c r="A355" s="41"/>
    </row>
    <row r="356" spans="1:1">
      <c r="A356" s="41"/>
    </row>
    <row r="357" spans="1:1">
      <c r="A357" s="41"/>
    </row>
    <row r="358" spans="1:1">
      <c r="A358" s="41"/>
    </row>
    <row r="359" spans="1:1">
      <c r="A359" s="41"/>
    </row>
    <row r="360" spans="1:1">
      <c r="A360" s="41"/>
    </row>
    <row r="361" spans="1:1">
      <c r="A361" s="41"/>
    </row>
    <row r="362" spans="1:1">
      <c r="A362" s="41"/>
    </row>
    <row r="363" spans="1:1">
      <c r="A363" s="41"/>
    </row>
    <row r="364" spans="1:1">
      <c r="A364" s="41"/>
    </row>
    <row r="365" spans="1:1">
      <c r="A365" s="41"/>
    </row>
    <row r="366" spans="1:1">
      <c r="A366" s="41"/>
    </row>
    <row r="367" spans="1:1">
      <c r="A367" s="41"/>
    </row>
    <row r="368" spans="1:1">
      <c r="A368" s="41"/>
    </row>
    <row r="369" spans="1:1">
      <c r="A369" s="41"/>
    </row>
    <row r="370" spans="1:1">
      <c r="A370" s="41"/>
    </row>
    <row r="371" spans="1:1">
      <c r="A371" s="41"/>
    </row>
    <row r="372" spans="1:1">
      <c r="A372" s="41"/>
    </row>
    <row r="373" spans="1:1">
      <c r="A373" s="41"/>
    </row>
    <row r="374" spans="1:1">
      <c r="A374" s="41"/>
    </row>
    <row r="375" spans="1:1">
      <c r="A375" s="41"/>
    </row>
    <row r="376" spans="1:1">
      <c r="A376" s="41"/>
    </row>
    <row r="377" spans="1:1">
      <c r="A377" s="41"/>
    </row>
    <row r="378" spans="1:1">
      <c r="A378" s="41"/>
    </row>
    <row r="379" spans="1:1">
      <c r="A379" s="41"/>
    </row>
    <row r="380" spans="1:1">
      <c r="A380" s="41"/>
    </row>
    <row r="381" spans="1:1">
      <c r="A381" s="41"/>
    </row>
    <row r="382" spans="1:1">
      <c r="A382" s="41"/>
    </row>
    <row r="383" spans="1:1">
      <c r="A383" s="41"/>
    </row>
    <row r="384" spans="1:1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  <row r="393" spans="1:1">
      <c r="A393" s="41"/>
    </row>
    <row r="394" spans="1:1">
      <c r="A394" s="41"/>
    </row>
    <row r="395" spans="1:1">
      <c r="A395" s="41"/>
    </row>
    <row r="396" spans="1:1">
      <c r="A396" s="41"/>
    </row>
    <row r="397" spans="1:1">
      <c r="A397" s="41"/>
    </row>
    <row r="398" spans="1:1">
      <c r="A398" s="41"/>
    </row>
    <row r="399" spans="1:1">
      <c r="A399" s="41"/>
    </row>
    <row r="400" spans="1:1">
      <c r="A400" s="41"/>
    </row>
    <row r="401" spans="1:1">
      <c r="A401" s="41"/>
    </row>
    <row r="402" spans="1:1">
      <c r="A402" s="41"/>
    </row>
    <row r="403" spans="1:1">
      <c r="A403" s="41"/>
    </row>
    <row r="404" spans="1:1">
      <c r="A404" s="41"/>
    </row>
    <row r="405" spans="1:1">
      <c r="A405" s="41"/>
    </row>
    <row r="406" spans="1:1">
      <c r="A406" s="41"/>
    </row>
    <row r="407" spans="1:1">
      <c r="A407" s="41"/>
    </row>
    <row r="408" spans="1:1">
      <c r="A408" s="41"/>
    </row>
    <row r="409" spans="1:1">
      <c r="A409" s="41"/>
    </row>
    <row r="410" spans="1:1">
      <c r="A410" s="41"/>
    </row>
    <row r="411" spans="1:1">
      <c r="A411" s="41"/>
    </row>
    <row r="412" spans="1:1">
      <c r="A412" s="41"/>
    </row>
    <row r="413" spans="1:1">
      <c r="A413" s="41"/>
    </row>
    <row r="414" spans="1:1">
      <c r="A414" s="41"/>
    </row>
    <row r="415" spans="1:1">
      <c r="A415" s="41"/>
    </row>
    <row r="416" spans="1:1">
      <c r="A416" s="41"/>
    </row>
    <row r="417" spans="1:1">
      <c r="A417" s="41"/>
    </row>
    <row r="418" spans="1:1">
      <c r="A418" s="41"/>
    </row>
    <row r="419" spans="1:1">
      <c r="A419" s="41"/>
    </row>
    <row r="420" spans="1:1">
      <c r="A420" s="41"/>
    </row>
    <row r="421" spans="1:1">
      <c r="A421" s="41"/>
    </row>
    <row r="422" spans="1:1">
      <c r="A422" s="41"/>
    </row>
    <row r="423" spans="1:1">
      <c r="A423" s="41"/>
    </row>
    <row r="424" spans="1:1">
      <c r="A424" s="41"/>
    </row>
    <row r="425" spans="1:1">
      <c r="A425" s="41"/>
    </row>
    <row r="426" spans="1:1">
      <c r="A426" s="41"/>
    </row>
    <row r="427" spans="1:1">
      <c r="A427" s="41"/>
    </row>
    <row r="428" spans="1:1">
      <c r="A428" s="41"/>
    </row>
    <row r="429" spans="1:1">
      <c r="A429" s="41"/>
    </row>
    <row r="430" spans="1:1">
      <c r="A430" s="41"/>
    </row>
    <row r="431" spans="1:1">
      <c r="A431" s="41"/>
    </row>
    <row r="432" spans="1:1">
      <c r="A432" s="41"/>
    </row>
    <row r="433" spans="1:1">
      <c r="A433" s="41"/>
    </row>
    <row r="434" spans="1:1">
      <c r="A434" s="41"/>
    </row>
    <row r="435" spans="1:1">
      <c r="A435" s="41"/>
    </row>
    <row r="436" spans="1:1">
      <c r="A436" s="41"/>
    </row>
    <row r="437" spans="1:1">
      <c r="A437" s="41"/>
    </row>
    <row r="438" spans="1:1">
      <c r="A438" s="41"/>
    </row>
    <row r="439" spans="1:1">
      <c r="A439" s="41"/>
    </row>
    <row r="440" spans="1:1">
      <c r="A440" s="41"/>
    </row>
    <row r="441" spans="1:1">
      <c r="A441" s="41"/>
    </row>
    <row r="442" spans="1:1">
      <c r="A442" s="41"/>
    </row>
    <row r="443" spans="1:1">
      <c r="A443" s="41"/>
    </row>
    <row r="444" spans="1:1">
      <c r="A444" s="41"/>
    </row>
    <row r="445" spans="1:1">
      <c r="A445" s="41"/>
    </row>
    <row r="446" spans="1:1">
      <c r="A446" s="41"/>
    </row>
    <row r="447" spans="1:1">
      <c r="A447" s="41"/>
    </row>
    <row r="448" spans="1:1">
      <c r="A448" s="41"/>
    </row>
    <row r="449" spans="1:1">
      <c r="A449" s="41"/>
    </row>
    <row r="450" spans="1:1">
      <c r="A450" s="41"/>
    </row>
    <row r="451" spans="1:1">
      <c r="A451" s="41"/>
    </row>
    <row r="452" spans="1:1">
      <c r="A452" s="41"/>
    </row>
    <row r="453" spans="1:1">
      <c r="A453" s="41"/>
    </row>
    <row r="454" spans="1:1">
      <c r="A454" s="41"/>
    </row>
    <row r="455" spans="1:1">
      <c r="A455" s="41"/>
    </row>
    <row r="456" spans="1:1">
      <c r="A456" s="41"/>
    </row>
    <row r="457" spans="1:1">
      <c r="A457" s="41"/>
    </row>
    <row r="458" spans="1:1">
      <c r="A458" s="41"/>
    </row>
    <row r="459" spans="1:1">
      <c r="A459" s="41"/>
    </row>
    <row r="460" spans="1:1">
      <c r="A460" s="41"/>
    </row>
    <row r="461" spans="1:1">
      <c r="A461" s="41"/>
    </row>
    <row r="462" spans="1:1">
      <c r="A462" s="41"/>
    </row>
    <row r="463" spans="1:1">
      <c r="A463" s="41"/>
    </row>
    <row r="464" spans="1:1">
      <c r="A464" s="41"/>
    </row>
    <row r="465" spans="1:1">
      <c r="A465" s="41"/>
    </row>
    <row r="466" spans="1:1">
      <c r="A466" s="41"/>
    </row>
    <row r="467" spans="1:1">
      <c r="A467" s="41"/>
    </row>
    <row r="468" spans="1:1">
      <c r="A468" s="41"/>
    </row>
    <row r="469" spans="1:1">
      <c r="A469" s="41"/>
    </row>
    <row r="470" spans="1:1">
      <c r="A470" s="41"/>
    </row>
    <row r="471" spans="1:1">
      <c r="A471" s="41"/>
    </row>
    <row r="472" spans="1:1">
      <c r="A472" s="41"/>
    </row>
    <row r="473" spans="1:1">
      <c r="A473" s="41"/>
    </row>
    <row r="474" spans="1:1">
      <c r="A474" s="41"/>
    </row>
    <row r="475" spans="1:1">
      <c r="A475" s="41"/>
    </row>
    <row r="476" spans="1:1">
      <c r="A476" s="41"/>
    </row>
    <row r="477" spans="1:1">
      <c r="A477" s="41"/>
    </row>
    <row r="478" spans="1:1">
      <c r="A478" s="41"/>
    </row>
    <row r="479" spans="1:1">
      <c r="A479" s="41"/>
    </row>
    <row r="480" spans="1:1">
      <c r="A480" s="41"/>
    </row>
    <row r="481" spans="1:1">
      <c r="A481" s="41"/>
    </row>
    <row r="482" spans="1:1">
      <c r="A482" s="41"/>
    </row>
    <row r="483" spans="1:1">
      <c r="A483" s="41"/>
    </row>
    <row r="484" spans="1:1">
      <c r="A484" s="41"/>
    </row>
    <row r="485" spans="1:1">
      <c r="A485" s="41"/>
    </row>
    <row r="486" spans="1:1">
      <c r="A486" s="41"/>
    </row>
    <row r="487" spans="1:1">
      <c r="A487" s="41"/>
    </row>
    <row r="488" spans="1:1">
      <c r="A488" s="41"/>
    </row>
    <row r="489" spans="1:1">
      <c r="A489" s="41"/>
    </row>
    <row r="490" spans="1:1">
      <c r="A490" s="41"/>
    </row>
    <row r="491" spans="1:1">
      <c r="A491" s="41"/>
    </row>
    <row r="492" spans="1:1">
      <c r="A492" s="41"/>
    </row>
    <row r="493" spans="1:1">
      <c r="A493" s="41"/>
    </row>
    <row r="494" spans="1:1">
      <c r="A494" s="41"/>
    </row>
    <row r="495" spans="1:1">
      <c r="A495" s="41"/>
    </row>
    <row r="496" spans="1:1">
      <c r="A496" s="41"/>
    </row>
    <row r="497" spans="1:1">
      <c r="A497" s="41"/>
    </row>
    <row r="498" spans="1:1">
      <c r="A498" s="41"/>
    </row>
    <row r="499" spans="1:1">
      <c r="A499" s="41"/>
    </row>
    <row r="500" spans="1:1">
      <c r="A500" s="41"/>
    </row>
    <row r="501" spans="1:1">
      <c r="A501" s="41"/>
    </row>
  </sheetData>
  <mergeCells count="42">
    <mergeCell ref="A159:H159"/>
    <mergeCell ref="C176:D176"/>
    <mergeCell ref="F176:H176"/>
    <mergeCell ref="C177:D177"/>
    <mergeCell ref="F177:H177"/>
    <mergeCell ref="A109:H109"/>
    <mergeCell ref="A117:H117"/>
    <mergeCell ref="A130:H130"/>
    <mergeCell ref="A136:H136"/>
    <mergeCell ref="A150:H150"/>
    <mergeCell ref="A95:H95"/>
    <mergeCell ref="A82:H82"/>
    <mergeCell ref="A33:H33"/>
    <mergeCell ref="A81:H81"/>
    <mergeCell ref="B12:E12"/>
    <mergeCell ref="B13:E13"/>
    <mergeCell ref="B14:E14"/>
    <mergeCell ref="B15:E15"/>
    <mergeCell ref="A28:H28"/>
    <mergeCell ref="C30:D30"/>
    <mergeCell ref="E30:H30"/>
    <mergeCell ref="B30:B31"/>
    <mergeCell ref="B18:E18"/>
    <mergeCell ref="B19:E19"/>
    <mergeCell ref="A24:H24"/>
    <mergeCell ref="A30:A31"/>
    <mergeCell ref="F1:H1"/>
    <mergeCell ref="F2:H2"/>
    <mergeCell ref="F3:H3"/>
    <mergeCell ref="F4:H4"/>
    <mergeCell ref="A26:H26"/>
    <mergeCell ref="B9:E9"/>
    <mergeCell ref="B10:E10"/>
    <mergeCell ref="B11:E11"/>
    <mergeCell ref="A23:H23"/>
    <mergeCell ref="F16:G16"/>
    <mergeCell ref="B16:E16"/>
    <mergeCell ref="F17:G17"/>
    <mergeCell ref="A25:H25"/>
    <mergeCell ref="B20:E20"/>
    <mergeCell ref="B17:E17"/>
    <mergeCell ref="B21:E21"/>
  </mergeCells>
  <phoneticPr fontId="3" type="noConversion"/>
  <pageMargins left="0.51181102362204722" right="0.19685039370078741" top="0.39370078740157483" bottom="0.39370078740157483" header="0.31496062992125984" footer="0.19685039370078741"/>
  <pageSetup paperSize="9" scale="65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ignoredErrors>
    <ignoredError sqref="H38 G131 C134:D134 H132 H34:H36 G110 H61 C131:D131 H135 H160 G51 H96 H110 H118 H131 H37 G38:G42 H44 H51 G48:G49 H50 H57 C51 C52 H52 G52 H83 H94 G112:G116 C132:D132 H133 G54:G60 H134 C133:D133 H137:H143 C135:D135 E133:F133 G134 E132:F132 G133 G132 G135 E134:F134 E135:F135 E131:F131 H170:H172 F170:G172 H163:H166 H47 H66 H69:H70 H73:H80 H145:H146 H149 H98 H104:H105 H107:H108 H112 H116 H121 H125 H128 F167:G167 H167" evalError="1"/>
    <ignoredError sqref="B119 B151:B158 B160 B166:B167" numberStoredAsText="1"/>
    <ignoredError sqref="E163:E165" formula="1"/>
    <ignoredError sqref="E170:E172 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190"/>
  <sheetViews>
    <sheetView zoomScale="75" zoomScaleNormal="75" zoomScaleSheetLayoutView="75" workbookViewId="0">
      <pane xSplit="2" ySplit="6" topLeftCell="C7" activePane="bottomRight" state="frozen"/>
      <selection activeCell="A67" sqref="A67"/>
      <selection pane="topRight" activeCell="A67" sqref="A67"/>
      <selection pane="bottomLeft" activeCell="A67" sqref="A67"/>
      <selection pane="bottomRight" activeCell="AG20" sqref="AG20:AG22"/>
    </sheetView>
  </sheetViews>
  <sheetFormatPr defaultColWidth="9.109375" defaultRowHeight="18"/>
  <cols>
    <col min="1" max="1" width="91.6640625" style="2" customWidth="1"/>
    <col min="2" max="2" width="11.109375" style="3" customWidth="1"/>
    <col min="3" max="3" width="16.6640625" style="133" customWidth="1"/>
    <col min="4" max="4" width="15.6640625" style="133" customWidth="1"/>
    <col min="5" max="5" width="15.44140625" style="133" customWidth="1"/>
    <col min="6" max="6" width="16.33203125" style="133" customWidth="1"/>
    <col min="7" max="7" width="18.44140625" style="133" customWidth="1"/>
    <col min="8" max="8" width="15.6640625" style="3" customWidth="1"/>
    <col min="9" max="9" width="68.88671875" style="23" customWidth="1"/>
    <col min="10" max="10" width="26.109375" style="2" hidden="1" customWidth="1"/>
    <col min="11" max="14" width="16.33203125" style="133" hidden="1" customWidth="1"/>
    <col min="15" max="16" width="18.109375" style="133" hidden="1" customWidth="1"/>
    <col min="17" max="17" width="21.44140625" style="2" hidden="1" customWidth="1"/>
    <col min="18" max="16384" width="9.109375" style="2"/>
  </cols>
  <sheetData>
    <row r="1" spans="1:17">
      <c r="B1" s="12"/>
      <c r="C1" s="12"/>
      <c r="D1" s="12"/>
      <c r="E1" s="12"/>
      <c r="F1" s="12" t="s">
        <v>83</v>
      </c>
      <c r="G1" s="12"/>
      <c r="H1" s="12"/>
      <c r="I1" s="122"/>
      <c r="K1" s="12" t="s">
        <v>83</v>
      </c>
      <c r="L1" s="12" t="s">
        <v>83</v>
      </c>
      <c r="M1" s="12" t="s">
        <v>83</v>
      </c>
      <c r="N1" s="12" t="s">
        <v>83</v>
      </c>
      <c r="O1" s="12" t="s">
        <v>83</v>
      </c>
      <c r="P1" s="12" t="s">
        <v>83</v>
      </c>
    </row>
    <row r="2" spans="1:17" ht="12.75" customHeight="1">
      <c r="A2" s="12"/>
    </row>
    <row r="3" spans="1:17" ht="39" customHeight="1">
      <c r="A3" s="5" t="s">
        <v>191</v>
      </c>
      <c r="B3" s="5" t="s">
        <v>18</v>
      </c>
      <c r="C3" s="330" t="s">
        <v>333</v>
      </c>
      <c r="D3" s="330"/>
      <c r="E3" s="342" t="s">
        <v>577</v>
      </c>
      <c r="F3" s="343"/>
      <c r="G3" s="343"/>
      <c r="H3" s="344"/>
      <c r="I3" s="173"/>
      <c r="J3" s="283" t="s">
        <v>577</v>
      </c>
      <c r="K3" s="269" t="s">
        <v>558</v>
      </c>
      <c r="L3" s="269" t="s">
        <v>559</v>
      </c>
      <c r="M3" s="269" t="s">
        <v>560</v>
      </c>
      <c r="N3" s="269" t="s">
        <v>561</v>
      </c>
      <c r="O3" s="269" t="s">
        <v>560</v>
      </c>
      <c r="P3" s="270" t="s">
        <v>570</v>
      </c>
      <c r="Q3" s="269" t="s">
        <v>571</v>
      </c>
    </row>
    <row r="4" spans="1:17">
      <c r="A4" s="5"/>
      <c r="B4" s="5"/>
      <c r="C4" s="217" t="s">
        <v>178</v>
      </c>
      <c r="D4" s="217" t="s">
        <v>179</v>
      </c>
      <c r="E4" s="217" t="s">
        <v>180</v>
      </c>
      <c r="F4" s="217" t="s">
        <v>167</v>
      </c>
      <c r="G4" s="225" t="s">
        <v>186</v>
      </c>
      <c r="H4" s="89" t="s">
        <v>187</v>
      </c>
      <c r="I4" s="286" t="s">
        <v>185</v>
      </c>
      <c r="K4" s="265" t="s">
        <v>167</v>
      </c>
      <c r="L4" s="266" t="s">
        <v>167</v>
      </c>
      <c r="M4" s="217" t="s">
        <v>167</v>
      </c>
      <c r="N4" s="217" t="s">
        <v>167</v>
      </c>
      <c r="O4" s="266" t="s">
        <v>167</v>
      </c>
      <c r="P4" s="267" t="s">
        <v>167</v>
      </c>
      <c r="Q4" s="268"/>
    </row>
    <row r="5" spans="1:17" s="157" customFormat="1">
      <c r="A5" s="155">
        <v>1</v>
      </c>
      <c r="B5" s="155">
        <v>2</v>
      </c>
      <c r="C5" s="155">
        <v>6</v>
      </c>
      <c r="D5" s="155">
        <v>6</v>
      </c>
      <c r="E5" s="155">
        <v>5</v>
      </c>
      <c r="F5" s="155">
        <v>6</v>
      </c>
      <c r="G5" s="155">
        <v>7</v>
      </c>
      <c r="H5" s="155">
        <v>8</v>
      </c>
      <c r="I5" s="287">
        <v>9</v>
      </c>
      <c r="K5" s="155">
        <v>6</v>
      </c>
      <c r="L5" s="155">
        <v>6</v>
      </c>
      <c r="M5" s="155">
        <v>6</v>
      </c>
      <c r="N5" s="155">
        <v>6</v>
      </c>
      <c r="O5" s="155">
        <v>6</v>
      </c>
      <c r="P5" s="254">
        <v>6</v>
      </c>
      <c r="Q5" s="263"/>
    </row>
    <row r="6" spans="1:17" s="4" customFormat="1" ht="24.9" customHeight="1">
      <c r="A6" s="173" t="s">
        <v>184</v>
      </c>
      <c r="B6" s="173"/>
      <c r="C6" s="173"/>
      <c r="D6" s="173"/>
      <c r="E6" s="173"/>
      <c r="F6" s="173"/>
      <c r="G6" s="173"/>
      <c r="H6" s="173"/>
      <c r="I6" s="173"/>
      <c r="K6" s="173"/>
      <c r="L6" s="173"/>
      <c r="M6" s="173"/>
      <c r="N6" s="173"/>
      <c r="O6" s="173"/>
      <c r="P6" s="212"/>
      <c r="Q6" s="264"/>
    </row>
    <row r="7" spans="1:17" s="4" customFormat="1" ht="27" customHeight="1">
      <c r="A7" s="173" t="s">
        <v>140</v>
      </c>
      <c r="B7" s="10">
        <v>1000</v>
      </c>
      <c r="C7" s="221">
        <v>54113</v>
      </c>
      <c r="D7" s="221">
        <f>F7</f>
        <v>60191</v>
      </c>
      <c r="E7" s="221">
        <v>60100</v>
      </c>
      <c r="F7" s="221">
        <f>J7</f>
        <v>60191</v>
      </c>
      <c r="G7" s="221">
        <f>F7-E7</f>
        <v>91</v>
      </c>
      <c r="H7" s="222">
        <f>(F7/E7)*100</f>
        <v>100.1514143094842</v>
      </c>
      <c r="I7" s="288"/>
      <c r="J7" s="78">
        <f>K7+L7+M7+N7</f>
        <v>60191</v>
      </c>
      <c r="K7" s="221">
        <v>13249</v>
      </c>
      <c r="L7" s="221">
        <v>14358</v>
      </c>
      <c r="M7" s="221">
        <v>16290</v>
      </c>
      <c r="N7" s="221">
        <v>16294</v>
      </c>
      <c r="O7" s="221">
        <v>16290</v>
      </c>
      <c r="P7" s="255">
        <f>16290+39</f>
        <v>16329</v>
      </c>
      <c r="Q7" s="221">
        <f>K7+L7+O7+P7</f>
        <v>60226</v>
      </c>
    </row>
    <row r="8" spans="1:17" s="4" customFormat="1" ht="20.100000000000001" customHeight="1">
      <c r="A8" s="173" t="s">
        <v>124</v>
      </c>
      <c r="B8" s="10">
        <v>1010</v>
      </c>
      <c r="C8" s="224">
        <f>SUM(C9:C16)</f>
        <v>49036.999999999993</v>
      </c>
      <c r="D8" s="224">
        <f>SUM(D9:D16)</f>
        <v>50321.000000000007</v>
      </c>
      <c r="E8" s="224">
        <f>SUM(E9:E16)</f>
        <v>52006.499999999993</v>
      </c>
      <c r="F8" s="224">
        <f>SUM(F9:F16)</f>
        <v>50321.000000000007</v>
      </c>
      <c r="G8" s="221">
        <f>F8-E8</f>
        <v>-1685.4999999999854</v>
      </c>
      <c r="H8" s="222">
        <f t="shared" ref="H8:H100" si="0">(F8/E8)*100</f>
        <v>96.759058963783389</v>
      </c>
      <c r="I8" s="289"/>
      <c r="J8" s="78">
        <f t="shared" ref="J8:J71" si="1">K8+L8+M8+N8</f>
        <v>50321.000000000007</v>
      </c>
      <c r="K8" s="224">
        <v>11667.600000000002</v>
      </c>
      <c r="L8" s="224">
        <f>SUM(L9:L16)</f>
        <v>11830.6</v>
      </c>
      <c r="M8" s="224">
        <f>SUM(M9:M16)</f>
        <v>11827.800000000001</v>
      </c>
      <c r="N8" s="224">
        <v>14994.999999999998</v>
      </c>
      <c r="O8" s="224">
        <v>11827.800000000001</v>
      </c>
      <c r="P8" s="256">
        <f>SUM(P9:P16)</f>
        <v>15036.6319</v>
      </c>
      <c r="Q8" s="271">
        <f t="shared" ref="Q8:Q71" si="2">K8+L8+O8+P8</f>
        <v>50362.631900000008</v>
      </c>
    </row>
    <row r="9" spans="1:17" ht="30.75" customHeight="1">
      <c r="A9" s="216" t="s">
        <v>384</v>
      </c>
      <c r="B9" s="5">
        <v>1011</v>
      </c>
      <c r="C9" s="217">
        <v>17169.8</v>
      </c>
      <c r="D9" s="217">
        <f>F9</f>
        <v>15068.1</v>
      </c>
      <c r="E9" s="217">
        <v>15389.3</v>
      </c>
      <c r="F9" s="217">
        <f>J9</f>
        <v>15068.1</v>
      </c>
      <c r="G9" s="217">
        <f t="shared" ref="G9:G76" si="3">F9-E9</f>
        <v>-321.19999999999891</v>
      </c>
      <c r="H9" s="218">
        <f t="shared" si="0"/>
        <v>97.912835541577593</v>
      </c>
      <c r="I9" s="290"/>
      <c r="J9" s="78">
        <f t="shared" si="1"/>
        <v>15068.1</v>
      </c>
      <c r="K9" s="217">
        <v>2855.6</v>
      </c>
      <c r="L9" s="217">
        <v>3571.6</v>
      </c>
      <c r="M9" s="217">
        <v>3418.9</v>
      </c>
      <c r="N9" s="217">
        <v>5222</v>
      </c>
      <c r="O9" s="217">
        <v>3418.9</v>
      </c>
      <c r="P9" s="253">
        <f>O9+2100</f>
        <v>5518.9</v>
      </c>
      <c r="Q9" s="217">
        <f t="shared" si="2"/>
        <v>15365</v>
      </c>
    </row>
    <row r="10" spans="1:17" ht="20.100000000000001" customHeight="1">
      <c r="A10" s="216" t="s">
        <v>385</v>
      </c>
      <c r="B10" s="5">
        <v>1012</v>
      </c>
      <c r="C10" s="217">
        <v>1383.7</v>
      </c>
      <c r="D10" s="217">
        <f t="shared" ref="D10:D15" si="4">F10</f>
        <v>1933.7000000000003</v>
      </c>
      <c r="E10" s="217">
        <v>1698</v>
      </c>
      <c r="F10" s="217">
        <f t="shared" ref="F10:F22" si="5">J10</f>
        <v>1933.7000000000003</v>
      </c>
      <c r="G10" s="217">
        <f t="shared" si="3"/>
        <v>235.70000000000027</v>
      </c>
      <c r="H10" s="218">
        <f t="shared" si="0"/>
        <v>113.88103651354535</v>
      </c>
      <c r="I10" s="291" t="s">
        <v>587</v>
      </c>
      <c r="J10" s="78">
        <f t="shared" si="1"/>
        <v>1933.7000000000003</v>
      </c>
      <c r="K10" s="217">
        <v>483.1</v>
      </c>
      <c r="L10" s="217">
        <v>420.1</v>
      </c>
      <c r="M10" s="217">
        <v>426.6</v>
      </c>
      <c r="N10" s="217">
        <v>603.9</v>
      </c>
      <c r="O10" s="217">
        <v>426.6</v>
      </c>
      <c r="P10" s="253">
        <f>O10+250</f>
        <v>676.6</v>
      </c>
      <c r="Q10" s="217">
        <f t="shared" si="2"/>
        <v>2006.4</v>
      </c>
    </row>
    <row r="11" spans="1:17" ht="20.100000000000001" customHeight="1">
      <c r="A11" s="216" t="s">
        <v>386</v>
      </c>
      <c r="B11" s="5">
        <v>1013</v>
      </c>
      <c r="C11" s="217">
        <v>3114.3</v>
      </c>
      <c r="D11" s="217">
        <f t="shared" si="4"/>
        <v>2972.2999999999997</v>
      </c>
      <c r="E11" s="217">
        <v>3220</v>
      </c>
      <c r="F11" s="217">
        <f t="shared" si="5"/>
        <v>2972.2999999999997</v>
      </c>
      <c r="G11" s="217">
        <f t="shared" si="3"/>
        <v>-247.70000000000027</v>
      </c>
      <c r="H11" s="218">
        <f t="shared" si="0"/>
        <v>92.307453416149059</v>
      </c>
      <c r="I11" s="291" t="s">
        <v>584</v>
      </c>
      <c r="J11" s="78">
        <f t="shared" si="1"/>
        <v>2972.2999999999997</v>
      </c>
      <c r="K11" s="217">
        <v>819.6</v>
      </c>
      <c r="L11" s="217">
        <v>707.6</v>
      </c>
      <c r="M11" s="217">
        <v>671.5</v>
      </c>
      <c r="N11" s="217">
        <v>773.6</v>
      </c>
      <c r="O11" s="217">
        <v>671.5</v>
      </c>
      <c r="P11" s="253">
        <f>O11+200</f>
        <v>871.5</v>
      </c>
      <c r="Q11" s="217">
        <f t="shared" si="2"/>
        <v>3070.2</v>
      </c>
    </row>
    <row r="12" spans="1:17" ht="27" customHeight="1">
      <c r="A12" s="216" t="s">
        <v>5</v>
      </c>
      <c r="B12" s="5">
        <v>1014</v>
      </c>
      <c r="C12" s="217">
        <v>18629.900000000001</v>
      </c>
      <c r="D12" s="217">
        <f t="shared" si="4"/>
        <v>21307</v>
      </c>
      <c r="E12" s="217">
        <v>22630.6</v>
      </c>
      <c r="F12" s="217">
        <f t="shared" si="5"/>
        <v>21307</v>
      </c>
      <c r="G12" s="217">
        <f t="shared" si="3"/>
        <v>-1323.5999999999985</v>
      </c>
      <c r="H12" s="218">
        <f t="shared" si="0"/>
        <v>94.151281892658616</v>
      </c>
      <c r="I12" s="290"/>
      <c r="J12" s="78">
        <f t="shared" si="1"/>
        <v>21307</v>
      </c>
      <c r="K12" s="217">
        <v>5161.6000000000004</v>
      </c>
      <c r="L12" s="217">
        <v>4907.6000000000004</v>
      </c>
      <c r="M12" s="217">
        <v>5259.9</v>
      </c>
      <c r="N12" s="217">
        <v>5977.9</v>
      </c>
      <c r="O12" s="217">
        <v>5259.9</v>
      </c>
      <c r="P12" s="253">
        <f>O12*1.05+250</f>
        <v>5772.8949999999995</v>
      </c>
      <c r="Q12" s="217">
        <f t="shared" si="2"/>
        <v>21101.994999999999</v>
      </c>
    </row>
    <row r="13" spans="1:17" ht="20.100000000000001" customHeight="1">
      <c r="A13" s="216" t="s">
        <v>6</v>
      </c>
      <c r="B13" s="5">
        <v>1015</v>
      </c>
      <c r="C13" s="217">
        <v>4062.4</v>
      </c>
      <c r="D13" s="217">
        <f t="shared" si="4"/>
        <v>4690</v>
      </c>
      <c r="E13" s="217">
        <v>4933.6000000000004</v>
      </c>
      <c r="F13" s="217">
        <f t="shared" si="5"/>
        <v>4690</v>
      </c>
      <c r="G13" s="217">
        <f t="shared" si="3"/>
        <v>-243.60000000000036</v>
      </c>
      <c r="H13" s="218">
        <f t="shared" si="0"/>
        <v>95.06242905788875</v>
      </c>
      <c r="I13" s="291"/>
      <c r="J13" s="78">
        <f t="shared" si="1"/>
        <v>4690</v>
      </c>
      <c r="K13" s="217">
        <v>1138.7</v>
      </c>
      <c r="L13" s="217">
        <v>1077.3</v>
      </c>
      <c r="M13" s="217">
        <v>1149.5999999999999</v>
      </c>
      <c r="N13" s="217">
        <v>1324.4</v>
      </c>
      <c r="O13" s="217">
        <v>1149.5999999999999</v>
      </c>
      <c r="P13" s="253">
        <f>P12*0.22</f>
        <v>1270.0368999999998</v>
      </c>
      <c r="Q13" s="217">
        <f t="shared" si="2"/>
        <v>4635.6368999999995</v>
      </c>
    </row>
    <row r="14" spans="1:17">
      <c r="A14" s="216" t="s">
        <v>387</v>
      </c>
      <c r="B14" s="5">
        <v>1016</v>
      </c>
      <c r="C14" s="217">
        <v>341</v>
      </c>
      <c r="D14" s="217">
        <f t="shared" si="4"/>
        <v>194.79999999999998</v>
      </c>
      <c r="E14" s="217">
        <v>395</v>
      </c>
      <c r="F14" s="217">
        <f t="shared" si="5"/>
        <v>194.79999999999998</v>
      </c>
      <c r="G14" s="217">
        <f t="shared" si="3"/>
        <v>-200.20000000000002</v>
      </c>
      <c r="H14" s="218">
        <f t="shared" si="0"/>
        <v>49.316455696202524</v>
      </c>
      <c r="I14" s="291"/>
      <c r="J14" s="78">
        <f t="shared" si="1"/>
        <v>194.79999999999998</v>
      </c>
      <c r="K14" s="217">
        <v>90.1</v>
      </c>
      <c r="L14" s="217">
        <v>43.1</v>
      </c>
      <c r="M14" s="217">
        <v>19.600000000000001</v>
      </c>
      <c r="N14" s="217">
        <v>42</v>
      </c>
      <c r="O14" s="217">
        <v>19.600000000000001</v>
      </c>
      <c r="P14" s="253">
        <v>45</v>
      </c>
      <c r="Q14" s="217">
        <f t="shared" si="2"/>
        <v>197.79999999999998</v>
      </c>
    </row>
    <row r="15" spans="1:17" ht="20.100000000000001" customHeight="1">
      <c r="A15" s="216" t="s">
        <v>388</v>
      </c>
      <c r="B15" s="5">
        <v>1017</v>
      </c>
      <c r="C15" s="217">
        <v>990.2</v>
      </c>
      <c r="D15" s="217">
        <f t="shared" si="4"/>
        <v>1386.3</v>
      </c>
      <c r="E15" s="217">
        <v>1070</v>
      </c>
      <c r="F15" s="217">
        <f t="shared" si="5"/>
        <v>1386.3</v>
      </c>
      <c r="G15" s="217">
        <f t="shared" si="3"/>
        <v>316.29999999999995</v>
      </c>
      <c r="H15" s="218">
        <f t="shared" si="0"/>
        <v>129.56074766355138</v>
      </c>
      <c r="I15" s="291"/>
      <c r="J15" s="78">
        <f t="shared" si="1"/>
        <v>1386.3</v>
      </c>
      <c r="K15" s="217">
        <v>205.9</v>
      </c>
      <c r="L15" s="217">
        <v>379.4</v>
      </c>
      <c r="M15" s="217">
        <v>306.2</v>
      </c>
      <c r="N15" s="217">
        <v>494.8</v>
      </c>
      <c r="O15" s="217">
        <v>306.2</v>
      </c>
      <c r="P15" s="253">
        <v>306.2</v>
      </c>
      <c r="Q15" s="217">
        <f t="shared" si="2"/>
        <v>1197.7</v>
      </c>
    </row>
    <row r="16" spans="1:17" ht="20.100000000000001" customHeight="1">
      <c r="A16" s="216" t="s">
        <v>389</v>
      </c>
      <c r="B16" s="5">
        <v>1018</v>
      </c>
      <c r="C16" s="217">
        <f>C17+C18+C19+C20+C21+C22</f>
        <v>3345.7000000000003</v>
      </c>
      <c r="D16" s="217">
        <f>D17+D18+D19+D20+D21+D22</f>
        <v>2768.8</v>
      </c>
      <c r="E16" s="217">
        <f>E17+E18+E19+E20+E21+E22</f>
        <v>2670</v>
      </c>
      <c r="F16" s="217">
        <f>F17+F18+F19+F20+F21+F22</f>
        <v>2768.8</v>
      </c>
      <c r="G16" s="217">
        <f t="shared" si="3"/>
        <v>98.800000000000182</v>
      </c>
      <c r="H16" s="218">
        <f t="shared" si="0"/>
        <v>103.70037453183521</v>
      </c>
      <c r="I16" s="291"/>
      <c r="J16" s="78">
        <f t="shared" si="1"/>
        <v>2768.8</v>
      </c>
      <c r="K16" s="217">
        <v>913</v>
      </c>
      <c r="L16" s="217">
        <f>L17+L18+L19+L20+L21+L22</f>
        <v>723.90000000000009</v>
      </c>
      <c r="M16" s="217">
        <f>M17+M18+M19+M20+M21+M22</f>
        <v>575.5</v>
      </c>
      <c r="N16" s="217">
        <v>556.4</v>
      </c>
      <c r="O16" s="217">
        <v>575.5</v>
      </c>
      <c r="P16" s="253">
        <v>575.5</v>
      </c>
      <c r="Q16" s="217">
        <f t="shared" si="2"/>
        <v>2787.9</v>
      </c>
    </row>
    <row r="17" spans="1:17" ht="24.75" customHeight="1">
      <c r="A17" s="135" t="s">
        <v>427</v>
      </c>
      <c r="B17" s="5" t="s">
        <v>428</v>
      </c>
      <c r="C17" s="223">
        <v>1740.3</v>
      </c>
      <c r="D17" s="223">
        <f>F17</f>
        <v>888.09999999999991</v>
      </c>
      <c r="E17" s="223">
        <v>895.1</v>
      </c>
      <c r="F17" s="223">
        <f t="shared" si="5"/>
        <v>888.09999999999991</v>
      </c>
      <c r="G17" s="217">
        <f t="shared" ref="G17:G22" si="6">F17-E17</f>
        <v>-7.0000000000001137</v>
      </c>
      <c r="H17" s="218">
        <f t="shared" ref="H17:H22" si="7">(F17/E17)*100</f>
        <v>99.2179644732432</v>
      </c>
      <c r="I17" s="292"/>
      <c r="J17" s="78">
        <f t="shared" si="1"/>
        <v>888.09999999999991</v>
      </c>
      <c r="K17" s="223">
        <v>470.9</v>
      </c>
      <c r="L17" s="223">
        <v>321.39999999999998</v>
      </c>
      <c r="M17" s="223">
        <v>51.8</v>
      </c>
      <c r="N17" s="223">
        <v>44</v>
      </c>
      <c r="O17" s="223">
        <v>51.8</v>
      </c>
      <c r="P17" s="257">
        <v>51.8</v>
      </c>
      <c r="Q17" s="223">
        <f t="shared" si="2"/>
        <v>895.89999999999986</v>
      </c>
    </row>
    <row r="18" spans="1:17" ht="20.100000000000001" customHeight="1">
      <c r="A18" s="135" t="s">
        <v>429</v>
      </c>
      <c r="B18" s="5" t="s">
        <v>430</v>
      </c>
      <c r="C18" s="223">
        <v>20.3</v>
      </c>
      <c r="D18" s="223">
        <f t="shared" ref="D18:D22" si="8">F18</f>
        <v>36.1</v>
      </c>
      <c r="E18" s="223">
        <v>70</v>
      </c>
      <c r="F18" s="223">
        <f t="shared" si="5"/>
        <v>36.1</v>
      </c>
      <c r="G18" s="217">
        <f t="shared" si="6"/>
        <v>-33.9</v>
      </c>
      <c r="H18" s="218">
        <f t="shared" si="7"/>
        <v>51.571428571428569</v>
      </c>
      <c r="I18" s="293" t="s">
        <v>585</v>
      </c>
      <c r="J18" s="78">
        <f t="shared" si="1"/>
        <v>36.1</v>
      </c>
      <c r="K18" s="223">
        <v>24.3</v>
      </c>
      <c r="L18" s="223">
        <v>0</v>
      </c>
      <c r="M18" s="223">
        <v>4</v>
      </c>
      <c r="N18" s="223">
        <v>7.8</v>
      </c>
      <c r="O18" s="223">
        <v>4</v>
      </c>
      <c r="P18" s="257">
        <v>4</v>
      </c>
      <c r="Q18" s="223">
        <f t="shared" si="2"/>
        <v>32.299999999999997</v>
      </c>
    </row>
    <row r="19" spans="1:17" ht="20.100000000000001" customHeight="1">
      <c r="A19" s="135" t="s">
        <v>431</v>
      </c>
      <c r="B19" s="5" t="s">
        <v>432</v>
      </c>
      <c r="C19" s="223">
        <v>20.399999999999999</v>
      </c>
      <c r="D19" s="223">
        <f t="shared" si="8"/>
        <v>30.1</v>
      </c>
      <c r="E19" s="223">
        <v>24</v>
      </c>
      <c r="F19" s="223">
        <f t="shared" si="5"/>
        <v>30.1</v>
      </c>
      <c r="G19" s="217">
        <f t="shared" si="6"/>
        <v>6.1000000000000014</v>
      </c>
      <c r="H19" s="218">
        <f t="shared" si="7"/>
        <v>125.41666666666667</v>
      </c>
      <c r="I19" s="293" t="s">
        <v>586</v>
      </c>
      <c r="J19" s="78">
        <f t="shared" si="1"/>
        <v>30.1</v>
      </c>
      <c r="K19" s="223">
        <v>9.1</v>
      </c>
      <c r="L19" s="223">
        <v>6</v>
      </c>
      <c r="M19" s="223">
        <v>0.8</v>
      </c>
      <c r="N19" s="223">
        <v>14.2</v>
      </c>
      <c r="O19" s="223">
        <v>0.8</v>
      </c>
      <c r="P19" s="257">
        <v>0.8</v>
      </c>
      <c r="Q19" s="223">
        <f t="shared" si="2"/>
        <v>16.7</v>
      </c>
    </row>
    <row r="20" spans="1:17" ht="20.100000000000001" customHeight="1">
      <c r="A20" s="135" t="s">
        <v>433</v>
      </c>
      <c r="B20" s="5" t="s">
        <v>434</v>
      </c>
      <c r="C20" s="223">
        <v>15.4</v>
      </c>
      <c r="D20" s="223">
        <f t="shared" si="8"/>
        <v>15.4</v>
      </c>
      <c r="E20" s="223">
        <v>18</v>
      </c>
      <c r="F20" s="223">
        <f t="shared" si="5"/>
        <v>15.4</v>
      </c>
      <c r="G20" s="217">
        <f t="shared" si="6"/>
        <v>-2.5999999999999996</v>
      </c>
      <c r="H20" s="218">
        <f t="shared" si="7"/>
        <v>85.555555555555557</v>
      </c>
      <c r="I20" s="293"/>
      <c r="J20" s="78">
        <f t="shared" si="1"/>
        <v>15.4</v>
      </c>
      <c r="K20" s="223">
        <v>4.5</v>
      </c>
      <c r="L20" s="223">
        <v>4.5999999999999996</v>
      </c>
      <c r="M20" s="223">
        <v>3.2</v>
      </c>
      <c r="N20" s="223">
        <v>3.1</v>
      </c>
      <c r="O20" s="223">
        <v>3.2</v>
      </c>
      <c r="P20" s="257">
        <v>3.2</v>
      </c>
      <c r="Q20" s="223">
        <f t="shared" si="2"/>
        <v>15.5</v>
      </c>
    </row>
    <row r="21" spans="1:17" ht="20.100000000000001" customHeight="1">
      <c r="A21" s="135" t="s">
        <v>435</v>
      </c>
      <c r="B21" s="5" t="s">
        <v>436</v>
      </c>
      <c r="C21" s="223">
        <v>555.4</v>
      </c>
      <c r="D21" s="223">
        <f t="shared" si="8"/>
        <v>608.70000000000005</v>
      </c>
      <c r="E21" s="223">
        <v>632</v>
      </c>
      <c r="F21" s="223">
        <f t="shared" si="5"/>
        <v>608.70000000000005</v>
      </c>
      <c r="G21" s="217">
        <f t="shared" si="6"/>
        <v>-23.299999999999955</v>
      </c>
      <c r="H21" s="218">
        <f t="shared" si="7"/>
        <v>96.313291139240505</v>
      </c>
      <c r="I21" s="293"/>
      <c r="J21" s="78">
        <f t="shared" si="1"/>
        <v>608.70000000000005</v>
      </c>
      <c r="K21" s="223">
        <v>137.80000000000001</v>
      </c>
      <c r="L21" s="223">
        <v>133.6</v>
      </c>
      <c r="M21" s="223">
        <v>169.1</v>
      </c>
      <c r="N21" s="223">
        <v>168.2</v>
      </c>
      <c r="O21" s="223">
        <v>169.1</v>
      </c>
      <c r="P21" s="257">
        <v>169.1</v>
      </c>
      <c r="Q21" s="223">
        <f t="shared" si="2"/>
        <v>609.6</v>
      </c>
    </row>
    <row r="22" spans="1:17" ht="20.100000000000001" customHeight="1">
      <c r="A22" s="135" t="s">
        <v>437</v>
      </c>
      <c r="B22" s="5" t="s">
        <v>438</v>
      </c>
      <c r="C22" s="223">
        <v>993.9</v>
      </c>
      <c r="D22" s="223">
        <f t="shared" si="8"/>
        <v>1190.4000000000001</v>
      </c>
      <c r="E22" s="223">
        <v>1030.9000000000001</v>
      </c>
      <c r="F22" s="223">
        <f t="shared" si="5"/>
        <v>1190.4000000000001</v>
      </c>
      <c r="G22" s="217">
        <f t="shared" si="6"/>
        <v>159.5</v>
      </c>
      <c r="H22" s="218">
        <f t="shared" si="7"/>
        <v>115.47191774177902</v>
      </c>
      <c r="I22" s="293"/>
      <c r="J22" s="78">
        <f t="shared" si="1"/>
        <v>1190.4000000000001</v>
      </c>
      <c r="K22" s="223">
        <v>266.39999999999998</v>
      </c>
      <c r="L22" s="223">
        <v>258.3</v>
      </c>
      <c r="M22" s="223">
        <v>346.6</v>
      </c>
      <c r="N22" s="223">
        <v>319.10000000000002</v>
      </c>
      <c r="O22" s="223">
        <v>346.6</v>
      </c>
      <c r="P22" s="257">
        <v>346.6</v>
      </c>
      <c r="Q22" s="223">
        <f t="shared" si="2"/>
        <v>1217.9000000000001</v>
      </c>
    </row>
    <row r="23" spans="1:17" s="4" customFormat="1" ht="20.100000000000001" customHeight="1">
      <c r="A23" s="173" t="s">
        <v>24</v>
      </c>
      <c r="B23" s="10">
        <v>1020</v>
      </c>
      <c r="C23" s="226">
        <f t="shared" ref="C23" si="9">C7-C8</f>
        <v>5076.0000000000073</v>
      </c>
      <c r="D23" s="226">
        <f t="shared" ref="D23" si="10">D7-D8</f>
        <v>9869.9999999999927</v>
      </c>
      <c r="E23" s="226">
        <f t="shared" ref="E23:F23" si="11">E7-E8</f>
        <v>8093.5000000000073</v>
      </c>
      <c r="F23" s="226">
        <f t="shared" si="11"/>
        <v>9869.9999999999927</v>
      </c>
      <c r="G23" s="221">
        <f t="shared" si="3"/>
        <v>1776.4999999999854</v>
      </c>
      <c r="H23" s="222">
        <f t="shared" si="0"/>
        <v>121.94971273243942</v>
      </c>
      <c r="I23" s="289"/>
      <c r="J23" s="78">
        <f t="shared" si="1"/>
        <v>9869.9999999999982</v>
      </c>
      <c r="K23" s="226">
        <v>1581.3999999999978</v>
      </c>
      <c r="L23" s="226">
        <f t="shared" ref="L23:M23" si="12">L7-L8</f>
        <v>2527.3999999999996</v>
      </c>
      <c r="M23" s="226">
        <f t="shared" si="12"/>
        <v>4462.1999999999989</v>
      </c>
      <c r="N23" s="226">
        <v>1299.0000000000018</v>
      </c>
      <c r="O23" s="226">
        <v>4462.1999999999989</v>
      </c>
      <c r="P23" s="258">
        <f>P7-P8</f>
        <v>1292.3680999999997</v>
      </c>
      <c r="Q23" s="221">
        <f t="shared" si="2"/>
        <v>9863.368099999996</v>
      </c>
    </row>
    <row r="24" spans="1:17" s="4" customFormat="1" ht="20.100000000000001" customHeight="1">
      <c r="A24" s="173" t="s">
        <v>150</v>
      </c>
      <c r="B24" s="10">
        <v>1030</v>
      </c>
      <c r="C24" s="224">
        <f>SUM(C25:C44,C46)</f>
        <v>4506</v>
      </c>
      <c r="D24" s="224">
        <f>SUM(D25:D44,D46)</f>
        <v>5207.9999999999991</v>
      </c>
      <c r="E24" s="224">
        <f>SUM(E25:E44,E46)</f>
        <v>5116.0999999999995</v>
      </c>
      <c r="F24" s="224">
        <f>SUM(F25:F44,F46)</f>
        <v>5207.9999999999991</v>
      </c>
      <c r="G24" s="221">
        <f t="shared" si="3"/>
        <v>91.899999999999636</v>
      </c>
      <c r="H24" s="222">
        <f t="shared" si="0"/>
        <v>101.79629014288227</v>
      </c>
      <c r="I24" s="289"/>
      <c r="J24" s="78">
        <f t="shared" si="1"/>
        <v>5208</v>
      </c>
      <c r="K24" s="224">
        <v>1147.5999999999999</v>
      </c>
      <c r="L24" s="224">
        <f>SUM(L25:L44,L46)</f>
        <v>1196.6999999999998</v>
      </c>
      <c r="M24" s="224">
        <f>SUM(M25:M44,M46)</f>
        <v>1267.7</v>
      </c>
      <c r="N24" s="224">
        <v>1596</v>
      </c>
      <c r="O24" s="224">
        <v>1267.7</v>
      </c>
      <c r="P24" s="256">
        <f>SUM(P25:P44,P46)</f>
        <v>1563.3135000000002</v>
      </c>
      <c r="Q24" s="271">
        <f t="shared" si="2"/>
        <v>5175.3135000000002</v>
      </c>
    </row>
    <row r="25" spans="1:17" ht="20.100000000000001" customHeight="1">
      <c r="A25" s="216" t="s">
        <v>92</v>
      </c>
      <c r="B25" s="8">
        <v>1031</v>
      </c>
      <c r="C25" s="217">
        <v>49.5</v>
      </c>
      <c r="D25" s="217">
        <f>F25</f>
        <v>75.599999999999994</v>
      </c>
      <c r="E25" s="217">
        <v>90</v>
      </c>
      <c r="F25" s="217">
        <f t="shared" ref="F25:F45" si="13">J25</f>
        <v>75.599999999999994</v>
      </c>
      <c r="G25" s="217">
        <f t="shared" si="3"/>
        <v>-14.400000000000006</v>
      </c>
      <c r="H25" s="218">
        <f t="shared" si="0"/>
        <v>84</v>
      </c>
      <c r="I25" s="294"/>
      <c r="J25" s="78">
        <f t="shared" si="1"/>
        <v>75.599999999999994</v>
      </c>
      <c r="K25" s="217">
        <v>10.7</v>
      </c>
      <c r="L25" s="217">
        <v>24.8</v>
      </c>
      <c r="M25" s="217">
        <v>25.6</v>
      </c>
      <c r="N25" s="217">
        <v>14.5</v>
      </c>
      <c r="O25" s="217">
        <v>25.6</v>
      </c>
      <c r="P25" s="253">
        <v>45</v>
      </c>
      <c r="Q25" s="217">
        <f t="shared" si="2"/>
        <v>106.1</v>
      </c>
    </row>
    <row r="26" spans="1:17" ht="20.100000000000001" customHeight="1">
      <c r="A26" s="216" t="s">
        <v>142</v>
      </c>
      <c r="B26" s="8">
        <v>1032</v>
      </c>
      <c r="C26" s="217">
        <v>0</v>
      </c>
      <c r="D26" s="217">
        <f t="shared" ref="D26:D45" si="14">F26</f>
        <v>0</v>
      </c>
      <c r="E26" s="217">
        <v>0</v>
      </c>
      <c r="F26" s="217">
        <f t="shared" si="13"/>
        <v>0</v>
      </c>
      <c r="G26" s="217">
        <f t="shared" si="3"/>
        <v>0</v>
      </c>
      <c r="H26" s="218"/>
      <c r="I26" s="294"/>
      <c r="J26" s="78">
        <f t="shared" si="1"/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53">
        <v>0</v>
      </c>
      <c r="Q26" s="217">
        <f t="shared" si="2"/>
        <v>0</v>
      </c>
    </row>
    <row r="27" spans="1:17" ht="20.100000000000001" customHeight="1">
      <c r="A27" s="216" t="s">
        <v>55</v>
      </c>
      <c r="B27" s="8">
        <v>1033</v>
      </c>
      <c r="C27" s="217">
        <v>0</v>
      </c>
      <c r="D27" s="217">
        <f t="shared" si="14"/>
        <v>0</v>
      </c>
      <c r="E27" s="217">
        <v>0</v>
      </c>
      <c r="F27" s="217">
        <f t="shared" si="13"/>
        <v>0</v>
      </c>
      <c r="G27" s="217">
        <f t="shared" si="3"/>
        <v>0</v>
      </c>
      <c r="H27" s="218"/>
      <c r="I27" s="294"/>
      <c r="J27" s="78">
        <f t="shared" si="1"/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53">
        <v>0</v>
      </c>
      <c r="Q27" s="217">
        <f t="shared" si="2"/>
        <v>0</v>
      </c>
    </row>
    <row r="28" spans="1:17" ht="20.100000000000001" customHeight="1">
      <c r="A28" s="216" t="s">
        <v>22</v>
      </c>
      <c r="B28" s="8">
        <v>1034</v>
      </c>
      <c r="C28" s="217">
        <v>0</v>
      </c>
      <c r="D28" s="217">
        <f t="shared" si="14"/>
        <v>0</v>
      </c>
      <c r="E28" s="217">
        <v>0</v>
      </c>
      <c r="F28" s="217">
        <f t="shared" si="13"/>
        <v>0</v>
      </c>
      <c r="G28" s="217">
        <f t="shared" si="3"/>
        <v>0</v>
      </c>
      <c r="H28" s="218"/>
      <c r="I28" s="294"/>
      <c r="J28" s="78">
        <f t="shared" si="1"/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53">
        <v>0</v>
      </c>
      <c r="Q28" s="217">
        <f t="shared" si="2"/>
        <v>0</v>
      </c>
    </row>
    <row r="29" spans="1:17" ht="20.100000000000001" customHeight="1">
      <c r="A29" s="216" t="s">
        <v>23</v>
      </c>
      <c r="B29" s="8">
        <v>1035</v>
      </c>
      <c r="C29" s="217">
        <v>0</v>
      </c>
      <c r="D29" s="217">
        <f t="shared" si="14"/>
        <v>0</v>
      </c>
      <c r="E29" s="217">
        <v>0</v>
      </c>
      <c r="F29" s="217">
        <f t="shared" si="13"/>
        <v>0</v>
      </c>
      <c r="G29" s="217">
        <f t="shared" si="3"/>
        <v>0</v>
      </c>
      <c r="H29" s="218"/>
      <c r="I29" s="294"/>
      <c r="J29" s="78">
        <f t="shared" si="1"/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53">
        <v>0</v>
      </c>
      <c r="Q29" s="217">
        <f t="shared" si="2"/>
        <v>0</v>
      </c>
    </row>
    <row r="30" spans="1:17" ht="20.100000000000001" customHeight="1">
      <c r="A30" s="216" t="s">
        <v>33</v>
      </c>
      <c r="B30" s="8">
        <v>1036</v>
      </c>
      <c r="C30" s="217">
        <v>0</v>
      </c>
      <c r="D30" s="217">
        <f t="shared" si="14"/>
        <v>8.6999999999999993</v>
      </c>
      <c r="E30" s="217">
        <v>13</v>
      </c>
      <c r="F30" s="217">
        <f t="shared" si="13"/>
        <v>8.6999999999999993</v>
      </c>
      <c r="G30" s="217">
        <f t="shared" si="3"/>
        <v>-4.3000000000000007</v>
      </c>
      <c r="H30" s="218">
        <f t="shared" si="0"/>
        <v>66.92307692307692</v>
      </c>
      <c r="I30" s="294"/>
      <c r="J30" s="78">
        <f t="shared" si="1"/>
        <v>8.6999999999999993</v>
      </c>
      <c r="K30" s="217">
        <v>0</v>
      </c>
      <c r="L30" s="217">
        <v>0</v>
      </c>
      <c r="M30" s="217">
        <v>8.6999999999999993</v>
      </c>
      <c r="N30" s="217">
        <v>0</v>
      </c>
      <c r="O30" s="217">
        <v>8.6999999999999993</v>
      </c>
      <c r="P30" s="253">
        <v>8.6999999999999993</v>
      </c>
      <c r="Q30" s="217">
        <f t="shared" si="2"/>
        <v>17.399999999999999</v>
      </c>
    </row>
    <row r="31" spans="1:17" ht="20.100000000000001" customHeight="1">
      <c r="A31" s="216" t="s">
        <v>34</v>
      </c>
      <c r="B31" s="8">
        <v>1037</v>
      </c>
      <c r="C31" s="217">
        <v>13.2</v>
      </c>
      <c r="D31" s="217">
        <f t="shared" si="14"/>
        <v>16.100000000000001</v>
      </c>
      <c r="E31" s="217">
        <v>15.2</v>
      </c>
      <c r="F31" s="217">
        <f t="shared" si="13"/>
        <v>16.100000000000001</v>
      </c>
      <c r="G31" s="217">
        <f t="shared" si="3"/>
        <v>0.90000000000000213</v>
      </c>
      <c r="H31" s="218">
        <f t="shared" si="0"/>
        <v>105.92105263157896</v>
      </c>
      <c r="I31" s="295"/>
      <c r="J31" s="78">
        <f t="shared" si="1"/>
        <v>16.100000000000001</v>
      </c>
      <c r="K31" s="217">
        <v>3.6</v>
      </c>
      <c r="L31" s="217">
        <v>3.7</v>
      </c>
      <c r="M31" s="217">
        <v>4.3</v>
      </c>
      <c r="N31" s="217">
        <v>4.5</v>
      </c>
      <c r="O31" s="217">
        <v>4.3</v>
      </c>
      <c r="P31" s="253">
        <v>4.3</v>
      </c>
      <c r="Q31" s="217">
        <f t="shared" si="2"/>
        <v>15.900000000000002</v>
      </c>
    </row>
    <row r="32" spans="1:17" ht="20.100000000000001" customHeight="1">
      <c r="A32" s="216" t="s">
        <v>35</v>
      </c>
      <c r="B32" s="8">
        <v>1038</v>
      </c>
      <c r="C32" s="217">
        <v>2881.7</v>
      </c>
      <c r="D32" s="217">
        <f t="shared" si="14"/>
        <v>3492.5</v>
      </c>
      <c r="E32" s="217">
        <v>3501.6</v>
      </c>
      <c r="F32" s="217">
        <f t="shared" si="13"/>
        <v>3492.5</v>
      </c>
      <c r="G32" s="217">
        <f t="shared" si="3"/>
        <v>-9.0999999999999091</v>
      </c>
      <c r="H32" s="218">
        <f t="shared" si="0"/>
        <v>99.740118802832995</v>
      </c>
      <c r="I32" s="291"/>
      <c r="J32" s="78">
        <f t="shared" si="1"/>
        <v>3492.5</v>
      </c>
      <c r="K32" s="217">
        <v>759.1</v>
      </c>
      <c r="L32" s="217">
        <v>836.6</v>
      </c>
      <c r="M32" s="217">
        <v>873.5</v>
      </c>
      <c r="N32" s="217">
        <v>1023.3</v>
      </c>
      <c r="O32" s="217">
        <v>873.5</v>
      </c>
      <c r="P32" s="253">
        <f>O32*1.05+120+18</f>
        <v>1055.1750000000002</v>
      </c>
      <c r="Q32" s="217">
        <f t="shared" si="2"/>
        <v>3524.375</v>
      </c>
    </row>
    <row r="33" spans="1:17" ht="20.100000000000001" customHeight="1">
      <c r="A33" s="216" t="s">
        <v>36</v>
      </c>
      <c r="B33" s="8">
        <v>1039</v>
      </c>
      <c r="C33" s="217">
        <v>589.6</v>
      </c>
      <c r="D33" s="217">
        <f t="shared" si="14"/>
        <v>719.9</v>
      </c>
      <c r="E33" s="217">
        <v>735.4</v>
      </c>
      <c r="F33" s="217">
        <f t="shared" si="13"/>
        <v>719.9</v>
      </c>
      <c r="G33" s="217">
        <f t="shared" si="3"/>
        <v>-15.5</v>
      </c>
      <c r="H33" s="218">
        <f t="shared" si="0"/>
        <v>97.892303508294816</v>
      </c>
      <c r="I33" s="295"/>
      <c r="J33" s="78">
        <f t="shared" si="1"/>
        <v>719.9</v>
      </c>
      <c r="K33" s="217">
        <v>153.80000000000001</v>
      </c>
      <c r="L33" s="217">
        <v>169.5</v>
      </c>
      <c r="M33" s="217">
        <v>187.6</v>
      </c>
      <c r="N33" s="217">
        <v>209</v>
      </c>
      <c r="O33" s="217">
        <v>187.6</v>
      </c>
      <c r="P33" s="253">
        <f>P32*0.22</f>
        <v>232.13850000000005</v>
      </c>
      <c r="Q33" s="217">
        <f t="shared" si="2"/>
        <v>743.0385</v>
      </c>
    </row>
    <row r="34" spans="1:17" ht="19.5" customHeight="1">
      <c r="A34" s="216" t="s">
        <v>37</v>
      </c>
      <c r="B34" s="8">
        <v>1040</v>
      </c>
      <c r="C34" s="217">
        <v>360.7</v>
      </c>
      <c r="D34" s="217">
        <f t="shared" si="14"/>
        <v>254.39999999999998</v>
      </c>
      <c r="E34" s="217">
        <v>180</v>
      </c>
      <c r="F34" s="217">
        <f t="shared" si="13"/>
        <v>254.39999999999998</v>
      </c>
      <c r="G34" s="217">
        <f t="shared" si="3"/>
        <v>74.399999999999977</v>
      </c>
      <c r="H34" s="218">
        <f t="shared" si="0"/>
        <v>141.33333333333331</v>
      </c>
      <c r="I34" s="296"/>
      <c r="J34" s="78">
        <f t="shared" si="1"/>
        <v>254.39999999999998</v>
      </c>
      <c r="K34" s="217">
        <v>47.6</v>
      </c>
      <c r="L34" s="217">
        <v>32.799999999999997</v>
      </c>
      <c r="M34" s="217">
        <v>39.299999999999997</v>
      </c>
      <c r="N34" s="217">
        <v>134.69999999999999</v>
      </c>
      <c r="O34" s="217">
        <v>39.299999999999997</v>
      </c>
      <c r="P34" s="253">
        <v>39.299999999999997</v>
      </c>
      <c r="Q34" s="217">
        <f t="shared" si="2"/>
        <v>159</v>
      </c>
    </row>
    <row r="35" spans="1:17" ht="24.75" customHeight="1">
      <c r="A35" s="216" t="s">
        <v>38</v>
      </c>
      <c r="B35" s="8">
        <v>1041</v>
      </c>
      <c r="C35" s="217">
        <v>0</v>
      </c>
      <c r="D35" s="217">
        <f t="shared" si="14"/>
        <v>0</v>
      </c>
      <c r="E35" s="217">
        <v>0</v>
      </c>
      <c r="F35" s="217">
        <f t="shared" si="13"/>
        <v>0</v>
      </c>
      <c r="G35" s="217">
        <f t="shared" si="3"/>
        <v>0</v>
      </c>
      <c r="H35" s="218"/>
      <c r="I35" s="295"/>
      <c r="J35" s="78">
        <f t="shared" si="1"/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53">
        <v>0</v>
      </c>
      <c r="Q35" s="217">
        <f t="shared" si="2"/>
        <v>0</v>
      </c>
    </row>
    <row r="36" spans="1:17" ht="20.100000000000001" customHeight="1">
      <c r="A36" s="216" t="s">
        <v>39</v>
      </c>
      <c r="B36" s="8">
        <v>1042</v>
      </c>
      <c r="C36" s="217">
        <v>0</v>
      </c>
      <c r="D36" s="217">
        <f t="shared" si="14"/>
        <v>0</v>
      </c>
      <c r="E36" s="217">
        <v>0</v>
      </c>
      <c r="F36" s="217">
        <f t="shared" si="13"/>
        <v>0</v>
      </c>
      <c r="G36" s="217">
        <f t="shared" si="3"/>
        <v>0</v>
      </c>
      <c r="H36" s="218"/>
      <c r="I36" s="295"/>
      <c r="J36" s="78">
        <f t="shared" si="1"/>
        <v>0</v>
      </c>
      <c r="K36" s="217">
        <v>0</v>
      </c>
      <c r="L36" s="217">
        <v>0</v>
      </c>
      <c r="M36" s="217">
        <v>0</v>
      </c>
      <c r="N36" s="217">
        <v>0</v>
      </c>
      <c r="O36" s="217">
        <v>0</v>
      </c>
      <c r="P36" s="253">
        <v>0</v>
      </c>
      <c r="Q36" s="217">
        <f t="shared" si="2"/>
        <v>0</v>
      </c>
    </row>
    <row r="37" spans="1:17" ht="20.100000000000001" customHeight="1">
      <c r="A37" s="216" t="s">
        <v>40</v>
      </c>
      <c r="B37" s="8">
        <v>1043</v>
      </c>
      <c r="C37" s="217">
        <v>0</v>
      </c>
      <c r="D37" s="217">
        <f t="shared" si="14"/>
        <v>0</v>
      </c>
      <c r="E37" s="217">
        <v>0</v>
      </c>
      <c r="F37" s="217">
        <f t="shared" si="13"/>
        <v>0</v>
      </c>
      <c r="G37" s="217">
        <f t="shared" si="3"/>
        <v>0</v>
      </c>
      <c r="H37" s="218"/>
      <c r="I37" s="295"/>
      <c r="J37" s="78">
        <f t="shared" si="1"/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53">
        <v>0</v>
      </c>
      <c r="Q37" s="217">
        <f t="shared" si="2"/>
        <v>0</v>
      </c>
    </row>
    <row r="38" spans="1:17" ht="20.100000000000001" customHeight="1">
      <c r="A38" s="216" t="s">
        <v>41</v>
      </c>
      <c r="B38" s="8">
        <v>1044</v>
      </c>
      <c r="C38" s="217">
        <v>79.099999999999994</v>
      </c>
      <c r="D38" s="217">
        <f t="shared" si="14"/>
        <v>93.899999999999991</v>
      </c>
      <c r="E38" s="217">
        <v>72</v>
      </c>
      <c r="F38" s="217">
        <f t="shared" si="13"/>
        <v>93.899999999999991</v>
      </c>
      <c r="G38" s="217">
        <f t="shared" si="3"/>
        <v>21.899999999999991</v>
      </c>
      <c r="H38" s="218">
        <f t="shared" si="0"/>
        <v>130.41666666666666</v>
      </c>
      <c r="I38" s="291"/>
      <c r="J38" s="78">
        <f t="shared" si="1"/>
        <v>93.899999999999991</v>
      </c>
      <c r="K38" s="217">
        <v>17.8</v>
      </c>
      <c r="L38" s="217">
        <v>30.5</v>
      </c>
      <c r="M38" s="217">
        <v>21.4</v>
      </c>
      <c r="N38" s="217">
        <v>24.2</v>
      </c>
      <c r="O38" s="217">
        <v>21.4</v>
      </c>
      <c r="P38" s="253">
        <v>21.4</v>
      </c>
      <c r="Q38" s="217">
        <f t="shared" si="2"/>
        <v>91.1</v>
      </c>
    </row>
    <row r="39" spans="1:17" ht="20.100000000000001" customHeight="1">
      <c r="A39" s="216" t="s">
        <v>57</v>
      </c>
      <c r="B39" s="8">
        <v>1045</v>
      </c>
      <c r="C39" s="217">
        <v>8.5</v>
      </c>
      <c r="D39" s="217">
        <f t="shared" si="14"/>
        <v>9.1999999999999993</v>
      </c>
      <c r="E39" s="217">
        <v>0</v>
      </c>
      <c r="F39" s="217">
        <f t="shared" si="13"/>
        <v>9.1999999999999993</v>
      </c>
      <c r="G39" s="217">
        <f t="shared" si="3"/>
        <v>9.1999999999999993</v>
      </c>
      <c r="H39" s="218"/>
      <c r="I39" s="295"/>
      <c r="J39" s="78">
        <f t="shared" si="1"/>
        <v>9.1999999999999993</v>
      </c>
      <c r="K39" s="217">
        <v>1.1000000000000001</v>
      </c>
      <c r="L39" s="217">
        <v>3.2</v>
      </c>
      <c r="M39" s="217">
        <v>1.1000000000000001</v>
      </c>
      <c r="N39" s="217">
        <v>3.8</v>
      </c>
      <c r="O39" s="217">
        <v>1.1000000000000001</v>
      </c>
      <c r="P39" s="253">
        <v>1.1000000000000001</v>
      </c>
      <c r="Q39" s="217">
        <f t="shared" si="2"/>
        <v>6.5</v>
      </c>
    </row>
    <row r="40" spans="1:17" ht="20.100000000000001" customHeight="1">
      <c r="A40" s="216" t="s">
        <v>42</v>
      </c>
      <c r="B40" s="8">
        <v>1046</v>
      </c>
      <c r="C40" s="217">
        <v>0</v>
      </c>
      <c r="D40" s="217">
        <f t="shared" si="14"/>
        <v>0</v>
      </c>
      <c r="E40" s="217">
        <v>0</v>
      </c>
      <c r="F40" s="217">
        <f t="shared" si="13"/>
        <v>0</v>
      </c>
      <c r="G40" s="217">
        <f t="shared" si="3"/>
        <v>0</v>
      </c>
      <c r="H40" s="218"/>
      <c r="I40" s="295"/>
      <c r="J40" s="78">
        <f t="shared" si="1"/>
        <v>0</v>
      </c>
      <c r="K40" s="217">
        <v>0</v>
      </c>
      <c r="L40" s="217">
        <v>0</v>
      </c>
      <c r="M40" s="217">
        <v>0</v>
      </c>
      <c r="N40" s="217">
        <v>0</v>
      </c>
      <c r="O40" s="217">
        <v>0</v>
      </c>
      <c r="P40" s="253">
        <v>0</v>
      </c>
      <c r="Q40" s="217">
        <f t="shared" si="2"/>
        <v>0</v>
      </c>
    </row>
    <row r="41" spans="1:17" ht="20.100000000000001" customHeight="1">
      <c r="A41" s="216" t="s">
        <v>43</v>
      </c>
      <c r="B41" s="8">
        <v>1047</v>
      </c>
      <c r="C41" s="217">
        <v>0</v>
      </c>
      <c r="D41" s="217">
        <f t="shared" si="14"/>
        <v>0</v>
      </c>
      <c r="E41" s="217">
        <v>0</v>
      </c>
      <c r="F41" s="217">
        <f t="shared" si="13"/>
        <v>0</v>
      </c>
      <c r="G41" s="217">
        <f t="shared" si="3"/>
        <v>0</v>
      </c>
      <c r="H41" s="218"/>
      <c r="I41" s="295"/>
      <c r="J41" s="78">
        <f t="shared" si="1"/>
        <v>0</v>
      </c>
      <c r="K41" s="217">
        <v>0</v>
      </c>
      <c r="L41" s="217">
        <v>0</v>
      </c>
      <c r="M41" s="217">
        <v>0</v>
      </c>
      <c r="N41" s="217">
        <v>0</v>
      </c>
      <c r="O41" s="217">
        <v>0</v>
      </c>
      <c r="P41" s="253">
        <v>0</v>
      </c>
      <c r="Q41" s="217">
        <f t="shared" si="2"/>
        <v>0</v>
      </c>
    </row>
    <row r="42" spans="1:17" ht="20.100000000000001" customHeight="1">
      <c r="A42" s="216" t="s">
        <v>44</v>
      </c>
      <c r="B42" s="8">
        <v>1048</v>
      </c>
      <c r="C42" s="217">
        <v>1.5</v>
      </c>
      <c r="D42" s="217">
        <f t="shared" si="14"/>
        <v>0.3</v>
      </c>
      <c r="E42" s="217">
        <v>0</v>
      </c>
      <c r="F42" s="217">
        <f t="shared" si="13"/>
        <v>0.3</v>
      </c>
      <c r="G42" s="217">
        <f t="shared" si="3"/>
        <v>0.3</v>
      </c>
      <c r="H42" s="218"/>
      <c r="I42" s="295"/>
      <c r="J42" s="78">
        <f t="shared" si="1"/>
        <v>0.3</v>
      </c>
      <c r="K42" s="217">
        <v>0.3</v>
      </c>
      <c r="L42" s="217">
        <v>0</v>
      </c>
      <c r="M42" s="217">
        <v>0</v>
      </c>
      <c r="N42" s="217">
        <v>0</v>
      </c>
      <c r="O42" s="217">
        <v>0</v>
      </c>
      <c r="P42" s="253">
        <v>0</v>
      </c>
      <c r="Q42" s="217">
        <f t="shared" si="2"/>
        <v>0.3</v>
      </c>
    </row>
    <row r="43" spans="1:17" ht="20.100000000000001" customHeight="1">
      <c r="A43" s="216" t="s">
        <v>45</v>
      </c>
      <c r="B43" s="8">
        <v>1049</v>
      </c>
      <c r="C43" s="217">
        <v>1.9</v>
      </c>
      <c r="D43" s="217">
        <f t="shared" si="14"/>
        <v>11.899999999999999</v>
      </c>
      <c r="E43" s="217">
        <v>15</v>
      </c>
      <c r="F43" s="217">
        <f t="shared" si="13"/>
        <v>11.899999999999999</v>
      </c>
      <c r="G43" s="217">
        <f t="shared" si="3"/>
        <v>-3.1000000000000014</v>
      </c>
      <c r="H43" s="218"/>
      <c r="I43" s="295"/>
      <c r="J43" s="78">
        <f t="shared" si="1"/>
        <v>11.899999999999999</v>
      </c>
      <c r="K43" s="217">
        <v>2.2999999999999998</v>
      </c>
      <c r="L43" s="217">
        <v>2.2999999999999998</v>
      </c>
      <c r="M43" s="217">
        <v>4</v>
      </c>
      <c r="N43" s="217">
        <v>3.3</v>
      </c>
      <c r="O43" s="217">
        <v>4</v>
      </c>
      <c r="P43" s="253">
        <v>4</v>
      </c>
      <c r="Q43" s="217">
        <f t="shared" si="2"/>
        <v>12.6</v>
      </c>
    </row>
    <row r="44" spans="1:17" ht="42.75" customHeight="1">
      <c r="A44" s="7" t="s">
        <v>67</v>
      </c>
      <c r="B44" s="8">
        <v>1050</v>
      </c>
      <c r="C44" s="217">
        <v>164.9</v>
      </c>
      <c r="D44" s="217">
        <f t="shared" si="14"/>
        <v>116</v>
      </c>
      <c r="E44" s="217">
        <v>100</v>
      </c>
      <c r="F44" s="217">
        <f t="shared" si="13"/>
        <v>116</v>
      </c>
      <c r="G44" s="217">
        <f t="shared" si="3"/>
        <v>16</v>
      </c>
      <c r="H44" s="218"/>
      <c r="I44" s="295"/>
      <c r="J44" s="78">
        <f t="shared" si="1"/>
        <v>116</v>
      </c>
      <c r="K44" s="217">
        <v>30.7</v>
      </c>
      <c r="L44" s="217">
        <v>19.8</v>
      </c>
      <c r="M44" s="217">
        <v>21</v>
      </c>
      <c r="N44" s="217">
        <v>44.5</v>
      </c>
      <c r="O44" s="217">
        <v>21</v>
      </c>
      <c r="P44" s="253">
        <v>21</v>
      </c>
      <c r="Q44" s="217">
        <f t="shared" si="2"/>
        <v>92.5</v>
      </c>
    </row>
    <row r="45" spans="1:17" ht="20.100000000000001" customHeight="1">
      <c r="A45" s="216" t="s">
        <v>46</v>
      </c>
      <c r="B45" s="5" t="s">
        <v>314</v>
      </c>
      <c r="C45" s="217">
        <v>114.7</v>
      </c>
      <c r="D45" s="217">
        <f t="shared" si="14"/>
        <v>33.200000000000003</v>
      </c>
      <c r="E45" s="217">
        <v>100</v>
      </c>
      <c r="F45" s="217">
        <f t="shared" si="13"/>
        <v>33.200000000000003</v>
      </c>
      <c r="G45" s="217">
        <f t="shared" si="3"/>
        <v>-66.8</v>
      </c>
      <c r="H45" s="218"/>
      <c r="I45" s="296"/>
      <c r="J45" s="78">
        <f t="shared" si="1"/>
        <v>33.200000000000003</v>
      </c>
      <c r="K45" s="217">
        <v>9.3000000000000007</v>
      </c>
      <c r="L45" s="217">
        <v>0</v>
      </c>
      <c r="M45" s="217">
        <v>0.7</v>
      </c>
      <c r="N45" s="217">
        <v>23.2</v>
      </c>
      <c r="O45" s="217">
        <v>0.7</v>
      </c>
      <c r="P45" s="253">
        <v>0.7</v>
      </c>
      <c r="Q45" s="217">
        <f t="shared" si="2"/>
        <v>10.7</v>
      </c>
    </row>
    <row r="46" spans="1:17" ht="20.100000000000001" customHeight="1">
      <c r="A46" s="216" t="s">
        <v>95</v>
      </c>
      <c r="B46" s="8">
        <v>1051</v>
      </c>
      <c r="C46" s="217">
        <f>C47+C48+C49+C50+C51+C52</f>
        <v>355.40000000000009</v>
      </c>
      <c r="D46" s="217">
        <f>D47+D48+D49+D50+D51+D52</f>
        <v>409.49999999999994</v>
      </c>
      <c r="E46" s="217">
        <f>E47+E48+E49+E50+E51+E52</f>
        <v>393.90000000000003</v>
      </c>
      <c r="F46" s="217">
        <f>F47+F48+F49+F50+F51+F52</f>
        <v>409.49999999999994</v>
      </c>
      <c r="G46" s="217">
        <f t="shared" si="3"/>
        <v>15.599999999999909</v>
      </c>
      <c r="H46" s="218">
        <f t="shared" si="0"/>
        <v>103.96039603960394</v>
      </c>
      <c r="I46" s="295"/>
      <c r="J46" s="78">
        <f t="shared" si="1"/>
        <v>409.5</v>
      </c>
      <c r="K46" s="217">
        <v>120.60000000000001</v>
      </c>
      <c r="L46" s="217">
        <f>L47+L48+L49+L50+L51+L52</f>
        <v>73.5</v>
      </c>
      <c r="M46" s="217">
        <f>M47+M48+M49+M50+M51+M52</f>
        <v>81.2</v>
      </c>
      <c r="N46" s="217">
        <v>134.20000000000002</v>
      </c>
      <c r="O46" s="217">
        <v>81.2</v>
      </c>
      <c r="P46" s="217">
        <f t="shared" ref="P46:Q46" si="15">P47+P48+P49+P50+P51+P52</f>
        <v>131.20000000000002</v>
      </c>
      <c r="Q46" s="217">
        <f t="shared" si="15"/>
        <v>406.5</v>
      </c>
    </row>
    <row r="47" spans="1:17" ht="20.100000000000001" customHeight="1">
      <c r="A47" s="135" t="s">
        <v>427</v>
      </c>
      <c r="B47" s="5" t="s">
        <v>439</v>
      </c>
      <c r="C47" s="223">
        <v>53.5</v>
      </c>
      <c r="D47" s="223">
        <f>F47</f>
        <v>24.299999999999997</v>
      </c>
      <c r="E47" s="223">
        <v>30</v>
      </c>
      <c r="F47" s="223">
        <f t="shared" ref="F47:F52" si="16">J47</f>
        <v>24.299999999999997</v>
      </c>
      <c r="G47" s="217">
        <f t="shared" ref="G47:G54" si="17">F47-E47</f>
        <v>-5.7000000000000028</v>
      </c>
      <c r="H47" s="218">
        <f t="shared" ref="H47:H52" si="18">(F47/E47)*100</f>
        <v>81</v>
      </c>
      <c r="I47" s="297"/>
      <c r="J47" s="78">
        <f t="shared" si="1"/>
        <v>24.299999999999997</v>
      </c>
      <c r="K47" s="223">
        <v>14.6</v>
      </c>
      <c r="L47" s="223">
        <v>9.6999999999999993</v>
      </c>
      <c r="M47" s="223">
        <v>0</v>
      </c>
      <c r="N47" s="223">
        <v>0</v>
      </c>
      <c r="O47" s="223">
        <v>0</v>
      </c>
      <c r="P47" s="257">
        <v>0</v>
      </c>
      <c r="Q47" s="223">
        <f t="shared" si="2"/>
        <v>24.299999999999997</v>
      </c>
    </row>
    <row r="48" spans="1:17" ht="19.95" customHeight="1">
      <c r="A48" s="135" t="s">
        <v>440</v>
      </c>
      <c r="B48" s="5" t="s">
        <v>441</v>
      </c>
      <c r="C48" s="223">
        <v>90.7</v>
      </c>
      <c r="D48" s="223">
        <f t="shared" ref="D48:D52" si="19">F48</f>
        <v>92.2</v>
      </c>
      <c r="E48" s="223">
        <v>90</v>
      </c>
      <c r="F48" s="223">
        <f t="shared" si="16"/>
        <v>92.2</v>
      </c>
      <c r="G48" s="217">
        <f t="shared" si="17"/>
        <v>2.2000000000000028</v>
      </c>
      <c r="H48" s="218">
        <f t="shared" si="18"/>
        <v>102.44444444444444</v>
      </c>
      <c r="I48" s="297"/>
      <c r="J48" s="78">
        <f t="shared" si="1"/>
        <v>92.2</v>
      </c>
      <c r="K48" s="223">
        <v>14</v>
      </c>
      <c r="L48" s="223">
        <v>21.3</v>
      </c>
      <c r="M48" s="223">
        <v>41.7</v>
      </c>
      <c r="N48" s="223">
        <v>15.2</v>
      </c>
      <c r="O48" s="223">
        <v>41.7</v>
      </c>
      <c r="P48" s="257">
        <v>41.7</v>
      </c>
      <c r="Q48" s="223">
        <f t="shared" si="2"/>
        <v>118.7</v>
      </c>
    </row>
    <row r="49" spans="1:17" ht="20.100000000000001" customHeight="1">
      <c r="A49" s="135" t="s">
        <v>442</v>
      </c>
      <c r="B49" s="5" t="s">
        <v>443</v>
      </c>
      <c r="C49" s="223">
        <v>124.9</v>
      </c>
      <c r="D49" s="223">
        <f t="shared" si="19"/>
        <v>215.4</v>
      </c>
      <c r="E49" s="223">
        <v>151.80000000000001</v>
      </c>
      <c r="F49" s="223">
        <f t="shared" si="16"/>
        <v>215.4</v>
      </c>
      <c r="G49" s="217">
        <f t="shared" si="17"/>
        <v>63.599999999999994</v>
      </c>
      <c r="H49" s="218">
        <f t="shared" si="18"/>
        <v>141.89723320158103</v>
      </c>
      <c r="I49" s="293" t="s">
        <v>588</v>
      </c>
      <c r="J49" s="78">
        <f t="shared" si="1"/>
        <v>215.4</v>
      </c>
      <c r="K49" s="223">
        <v>72.7</v>
      </c>
      <c r="L49" s="223">
        <v>26</v>
      </c>
      <c r="M49" s="223">
        <v>21.3</v>
      </c>
      <c r="N49" s="223">
        <v>95.4</v>
      </c>
      <c r="O49" s="223">
        <v>21.3</v>
      </c>
      <c r="P49" s="257">
        <f>O49+50</f>
        <v>71.3</v>
      </c>
      <c r="Q49" s="223">
        <f t="shared" si="2"/>
        <v>191.3</v>
      </c>
    </row>
    <row r="50" spans="1:17" ht="20.100000000000001" customHeight="1">
      <c r="A50" s="135" t="s">
        <v>444</v>
      </c>
      <c r="B50" s="5" t="s">
        <v>445</v>
      </c>
      <c r="C50" s="223">
        <v>56.1</v>
      </c>
      <c r="D50" s="223">
        <f t="shared" si="19"/>
        <v>49</v>
      </c>
      <c r="E50" s="223">
        <v>65</v>
      </c>
      <c r="F50" s="223">
        <f t="shared" si="16"/>
        <v>49</v>
      </c>
      <c r="G50" s="217">
        <f t="shared" si="17"/>
        <v>-16</v>
      </c>
      <c r="H50" s="218">
        <f t="shared" si="18"/>
        <v>75.384615384615387</v>
      </c>
      <c r="I50" s="297"/>
      <c r="J50" s="78">
        <f t="shared" si="1"/>
        <v>49</v>
      </c>
      <c r="K50" s="223">
        <v>12.5</v>
      </c>
      <c r="L50" s="223">
        <v>9.4</v>
      </c>
      <c r="M50" s="223">
        <v>11</v>
      </c>
      <c r="N50" s="223">
        <v>16.100000000000001</v>
      </c>
      <c r="O50" s="223">
        <v>11</v>
      </c>
      <c r="P50" s="257">
        <v>11</v>
      </c>
      <c r="Q50" s="223">
        <f t="shared" si="2"/>
        <v>43.9</v>
      </c>
    </row>
    <row r="51" spans="1:17" ht="20.100000000000001" customHeight="1">
      <c r="A51" s="135" t="s">
        <v>446</v>
      </c>
      <c r="B51" s="5" t="s">
        <v>447</v>
      </c>
      <c r="C51" s="223">
        <v>28.6</v>
      </c>
      <c r="D51" s="223">
        <f t="shared" si="19"/>
        <v>27.2</v>
      </c>
      <c r="E51" s="223">
        <v>34</v>
      </c>
      <c r="F51" s="223">
        <f t="shared" si="16"/>
        <v>27.2</v>
      </c>
      <c r="G51" s="217">
        <f t="shared" si="17"/>
        <v>-6.8000000000000007</v>
      </c>
      <c r="H51" s="218">
        <f t="shared" si="18"/>
        <v>80</v>
      </c>
      <c r="I51" s="297"/>
      <c r="J51" s="78">
        <f t="shared" si="1"/>
        <v>27.2</v>
      </c>
      <c r="K51" s="223">
        <v>6.8</v>
      </c>
      <c r="L51" s="223">
        <v>6.8</v>
      </c>
      <c r="M51" s="223">
        <v>6.8</v>
      </c>
      <c r="N51" s="223">
        <v>6.8</v>
      </c>
      <c r="O51" s="223">
        <v>6.8</v>
      </c>
      <c r="P51" s="257">
        <v>6.8</v>
      </c>
      <c r="Q51" s="223">
        <f t="shared" si="2"/>
        <v>27.2</v>
      </c>
    </row>
    <row r="52" spans="1:17" ht="20.100000000000001" customHeight="1">
      <c r="A52" s="135" t="s">
        <v>437</v>
      </c>
      <c r="B52" s="5" t="s">
        <v>448</v>
      </c>
      <c r="C52" s="223">
        <v>1.6</v>
      </c>
      <c r="D52" s="223">
        <f t="shared" si="19"/>
        <v>1.4</v>
      </c>
      <c r="E52" s="223">
        <v>23.1</v>
      </c>
      <c r="F52" s="223">
        <f t="shared" si="16"/>
        <v>1.4</v>
      </c>
      <c r="G52" s="217">
        <f t="shared" si="17"/>
        <v>-21.700000000000003</v>
      </c>
      <c r="H52" s="218">
        <f t="shared" si="18"/>
        <v>6.0606060606060597</v>
      </c>
      <c r="I52" s="297"/>
      <c r="J52" s="78">
        <f t="shared" si="1"/>
        <v>1.4</v>
      </c>
      <c r="K52" s="223">
        <v>0</v>
      </c>
      <c r="L52" s="223">
        <v>0.3</v>
      </c>
      <c r="M52" s="223">
        <v>0.4</v>
      </c>
      <c r="N52" s="223">
        <v>0.7</v>
      </c>
      <c r="O52" s="223">
        <v>0.4</v>
      </c>
      <c r="P52" s="257">
        <v>0.4</v>
      </c>
      <c r="Q52" s="223">
        <f t="shared" si="2"/>
        <v>1.1000000000000001</v>
      </c>
    </row>
    <row r="53" spans="1:17" ht="20.100000000000001" customHeight="1">
      <c r="A53" s="216" t="s">
        <v>151</v>
      </c>
      <c r="B53" s="8">
        <v>1060</v>
      </c>
      <c r="C53" s="219">
        <f>SUM(C54:C60)</f>
        <v>0</v>
      </c>
      <c r="D53" s="219">
        <f>SUM(D54:D60)</f>
        <v>0</v>
      </c>
      <c r="E53" s="219">
        <f>SUM(E54:E60)</f>
        <v>0</v>
      </c>
      <c r="F53" s="219">
        <f>SUM(F54:F60)</f>
        <v>0</v>
      </c>
      <c r="G53" s="217">
        <f t="shared" si="17"/>
        <v>0</v>
      </c>
      <c r="H53" s="218"/>
      <c r="I53" s="295"/>
      <c r="J53" s="78">
        <f t="shared" si="1"/>
        <v>0</v>
      </c>
      <c r="K53" s="219">
        <v>0</v>
      </c>
      <c r="L53" s="219">
        <f>SUM(L54:L60)</f>
        <v>0</v>
      </c>
      <c r="M53" s="219">
        <f>SUM(M54:M60)</f>
        <v>0</v>
      </c>
      <c r="N53" s="219">
        <v>0</v>
      </c>
      <c r="O53" s="219">
        <v>0</v>
      </c>
      <c r="P53" s="259">
        <v>0</v>
      </c>
      <c r="Q53" s="217">
        <f t="shared" si="2"/>
        <v>0</v>
      </c>
    </row>
    <row r="54" spans="1:17" ht="20.100000000000001" customHeight="1">
      <c r="A54" s="216" t="s">
        <v>127</v>
      </c>
      <c r="B54" s="8">
        <v>1061</v>
      </c>
      <c r="C54" s="217">
        <v>0</v>
      </c>
      <c r="D54" s="217">
        <v>0</v>
      </c>
      <c r="E54" s="217">
        <v>0</v>
      </c>
      <c r="F54" s="217">
        <v>0</v>
      </c>
      <c r="G54" s="217">
        <f t="shared" si="17"/>
        <v>0</v>
      </c>
      <c r="H54" s="218"/>
      <c r="I54" s="295"/>
      <c r="J54" s="78">
        <f t="shared" si="1"/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53">
        <v>0</v>
      </c>
      <c r="Q54" s="217">
        <f t="shared" si="2"/>
        <v>0</v>
      </c>
    </row>
    <row r="55" spans="1:17" ht="20.100000000000001" customHeight="1">
      <c r="A55" s="216" t="s">
        <v>128</v>
      </c>
      <c r="B55" s="8">
        <v>1062</v>
      </c>
      <c r="C55" s="217">
        <v>0</v>
      </c>
      <c r="D55" s="217">
        <v>0</v>
      </c>
      <c r="E55" s="217">
        <v>0</v>
      </c>
      <c r="F55" s="217">
        <v>0</v>
      </c>
      <c r="G55" s="217">
        <f t="shared" si="3"/>
        <v>0</v>
      </c>
      <c r="H55" s="218"/>
      <c r="I55" s="295"/>
      <c r="J55" s="78">
        <f t="shared" si="1"/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53">
        <v>0</v>
      </c>
      <c r="Q55" s="217">
        <f t="shared" si="2"/>
        <v>0</v>
      </c>
    </row>
    <row r="56" spans="1:17" ht="20.100000000000001" customHeight="1">
      <c r="A56" s="216" t="s">
        <v>35</v>
      </c>
      <c r="B56" s="8">
        <v>1063</v>
      </c>
      <c r="C56" s="217">
        <v>0</v>
      </c>
      <c r="D56" s="217">
        <v>0</v>
      </c>
      <c r="E56" s="217">
        <v>0</v>
      </c>
      <c r="F56" s="217">
        <v>0</v>
      </c>
      <c r="G56" s="217">
        <f t="shared" si="3"/>
        <v>0</v>
      </c>
      <c r="H56" s="218"/>
      <c r="I56" s="295"/>
      <c r="J56" s="78">
        <f t="shared" si="1"/>
        <v>0</v>
      </c>
      <c r="K56" s="217">
        <v>0</v>
      </c>
      <c r="L56" s="217">
        <v>0</v>
      </c>
      <c r="M56" s="217">
        <v>0</v>
      </c>
      <c r="N56" s="217">
        <v>0</v>
      </c>
      <c r="O56" s="217">
        <v>0</v>
      </c>
      <c r="P56" s="253">
        <v>0</v>
      </c>
      <c r="Q56" s="217">
        <f t="shared" si="2"/>
        <v>0</v>
      </c>
    </row>
    <row r="57" spans="1:17" ht="20.100000000000001" customHeight="1">
      <c r="A57" s="216" t="s">
        <v>36</v>
      </c>
      <c r="B57" s="8">
        <v>1064</v>
      </c>
      <c r="C57" s="217">
        <v>0</v>
      </c>
      <c r="D57" s="217">
        <v>0</v>
      </c>
      <c r="E57" s="217">
        <v>0</v>
      </c>
      <c r="F57" s="217">
        <v>0</v>
      </c>
      <c r="G57" s="217">
        <f t="shared" si="3"/>
        <v>0</v>
      </c>
      <c r="H57" s="218"/>
      <c r="I57" s="295"/>
      <c r="J57" s="78">
        <f t="shared" si="1"/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53">
        <v>0</v>
      </c>
      <c r="Q57" s="217">
        <f t="shared" si="2"/>
        <v>0</v>
      </c>
    </row>
    <row r="58" spans="1:17" ht="20.100000000000001" customHeight="1">
      <c r="A58" s="216" t="s">
        <v>56</v>
      </c>
      <c r="B58" s="8">
        <v>1065</v>
      </c>
      <c r="C58" s="217">
        <v>0</v>
      </c>
      <c r="D58" s="217">
        <v>0</v>
      </c>
      <c r="E58" s="217">
        <v>0</v>
      </c>
      <c r="F58" s="217">
        <v>0</v>
      </c>
      <c r="G58" s="217">
        <f t="shared" si="3"/>
        <v>0</v>
      </c>
      <c r="H58" s="218"/>
      <c r="I58" s="295"/>
      <c r="J58" s="78">
        <f t="shared" si="1"/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53">
        <v>0</v>
      </c>
      <c r="Q58" s="217">
        <f t="shared" si="2"/>
        <v>0</v>
      </c>
    </row>
    <row r="59" spans="1:17" ht="20.100000000000001" customHeight="1">
      <c r="A59" s="216" t="s">
        <v>68</v>
      </c>
      <c r="B59" s="8">
        <v>1066</v>
      </c>
      <c r="C59" s="217">
        <v>0</v>
      </c>
      <c r="D59" s="217">
        <v>0</v>
      </c>
      <c r="E59" s="217">
        <v>0</v>
      </c>
      <c r="F59" s="217">
        <v>0</v>
      </c>
      <c r="G59" s="217">
        <f t="shared" si="3"/>
        <v>0</v>
      </c>
      <c r="H59" s="218"/>
      <c r="I59" s="295"/>
      <c r="J59" s="78">
        <f t="shared" si="1"/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53">
        <v>0</v>
      </c>
      <c r="Q59" s="217">
        <f t="shared" si="2"/>
        <v>0</v>
      </c>
    </row>
    <row r="60" spans="1:17" ht="20.100000000000001" customHeight="1">
      <c r="A60" s="216" t="s">
        <v>103</v>
      </c>
      <c r="B60" s="8">
        <v>1067</v>
      </c>
      <c r="C60" s="217">
        <v>0</v>
      </c>
      <c r="D60" s="217">
        <v>0</v>
      </c>
      <c r="E60" s="217">
        <v>0</v>
      </c>
      <c r="F60" s="217">
        <v>0</v>
      </c>
      <c r="G60" s="217">
        <f t="shared" si="3"/>
        <v>0</v>
      </c>
      <c r="H60" s="218"/>
      <c r="I60" s="295"/>
      <c r="J60" s="78">
        <f t="shared" si="1"/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53">
        <v>0</v>
      </c>
      <c r="Q60" s="217">
        <f t="shared" si="2"/>
        <v>0</v>
      </c>
    </row>
    <row r="61" spans="1:17" s="4" customFormat="1" ht="20.100000000000001" customHeight="1">
      <c r="A61" s="173" t="s">
        <v>250</v>
      </c>
      <c r="B61" s="10">
        <v>1070</v>
      </c>
      <c r="C61" s="224">
        <f>SUM(C62:C64)</f>
        <v>220</v>
      </c>
      <c r="D61" s="224">
        <f>SUM(D62:D64)</f>
        <v>200</v>
      </c>
      <c r="E61" s="224">
        <f>SUM(E62:E64)</f>
        <v>131</v>
      </c>
      <c r="F61" s="224">
        <f>SUM(F62:F64)</f>
        <v>200</v>
      </c>
      <c r="G61" s="221">
        <f>F61-E61</f>
        <v>69</v>
      </c>
      <c r="H61" s="222">
        <f t="shared" si="0"/>
        <v>152.67175572519085</v>
      </c>
      <c r="I61" s="298"/>
      <c r="J61" s="78">
        <f t="shared" si="1"/>
        <v>200</v>
      </c>
      <c r="K61" s="224">
        <v>39.799999999999997</v>
      </c>
      <c r="L61" s="224">
        <f>SUM(L62:L64)</f>
        <v>34.200000000000003</v>
      </c>
      <c r="M61" s="224">
        <f>SUM(M62:M64)</f>
        <v>67</v>
      </c>
      <c r="N61" s="224">
        <v>59</v>
      </c>
      <c r="O61" s="224">
        <v>67</v>
      </c>
      <c r="P61" s="256">
        <f>P64</f>
        <v>47.3</v>
      </c>
      <c r="Q61" s="271">
        <f t="shared" si="2"/>
        <v>188.3</v>
      </c>
    </row>
    <row r="62" spans="1:17" ht="20.100000000000001" customHeight="1">
      <c r="A62" s="216" t="s">
        <v>147</v>
      </c>
      <c r="B62" s="8">
        <v>1071</v>
      </c>
      <c r="C62" s="217">
        <v>0</v>
      </c>
      <c r="D62" s="217">
        <v>0</v>
      </c>
      <c r="E62" s="217">
        <v>0</v>
      </c>
      <c r="F62" s="217">
        <v>0</v>
      </c>
      <c r="G62" s="217">
        <f t="shared" si="3"/>
        <v>0</v>
      </c>
      <c r="H62" s="218"/>
      <c r="I62" s="295"/>
      <c r="J62" s="78">
        <f t="shared" si="1"/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53">
        <v>0</v>
      </c>
      <c r="Q62" s="217">
        <f t="shared" si="2"/>
        <v>0</v>
      </c>
    </row>
    <row r="63" spans="1:17" ht="20.100000000000001" customHeight="1">
      <c r="A63" s="216" t="s">
        <v>282</v>
      </c>
      <c r="B63" s="8">
        <v>1072</v>
      </c>
      <c r="C63" s="217">
        <v>0</v>
      </c>
      <c r="D63" s="217">
        <v>0</v>
      </c>
      <c r="E63" s="217">
        <v>0</v>
      </c>
      <c r="F63" s="217">
        <v>0</v>
      </c>
      <c r="G63" s="217">
        <f t="shared" si="3"/>
        <v>0</v>
      </c>
      <c r="H63" s="218"/>
      <c r="I63" s="295"/>
      <c r="J63" s="78">
        <f t="shared" si="1"/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0</v>
      </c>
      <c r="P63" s="253">
        <v>0</v>
      </c>
      <c r="Q63" s="217">
        <f t="shared" si="2"/>
        <v>0</v>
      </c>
    </row>
    <row r="64" spans="1:17" s="4" customFormat="1" ht="20.100000000000001" customHeight="1">
      <c r="A64" s="173" t="s">
        <v>251</v>
      </c>
      <c r="B64" s="10">
        <v>1073</v>
      </c>
      <c r="C64" s="221">
        <f>C65+C66+C67+C68+C69</f>
        <v>220</v>
      </c>
      <c r="D64" s="221">
        <f>D65+D66+D67+D68+D69</f>
        <v>200</v>
      </c>
      <c r="E64" s="221">
        <f>E65+E66+E67+E68+E69</f>
        <v>131</v>
      </c>
      <c r="F64" s="221">
        <f>F65+F66+F67+F68+F69</f>
        <v>200</v>
      </c>
      <c r="G64" s="221">
        <f t="shared" si="3"/>
        <v>69</v>
      </c>
      <c r="H64" s="222">
        <f t="shared" si="0"/>
        <v>152.67175572519085</v>
      </c>
      <c r="I64" s="298"/>
      <c r="J64" s="78">
        <f t="shared" si="1"/>
        <v>200</v>
      </c>
      <c r="K64" s="221">
        <v>39.799999999999997</v>
      </c>
      <c r="L64" s="221">
        <f>L65+L66+L67+L68+L69</f>
        <v>34.200000000000003</v>
      </c>
      <c r="M64" s="221">
        <f>M65+M66+M67+M68+M69</f>
        <v>67</v>
      </c>
      <c r="N64" s="221">
        <v>59</v>
      </c>
      <c r="O64" s="221">
        <v>67</v>
      </c>
      <c r="P64" s="255">
        <f>P65+P66+P67+P68+P69</f>
        <v>47.3</v>
      </c>
      <c r="Q64" s="221">
        <f t="shared" si="2"/>
        <v>188.3</v>
      </c>
    </row>
    <row r="65" spans="1:17" s="19" customFormat="1" ht="20.100000000000001" customHeight="1">
      <c r="A65" s="135" t="s">
        <v>449</v>
      </c>
      <c r="B65" s="135" t="s">
        <v>450</v>
      </c>
      <c r="C65" s="223">
        <v>15.1</v>
      </c>
      <c r="D65" s="223">
        <f t="shared" ref="D65:D69" si="20">F65</f>
        <v>50</v>
      </c>
      <c r="E65" s="223">
        <v>8</v>
      </c>
      <c r="F65" s="223">
        <f t="shared" ref="F65:F69" si="21">J65</f>
        <v>50</v>
      </c>
      <c r="G65" s="223">
        <f t="shared" si="3"/>
        <v>42</v>
      </c>
      <c r="H65" s="218">
        <f t="shared" ref="H65" si="22">(F65/E65)*100</f>
        <v>625</v>
      </c>
      <c r="I65" s="294"/>
      <c r="J65" s="78">
        <f t="shared" si="1"/>
        <v>50</v>
      </c>
      <c r="K65" s="223">
        <v>3.2</v>
      </c>
      <c r="L65" s="223">
        <v>1.5</v>
      </c>
      <c r="M65" s="223">
        <v>28.7</v>
      </c>
      <c r="N65" s="223">
        <v>16.600000000000001</v>
      </c>
      <c r="O65" s="223">
        <v>28.7</v>
      </c>
      <c r="P65" s="257">
        <v>9</v>
      </c>
      <c r="Q65" s="223">
        <f t="shared" si="2"/>
        <v>42.4</v>
      </c>
    </row>
    <row r="66" spans="1:17" s="19" customFormat="1" ht="20.100000000000001" customHeight="1">
      <c r="A66" s="135" t="s">
        <v>363</v>
      </c>
      <c r="B66" s="135" t="s">
        <v>451</v>
      </c>
      <c r="C66" s="223">
        <v>175.3</v>
      </c>
      <c r="D66" s="223">
        <f t="shared" si="20"/>
        <v>126.5</v>
      </c>
      <c r="E66" s="223">
        <v>123</v>
      </c>
      <c r="F66" s="223">
        <f t="shared" si="21"/>
        <v>126.5</v>
      </c>
      <c r="G66" s="223">
        <f t="shared" si="3"/>
        <v>3.5</v>
      </c>
      <c r="H66" s="218"/>
      <c r="I66" s="294"/>
      <c r="J66" s="78">
        <f t="shared" si="1"/>
        <v>126.5</v>
      </c>
      <c r="K66" s="223">
        <v>33.799999999999997</v>
      </c>
      <c r="L66" s="223">
        <v>31.6</v>
      </c>
      <c r="M66" s="223">
        <v>29</v>
      </c>
      <c r="N66" s="223">
        <v>32.1</v>
      </c>
      <c r="O66" s="223">
        <v>29</v>
      </c>
      <c r="P66" s="257">
        <v>29</v>
      </c>
      <c r="Q66" s="223">
        <f t="shared" si="2"/>
        <v>123.4</v>
      </c>
    </row>
    <row r="67" spans="1:17" s="19" customFormat="1" ht="20.100000000000001" customHeight="1">
      <c r="A67" s="135" t="s">
        <v>437</v>
      </c>
      <c r="B67" s="135" t="s">
        <v>452</v>
      </c>
      <c r="C67" s="223">
        <v>29.6</v>
      </c>
      <c r="D67" s="223">
        <f t="shared" si="20"/>
        <v>23.5</v>
      </c>
      <c r="E67" s="223">
        <v>0</v>
      </c>
      <c r="F67" s="223">
        <f t="shared" si="21"/>
        <v>23.5</v>
      </c>
      <c r="G67" s="223">
        <f t="shared" si="3"/>
        <v>23.5</v>
      </c>
      <c r="H67" s="218"/>
      <c r="I67" s="294"/>
      <c r="J67" s="78">
        <f t="shared" si="1"/>
        <v>23.5</v>
      </c>
      <c r="K67" s="223">
        <v>2.8</v>
      </c>
      <c r="L67" s="223">
        <v>1.1000000000000001</v>
      </c>
      <c r="M67" s="223">
        <v>9.3000000000000007</v>
      </c>
      <c r="N67" s="223">
        <v>10.3</v>
      </c>
      <c r="O67" s="223">
        <v>9.3000000000000007</v>
      </c>
      <c r="P67" s="257">
        <v>9.3000000000000007</v>
      </c>
      <c r="Q67" s="223">
        <f t="shared" si="2"/>
        <v>22.5</v>
      </c>
    </row>
    <row r="68" spans="1:17" s="19" customFormat="1" ht="20.100000000000001" customHeight="1">
      <c r="A68" s="135"/>
      <c r="B68" s="135" t="s">
        <v>453</v>
      </c>
      <c r="C68" s="223">
        <v>0</v>
      </c>
      <c r="D68" s="223">
        <f t="shared" si="20"/>
        <v>0</v>
      </c>
      <c r="E68" s="223">
        <v>0</v>
      </c>
      <c r="F68" s="223">
        <f t="shared" si="21"/>
        <v>0</v>
      </c>
      <c r="G68" s="223">
        <f t="shared" si="3"/>
        <v>0</v>
      </c>
      <c r="H68" s="218"/>
      <c r="I68" s="294"/>
      <c r="J68" s="78">
        <f t="shared" si="1"/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57">
        <v>0</v>
      </c>
      <c r="Q68" s="223">
        <f t="shared" si="2"/>
        <v>0</v>
      </c>
    </row>
    <row r="69" spans="1:17" s="19" customFormat="1" ht="20.100000000000001" customHeight="1">
      <c r="A69" s="135" t="s">
        <v>454</v>
      </c>
      <c r="B69" s="135" t="s">
        <v>455</v>
      </c>
      <c r="C69" s="223">
        <v>0</v>
      </c>
      <c r="D69" s="223">
        <f t="shared" si="20"/>
        <v>0</v>
      </c>
      <c r="E69" s="223">
        <v>0</v>
      </c>
      <c r="F69" s="223">
        <f t="shared" si="21"/>
        <v>0</v>
      </c>
      <c r="G69" s="223">
        <f t="shared" si="3"/>
        <v>0</v>
      </c>
      <c r="H69" s="218"/>
      <c r="I69" s="294"/>
      <c r="J69" s="78">
        <f t="shared" si="1"/>
        <v>0</v>
      </c>
      <c r="K69" s="223">
        <v>0</v>
      </c>
      <c r="L69" s="223">
        <v>0</v>
      </c>
      <c r="M69" s="223">
        <v>0</v>
      </c>
      <c r="N69" s="223">
        <v>0</v>
      </c>
      <c r="O69" s="223">
        <v>0</v>
      </c>
      <c r="P69" s="257">
        <v>0</v>
      </c>
      <c r="Q69" s="223">
        <f t="shared" si="2"/>
        <v>0</v>
      </c>
    </row>
    <row r="70" spans="1:17" s="4" customFormat="1" ht="20.100000000000001" customHeight="1">
      <c r="A70" s="227" t="s">
        <v>69</v>
      </c>
      <c r="B70" s="10">
        <v>1080</v>
      </c>
      <c r="C70" s="224">
        <f>SUM(C71:C76)</f>
        <v>2399.1000000000004</v>
      </c>
      <c r="D70" s="224">
        <f>SUM(D71:D76)</f>
        <v>1997.4</v>
      </c>
      <c r="E70" s="224">
        <f>SUM(E71:E76)</f>
        <v>1951.1999999999998</v>
      </c>
      <c r="F70" s="224">
        <f>SUM(F71:F76)</f>
        <v>1997.4</v>
      </c>
      <c r="G70" s="221">
        <f t="shared" si="3"/>
        <v>46.200000000000273</v>
      </c>
      <c r="H70" s="222">
        <f t="shared" si="0"/>
        <v>102.36777367773679</v>
      </c>
      <c r="I70" s="298"/>
      <c r="J70" s="78">
        <f t="shared" si="1"/>
        <v>2014.6</v>
      </c>
      <c r="K70" s="224">
        <v>419.5</v>
      </c>
      <c r="L70" s="224">
        <f>SUM(L71:L76)</f>
        <v>473.4</v>
      </c>
      <c r="M70" s="224">
        <f>SUM(M71:M76)</f>
        <v>454.69999999999993</v>
      </c>
      <c r="N70" s="224">
        <v>667</v>
      </c>
      <c r="O70" s="224">
        <v>454.69999999999993</v>
      </c>
      <c r="P70" s="256">
        <f>P76</f>
        <v>541.4</v>
      </c>
      <c r="Q70" s="271">
        <f t="shared" si="2"/>
        <v>1889</v>
      </c>
    </row>
    <row r="71" spans="1:17" ht="20.100000000000001" customHeight="1">
      <c r="A71" s="216" t="s">
        <v>147</v>
      </c>
      <c r="B71" s="8">
        <v>1081</v>
      </c>
      <c r="C71" s="217">
        <v>0</v>
      </c>
      <c r="D71" s="217">
        <v>0</v>
      </c>
      <c r="E71" s="217">
        <v>0</v>
      </c>
      <c r="F71" s="217">
        <v>0</v>
      </c>
      <c r="G71" s="217">
        <f t="shared" si="3"/>
        <v>0</v>
      </c>
      <c r="H71" s="218"/>
      <c r="I71" s="295"/>
      <c r="J71" s="78">
        <f t="shared" si="1"/>
        <v>0</v>
      </c>
      <c r="K71" s="217">
        <v>0</v>
      </c>
      <c r="L71" s="217">
        <v>0</v>
      </c>
      <c r="M71" s="217">
        <v>0</v>
      </c>
      <c r="N71" s="217">
        <v>0</v>
      </c>
      <c r="O71" s="217">
        <v>0</v>
      </c>
      <c r="P71" s="253">
        <v>0</v>
      </c>
      <c r="Q71" s="217">
        <f t="shared" si="2"/>
        <v>0</v>
      </c>
    </row>
    <row r="72" spans="1:17" ht="20.100000000000001" customHeight="1">
      <c r="A72" s="216" t="s">
        <v>370</v>
      </c>
      <c r="B72" s="8">
        <v>1082</v>
      </c>
      <c r="C72" s="217">
        <v>0</v>
      </c>
      <c r="D72" s="217">
        <v>0</v>
      </c>
      <c r="E72" s="217">
        <v>0</v>
      </c>
      <c r="F72" s="217">
        <v>0</v>
      </c>
      <c r="G72" s="217">
        <f t="shared" si="3"/>
        <v>0</v>
      </c>
      <c r="H72" s="218"/>
      <c r="I72" s="295"/>
      <c r="J72" s="78">
        <f t="shared" ref="J72:J101" si="23">K72+L72+M72+N72</f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53">
        <v>0</v>
      </c>
      <c r="Q72" s="217">
        <f t="shared" ref="Q72:Q127" si="24">K72+L72+O72+P72</f>
        <v>0</v>
      </c>
    </row>
    <row r="73" spans="1:17" ht="20.100000000000001" customHeight="1">
      <c r="A73" s="216" t="s">
        <v>63</v>
      </c>
      <c r="B73" s="8">
        <v>1083</v>
      </c>
      <c r="C73" s="217">
        <v>0</v>
      </c>
      <c r="D73" s="217">
        <v>0</v>
      </c>
      <c r="E73" s="217">
        <v>0</v>
      </c>
      <c r="F73" s="217">
        <v>0</v>
      </c>
      <c r="G73" s="217">
        <f t="shared" si="3"/>
        <v>0</v>
      </c>
      <c r="H73" s="218"/>
      <c r="I73" s="295"/>
      <c r="J73" s="78">
        <f t="shared" si="23"/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53">
        <v>0</v>
      </c>
      <c r="Q73" s="217">
        <f t="shared" si="24"/>
        <v>0</v>
      </c>
    </row>
    <row r="74" spans="1:17" ht="20.100000000000001" customHeight="1">
      <c r="A74" s="216" t="s">
        <v>47</v>
      </c>
      <c r="B74" s="8">
        <v>1084</v>
      </c>
      <c r="C74" s="217">
        <v>0</v>
      </c>
      <c r="D74" s="217">
        <v>0</v>
      </c>
      <c r="E74" s="217">
        <v>0</v>
      </c>
      <c r="F74" s="217">
        <v>0</v>
      </c>
      <c r="G74" s="217">
        <f t="shared" si="3"/>
        <v>0</v>
      </c>
      <c r="H74" s="218"/>
      <c r="I74" s="295"/>
      <c r="J74" s="78">
        <f t="shared" si="23"/>
        <v>0</v>
      </c>
      <c r="K74" s="217">
        <v>0</v>
      </c>
      <c r="L74" s="217">
        <v>0</v>
      </c>
      <c r="M74" s="217">
        <v>0</v>
      </c>
      <c r="N74" s="217">
        <v>0</v>
      </c>
      <c r="O74" s="217">
        <v>0</v>
      </c>
      <c r="P74" s="253">
        <v>0</v>
      </c>
      <c r="Q74" s="217">
        <f t="shared" si="24"/>
        <v>0</v>
      </c>
    </row>
    <row r="75" spans="1:17" ht="20.100000000000001" customHeight="1">
      <c r="A75" s="216" t="s">
        <v>54</v>
      </c>
      <c r="B75" s="8">
        <v>1085</v>
      </c>
      <c r="C75" s="217">
        <v>0</v>
      </c>
      <c r="D75" s="217">
        <v>0</v>
      </c>
      <c r="E75" s="217">
        <v>0</v>
      </c>
      <c r="F75" s="217">
        <v>0</v>
      </c>
      <c r="G75" s="217">
        <f t="shared" si="3"/>
        <v>0</v>
      </c>
      <c r="H75" s="218"/>
      <c r="I75" s="295"/>
      <c r="J75" s="78">
        <f t="shared" si="23"/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53">
        <v>0</v>
      </c>
      <c r="Q75" s="217">
        <f t="shared" si="24"/>
        <v>0</v>
      </c>
    </row>
    <row r="76" spans="1:17" s="4" customFormat="1" ht="20.100000000000001" customHeight="1">
      <c r="A76" s="173" t="s">
        <v>176</v>
      </c>
      <c r="B76" s="10">
        <v>1086</v>
      </c>
      <c r="C76" s="221">
        <f>C77+C78+C79+C80+C81+C82+C83+C84+C85</f>
        <v>2399.1000000000004</v>
      </c>
      <c r="D76" s="221">
        <f>D77+D78+D79+D80+D81+D82+D83+D84+D85+D86</f>
        <v>1997.4</v>
      </c>
      <c r="E76" s="221">
        <f>E77+E78+E79+E80+E81+E82+E83+E84+E85</f>
        <v>1951.1999999999998</v>
      </c>
      <c r="F76" s="221">
        <f>F77+F78+F79+F80+F81+F82+F83+F84+F85+F86</f>
        <v>1997.4</v>
      </c>
      <c r="G76" s="221">
        <f t="shared" si="3"/>
        <v>46.200000000000273</v>
      </c>
      <c r="H76" s="222">
        <f t="shared" si="0"/>
        <v>102.36777367773679</v>
      </c>
      <c r="I76" s="298"/>
      <c r="J76" s="78">
        <f t="shared" si="23"/>
        <v>1997.3999999999999</v>
      </c>
      <c r="K76" s="221">
        <f>K77+K78+K79+K80+K81+K82+K83+K84+K85+K86</f>
        <v>419.5</v>
      </c>
      <c r="L76" s="221">
        <f>L77+L78+L79+L80+L81+L82+L83+L84+L85+L86</f>
        <v>473.4</v>
      </c>
      <c r="M76" s="221">
        <f t="shared" ref="M76:N76" si="25">M77+M78+M79+M80+M81+M82+M83+M84+M85+M86</f>
        <v>454.69999999999993</v>
      </c>
      <c r="N76" s="221">
        <f t="shared" si="25"/>
        <v>649.79999999999995</v>
      </c>
      <c r="O76" s="221">
        <v>454.69999999999993</v>
      </c>
      <c r="P76" s="255">
        <f>P77+P78+P79+P80+P81+P82+P83+P84+P85+P86</f>
        <v>541.4</v>
      </c>
      <c r="Q76" s="221">
        <f t="shared" si="24"/>
        <v>1889</v>
      </c>
    </row>
    <row r="77" spans="1:17" s="19" customFormat="1" ht="20.100000000000001" customHeight="1">
      <c r="A77" s="135" t="s">
        <v>449</v>
      </c>
      <c r="B77" s="135" t="s">
        <v>456</v>
      </c>
      <c r="C77" s="223">
        <v>15.1</v>
      </c>
      <c r="D77" s="223">
        <f t="shared" ref="D77:D85" si="26">F77</f>
        <v>50</v>
      </c>
      <c r="E77" s="223">
        <v>8</v>
      </c>
      <c r="F77" s="223">
        <f t="shared" ref="F77:F85" si="27">J77</f>
        <v>50</v>
      </c>
      <c r="G77" s="223">
        <f t="shared" ref="G77:G85" si="28">F77-E77</f>
        <v>42</v>
      </c>
      <c r="H77" s="218"/>
      <c r="I77" s="294"/>
      <c r="J77" s="78">
        <f t="shared" si="23"/>
        <v>50</v>
      </c>
      <c r="K77" s="223">
        <v>3.2</v>
      </c>
      <c r="L77" s="223">
        <v>1.5</v>
      </c>
      <c r="M77" s="223">
        <v>28.7</v>
      </c>
      <c r="N77" s="223">
        <v>16.600000000000001</v>
      </c>
      <c r="O77" s="223">
        <v>28.7</v>
      </c>
      <c r="P77" s="257">
        <v>9</v>
      </c>
      <c r="Q77" s="223">
        <f t="shared" si="24"/>
        <v>42.4</v>
      </c>
    </row>
    <row r="78" spans="1:17" s="19" customFormat="1" ht="21.75" customHeight="1">
      <c r="A78" s="135" t="s">
        <v>557</v>
      </c>
      <c r="B78" s="135" t="s">
        <v>457</v>
      </c>
      <c r="C78" s="223">
        <v>885.2</v>
      </c>
      <c r="D78" s="223">
        <f t="shared" si="26"/>
        <v>874.2</v>
      </c>
      <c r="E78" s="223">
        <v>884</v>
      </c>
      <c r="F78" s="223">
        <f t="shared" si="27"/>
        <v>874.2</v>
      </c>
      <c r="G78" s="223">
        <f t="shared" si="28"/>
        <v>-9.7999999999999545</v>
      </c>
      <c r="H78" s="218">
        <f t="shared" si="0"/>
        <v>98.891402714932127</v>
      </c>
      <c r="I78" s="299"/>
      <c r="J78" s="78">
        <f t="shared" si="23"/>
        <v>874.2</v>
      </c>
      <c r="K78" s="223">
        <v>220.6</v>
      </c>
      <c r="L78" s="223">
        <v>220.6</v>
      </c>
      <c r="M78" s="223">
        <v>217.4</v>
      </c>
      <c r="N78" s="223">
        <v>215.6</v>
      </c>
      <c r="O78" s="223">
        <v>217.4</v>
      </c>
      <c r="P78" s="257">
        <v>217.4</v>
      </c>
      <c r="Q78" s="223">
        <f t="shared" si="24"/>
        <v>876</v>
      </c>
    </row>
    <row r="79" spans="1:17" s="19" customFormat="1" ht="20.100000000000001" customHeight="1">
      <c r="A79" s="135" t="s">
        <v>458</v>
      </c>
      <c r="B79" s="135" t="s">
        <v>459</v>
      </c>
      <c r="C79" s="223">
        <v>27.1</v>
      </c>
      <c r="D79" s="223">
        <f t="shared" si="26"/>
        <v>23</v>
      </c>
      <c r="E79" s="223">
        <v>26.7</v>
      </c>
      <c r="F79" s="223">
        <f t="shared" si="27"/>
        <v>23</v>
      </c>
      <c r="G79" s="223">
        <f t="shared" si="28"/>
        <v>-3.6999999999999993</v>
      </c>
      <c r="H79" s="218">
        <f t="shared" si="0"/>
        <v>86.142322097378283</v>
      </c>
      <c r="I79" s="294"/>
      <c r="J79" s="78">
        <f t="shared" si="23"/>
        <v>23</v>
      </c>
      <c r="K79" s="223">
        <v>6.7</v>
      </c>
      <c r="L79" s="223">
        <v>6.6</v>
      </c>
      <c r="M79" s="223">
        <v>6.6</v>
      </c>
      <c r="N79" s="223">
        <v>3.1</v>
      </c>
      <c r="O79" s="223">
        <v>6.6</v>
      </c>
      <c r="P79" s="257">
        <v>6.6</v>
      </c>
      <c r="Q79" s="223">
        <f t="shared" si="24"/>
        <v>26.5</v>
      </c>
    </row>
    <row r="80" spans="1:17" s="19" customFormat="1" ht="20.100000000000001" customHeight="1">
      <c r="A80" s="135" t="s">
        <v>460</v>
      </c>
      <c r="B80" s="135" t="s">
        <v>461</v>
      </c>
      <c r="C80" s="223">
        <v>88.2</v>
      </c>
      <c r="D80" s="223">
        <f t="shared" si="26"/>
        <v>62.9</v>
      </c>
      <c r="E80" s="223">
        <v>152.1</v>
      </c>
      <c r="F80" s="223">
        <f t="shared" si="27"/>
        <v>62.9</v>
      </c>
      <c r="G80" s="223">
        <f t="shared" si="28"/>
        <v>-89.199999999999989</v>
      </c>
      <c r="H80" s="218">
        <f t="shared" si="0"/>
        <v>41.354372123602893</v>
      </c>
      <c r="I80" s="300"/>
      <c r="J80" s="78">
        <f t="shared" si="23"/>
        <v>62.9</v>
      </c>
      <c r="K80" s="223">
        <v>0</v>
      </c>
      <c r="L80" s="223">
        <v>6</v>
      </c>
      <c r="M80" s="223">
        <v>0</v>
      </c>
      <c r="N80" s="223">
        <v>56.9</v>
      </c>
      <c r="O80" s="223">
        <v>0</v>
      </c>
      <c r="P80" s="257">
        <v>50</v>
      </c>
      <c r="Q80" s="223">
        <f t="shared" si="24"/>
        <v>56</v>
      </c>
    </row>
    <row r="81" spans="1:17" s="19" customFormat="1" ht="20.100000000000001" customHeight="1">
      <c r="A81" s="135" t="s">
        <v>462</v>
      </c>
      <c r="B81" s="135" t="s">
        <v>463</v>
      </c>
      <c r="C81" s="223">
        <v>40</v>
      </c>
      <c r="D81" s="223">
        <f t="shared" si="26"/>
        <v>74.7</v>
      </c>
      <c r="E81" s="223">
        <v>60.6</v>
      </c>
      <c r="F81" s="223">
        <f t="shared" si="27"/>
        <v>74.7</v>
      </c>
      <c r="G81" s="223">
        <f t="shared" si="28"/>
        <v>14.100000000000001</v>
      </c>
      <c r="H81" s="218">
        <f t="shared" si="0"/>
        <v>123.26732673267327</v>
      </c>
      <c r="I81" s="296"/>
      <c r="J81" s="78">
        <f t="shared" si="23"/>
        <v>74.7</v>
      </c>
      <c r="K81" s="223">
        <v>20.399999999999999</v>
      </c>
      <c r="L81" s="223">
        <v>17.100000000000001</v>
      </c>
      <c r="M81" s="223">
        <v>12.7</v>
      </c>
      <c r="N81" s="223">
        <v>24.5</v>
      </c>
      <c r="O81" s="223">
        <v>12.7</v>
      </c>
      <c r="P81" s="257">
        <v>20</v>
      </c>
      <c r="Q81" s="223">
        <f t="shared" si="24"/>
        <v>70.2</v>
      </c>
    </row>
    <row r="82" spans="1:17" s="242" customFormat="1" ht="20.100000000000001" customHeight="1">
      <c r="A82" s="239" t="s">
        <v>573</v>
      </c>
      <c r="B82" s="239" t="s">
        <v>464</v>
      </c>
      <c r="C82" s="240">
        <v>452.7</v>
      </c>
      <c r="D82" s="223">
        <f t="shared" si="26"/>
        <v>25.1</v>
      </c>
      <c r="E82" s="240">
        <v>0</v>
      </c>
      <c r="F82" s="223">
        <f t="shared" si="27"/>
        <v>25.1</v>
      </c>
      <c r="G82" s="240">
        <f t="shared" si="28"/>
        <v>25.1</v>
      </c>
      <c r="H82" s="241"/>
      <c r="I82" s="301" t="s">
        <v>589</v>
      </c>
      <c r="J82" s="78">
        <f t="shared" si="23"/>
        <v>25.1</v>
      </c>
      <c r="K82" s="240">
        <v>0</v>
      </c>
      <c r="L82" s="240">
        <v>0</v>
      </c>
      <c r="M82" s="240">
        <v>0</v>
      </c>
      <c r="N82" s="240">
        <v>25.1</v>
      </c>
      <c r="O82" s="240">
        <v>0</v>
      </c>
      <c r="P82" s="260">
        <v>0</v>
      </c>
      <c r="Q82" s="223">
        <f t="shared" si="24"/>
        <v>0</v>
      </c>
    </row>
    <row r="83" spans="1:17" s="19" customFormat="1" ht="20.100000000000001" customHeight="1">
      <c r="A83" s="135" t="s">
        <v>491</v>
      </c>
      <c r="B83" s="135" t="s">
        <v>492</v>
      </c>
      <c r="C83" s="223">
        <v>179.2</v>
      </c>
      <c r="D83" s="223">
        <f t="shared" si="26"/>
        <v>240.7</v>
      </c>
      <c r="E83" s="223">
        <v>197</v>
      </c>
      <c r="F83" s="223">
        <f t="shared" si="27"/>
        <v>240.7</v>
      </c>
      <c r="G83" s="223">
        <f t="shared" si="28"/>
        <v>43.699999999999989</v>
      </c>
      <c r="H83" s="218">
        <f t="shared" si="0"/>
        <v>122.18274111675127</v>
      </c>
      <c r="I83" s="294" t="s">
        <v>590</v>
      </c>
      <c r="J83" s="78">
        <f t="shared" si="23"/>
        <v>240.7</v>
      </c>
      <c r="K83" s="223">
        <v>63.5</v>
      </c>
      <c r="L83" s="223">
        <v>60.8</v>
      </c>
      <c r="M83" s="223">
        <v>31.2</v>
      </c>
      <c r="N83" s="223">
        <v>85.2</v>
      </c>
      <c r="O83" s="223">
        <v>31.2</v>
      </c>
      <c r="P83" s="257">
        <v>75</v>
      </c>
      <c r="Q83" s="223">
        <f t="shared" si="24"/>
        <v>230.5</v>
      </c>
    </row>
    <row r="84" spans="1:17" s="19" customFormat="1" ht="20.100000000000001" customHeight="1">
      <c r="A84" s="135" t="s">
        <v>553</v>
      </c>
      <c r="B84" s="135" t="s">
        <v>465</v>
      </c>
      <c r="C84" s="223">
        <v>48.5</v>
      </c>
      <c r="D84" s="223">
        <f t="shared" si="26"/>
        <v>54.4</v>
      </c>
      <c r="E84" s="223">
        <v>56.8</v>
      </c>
      <c r="F84" s="223">
        <f t="shared" si="27"/>
        <v>54.4</v>
      </c>
      <c r="G84" s="223">
        <f t="shared" si="28"/>
        <v>-2.3999999999999986</v>
      </c>
      <c r="H84" s="218"/>
      <c r="I84" s="294"/>
      <c r="J84" s="78">
        <f t="shared" si="23"/>
        <v>54.4</v>
      </c>
      <c r="K84" s="223">
        <v>13.3</v>
      </c>
      <c r="L84" s="223">
        <v>13.2</v>
      </c>
      <c r="M84" s="223">
        <v>13.4</v>
      </c>
      <c r="N84" s="223">
        <v>14.5</v>
      </c>
      <c r="O84" s="223">
        <v>13.4</v>
      </c>
      <c r="P84" s="257">
        <v>13.4</v>
      </c>
      <c r="Q84" s="223">
        <f t="shared" si="24"/>
        <v>53.3</v>
      </c>
    </row>
    <row r="85" spans="1:17" s="19" customFormat="1" ht="34.5" customHeight="1">
      <c r="A85" s="135" t="s">
        <v>437</v>
      </c>
      <c r="B85" s="135" t="s">
        <v>493</v>
      </c>
      <c r="C85" s="223">
        <v>663.1</v>
      </c>
      <c r="D85" s="223">
        <f t="shared" si="26"/>
        <v>592.4</v>
      </c>
      <c r="E85" s="223">
        <f>574-8</f>
        <v>566</v>
      </c>
      <c r="F85" s="223">
        <f t="shared" si="27"/>
        <v>592.4</v>
      </c>
      <c r="G85" s="223">
        <f t="shared" si="28"/>
        <v>26.399999999999977</v>
      </c>
      <c r="H85" s="218">
        <f t="shared" si="0"/>
        <v>104.66431095406361</v>
      </c>
      <c r="I85" s="309" t="s">
        <v>593</v>
      </c>
      <c r="J85" s="78">
        <f t="shared" si="23"/>
        <v>592.4</v>
      </c>
      <c r="K85" s="223">
        <v>91.8</v>
      </c>
      <c r="L85" s="223">
        <f>147.6</f>
        <v>147.6</v>
      </c>
      <c r="M85" s="223">
        <f>142.6+2.1</f>
        <v>144.69999999999999</v>
      </c>
      <c r="N85" s="223">
        <v>208.3</v>
      </c>
      <c r="O85" s="223">
        <v>144.69999999999999</v>
      </c>
      <c r="P85" s="257">
        <v>150</v>
      </c>
      <c r="Q85" s="223">
        <f t="shared" si="24"/>
        <v>534.09999999999991</v>
      </c>
    </row>
    <row r="86" spans="1:17" s="19" customFormat="1" ht="19.5" customHeight="1">
      <c r="A86" s="135"/>
      <c r="B86" s="135"/>
      <c r="C86" s="223"/>
      <c r="D86" s="223"/>
      <c r="E86" s="223"/>
      <c r="F86" s="223"/>
      <c r="G86" s="223"/>
      <c r="H86" s="218"/>
      <c r="J86" s="78">
        <f t="shared" si="23"/>
        <v>0</v>
      </c>
      <c r="K86" s="223"/>
      <c r="L86" s="223">
        <v>0</v>
      </c>
      <c r="M86" s="223">
        <v>0</v>
      </c>
      <c r="N86" s="223">
        <v>0</v>
      </c>
      <c r="O86" s="223">
        <v>0</v>
      </c>
      <c r="P86" s="257">
        <v>0</v>
      </c>
      <c r="Q86" s="223">
        <f t="shared" si="24"/>
        <v>0</v>
      </c>
    </row>
    <row r="87" spans="1:17" s="4" customFormat="1" ht="20.100000000000001" customHeight="1">
      <c r="A87" s="173" t="s">
        <v>4</v>
      </c>
      <c r="B87" s="10">
        <v>1100</v>
      </c>
      <c r="C87" s="226">
        <f t="shared" ref="C87" si="29">C23-C24+C64-C70</f>
        <v>-1609.0999999999931</v>
      </c>
      <c r="D87" s="226">
        <f t="shared" ref="D87" si="30">D23-D24+D64-D70</f>
        <v>2864.5999999999935</v>
      </c>
      <c r="E87" s="226">
        <f t="shared" ref="E87:F87" si="31">E23-E24+E64-E70</f>
        <v>1157.200000000008</v>
      </c>
      <c r="F87" s="226">
        <f t="shared" si="31"/>
        <v>2864.5999999999935</v>
      </c>
      <c r="G87" s="221">
        <f t="shared" ref="G87:G105" si="32">F87-E87</f>
        <v>1707.3999999999855</v>
      </c>
      <c r="H87" s="222">
        <f t="shared" si="0"/>
        <v>247.5458002073949</v>
      </c>
      <c r="I87" s="298"/>
      <c r="J87" s="78">
        <f t="shared" si="23"/>
        <v>2847.3999999999987</v>
      </c>
      <c r="K87" s="226">
        <v>54.09999999999792</v>
      </c>
      <c r="L87" s="226">
        <f t="shared" ref="L87:M87" si="33">L23-L24+L64-L70</f>
        <v>891.49999999999989</v>
      </c>
      <c r="M87" s="226">
        <f t="shared" si="33"/>
        <v>2806.7999999999993</v>
      </c>
      <c r="N87" s="226">
        <v>-904.99999999999818</v>
      </c>
      <c r="O87" s="226">
        <v>2806.7999999999993</v>
      </c>
      <c r="P87" s="258">
        <f t="shared" ref="P87" si="34">P23-P24+P64-P70</f>
        <v>-765.04540000000043</v>
      </c>
      <c r="Q87" s="271">
        <f t="shared" si="24"/>
        <v>2987.3545999999965</v>
      </c>
    </row>
    <row r="88" spans="1:17" ht="20.100000000000001" customHeight="1">
      <c r="A88" s="216" t="s">
        <v>93</v>
      </c>
      <c r="B88" s="8">
        <v>1110</v>
      </c>
      <c r="C88" s="217">
        <v>0</v>
      </c>
      <c r="D88" s="217">
        <v>0</v>
      </c>
      <c r="E88" s="217">
        <v>0</v>
      </c>
      <c r="F88" s="217">
        <v>0</v>
      </c>
      <c r="G88" s="217">
        <f t="shared" si="32"/>
        <v>0</v>
      </c>
      <c r="H88" s="218"/>
      <c r="I88" s="295"/>
      <c r="J88" s="78">
        <f t="shared" si="23"/>
        <v>0</v>
      </c>
      <c r="K88" s="217">
        <v>0</v>
      </c>
      <c r="L88" s="217">
        <v>0</v>
      </c>
      <c r="M88" s="217">
        <v>0</v>
      </c>
      <c r="N88" s="217">
        <v>0</v>
      </c>
      <c r="O88" s="217">
        <v>0</v>
      </c>
      <c r="P88" s="253">
        <v>0</v>
      </c>
      <c r="Q88" s="221">
        <f t="shared" si="24"/>
        <v>0</v>
      </c>
    </row>
    <row r="89" spans="1:17" ht="20.100000000000001" customHeight="1">
      <c r="A89" s="216" t="s">
        <v>97</v>
      </c>
      <c r="B89" s="8">
        <v>1120</v>
      </c>
      <c r="C89" s="217">
        <v>0</v>
      </c>
      <c r="D89" s="217">
        <v>0</v>
      </c>
      <c r="E89" s="217">
        <v>0</v>
      </c>
      <c r="F89" s="217">
        <v>0</v>
      </c>
      <c r="G89" s="217">
        <f>F89-E89</f>
        <v>0</v>
      </c>
      <c r="H89" s="218"/>
      <c r="I89" s="295"/>
      <c r="J89" s="78">
        <f t="shared" si="23"/>
        <v>0</v>
      </c>
      <c r="K89" s="217">
        <v>0</v>
      </c>
      <c r="L89" s="217">
        <v>0</v>
      </c>
      <c r="M89" s="217">
        <v>0</v>
      </c>
      <c r="N89" s="217">
        <v>0</v>
      </c>
      <c r="O89" s="217">
        <v>0</v>
      </c>
      <c r="P89" s="253">
        <v>0</v>
      </c>
      <c r="Q89" s="221">
        <f t="shared" si="24"/>
        <v>0</v>
      </c>
    </row>
    <row r="90" spans="1:17" ht="20.100000000000001" customHeight="1">
      <c r="A90" s="216" t="s">
        <v>94</v>
      </c>
      <c r="B90" s="8">
        <v>1130</v>
      </c>
      <c r="C90" s="217">
        <v>0</v>
      </c>
      <c r="D90" s="217">
        <v>0</v>
      </c>
      <c r="E90" s="217">
        <v>0</v>
      </c>
      <c r="F90" s="217">
        <v>0</v>
      </c>
      <c r="G90" s="217">
        <f t="shared" si="32"/>
        <v>0</v>
      </c>
      <c r="H90" s="218"/>
      <c r="I90" s="295"/>
      <c r="J90" s="78">
        <f t="shared" si="23"/>
        <v>0</v>
      </c>
      <c r="K90" s="217">
        <v>0</v>
      </c>
      <c r="L90" s="217">
        <v>0</v>
      </c>
      <c r="M90" s="217">
        <v>0</v>
      </c>
      <c r="N90" s="217">
        <v>0</v>
      </c>
      <c r="O90" s="217">
        <v>0</v>
      </c>
      <c r="P90" s="253">
        <v>0</v>
      </c>
      <c r="Q90" s="221">
        <f t="shared" si="24"/>
        <v>0</v>
      </c>
    </row>
    <row r="91" spans="1:17" ht="20.100000000000001" customHeight="1">
      <c r="A91" s="216" t="s">
        <v>96</v>
      </c>
      <c r="B91" s="8">
        <v>1140</v>
      </c>
      <c r="C91" s="217">
        <v>1</v>
      </c>
      <c r="D91" s="217">
        <f>F91</f>
        <v>0</v>
      </c>
      <c r="E91" s="217">
        <v>0</v>
      </c>
      <c r="F91" s="217">
        <v>0</v>
      </c>
      <c r="G91" s="217">
        <f t="shared" si="32"/>
        <v>0</v>
      </c>
      <c r="H91" s="218"/>
      <c r="I91" s="295"/>
      <c r="J91" s="78">
        <f t="shared" si="23"/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  <c r="P91" s="253">
        <v>0</v>
      </c>
      <c r="Q91" s="221">
        <f t="shared" si="24"/>
        <v>0</v>
      </c>
    </row>
    <row r="92" spans="1:17" s="4" customFormat="1" ht="20.100000000000001" customHeight="1">
      <c r="A92" s="173" t="s">
        <v>252</v>
      </c>
      <c r="B92" s="10">
        <v>1150</v>
      </c>
      <c r="C92" s="224">
        <f>SUM(C93:C94)</f>
        <v>990</v>
      </c>
      <c r="D92" s="224">
        <f>SUM(D93:D94)</f>
        <v>1122</v>
      </c>
      <c r="E92" s="224">
        <f>SUM(E93:E94)</f>
        <v>1131.0999999999999</v>
      </c>
      <c r="F92" s="224">
        <f>SUM(F93:F94)</f>
        <v>1122</v>
      </c>
      <c r="G92" s="221">
        <f t="shared" si="32"/>
        <v>-9.0999999999999091</v>
      </c>
      <c r="H92" s="222">
        <f t="shared" si="0"/>
        <v>99.195473432941398</v>
      </c>
      <c r="I92" s="298"/>
      <c r="J92" s="78">
        <f t="shared" si="23"/>
        <v>1122</v>
      </c>
      <c r="K92" s="224">
        <v>247.4</v>
      </c>
      <c r="L92" s="224">
        <f>SUM(L93:L94)</f>
        <v>298.60000000000002</v>
      </c>
      <c r="M92" s="224">
        <f>SUM(M93:M94)</f>
        <v>287</v>
      </c>
      <c r="N92" s="224">
        <v>289</v>
      </c>
      <c r="O92" s="224">
        <f t="shared" ref="O92:Q92" si="35">SUM(O93:O94)</f>
        <v>287</v>
      </c>
      <c r="P92" s="224">
        <f t="shared" si="35"/>
        <v>287</v>
      </c>
      <c r="Q92" s="224">
        <f t="shared" si="35"/>
        <v>1120</v>
      </c>
    </row>
    <row r="93" spans="1:17" ht="20.100000000000001" customHeight="1">
      <c r="A93" s="216" t="s">
        <v>147</v>
      </c>
      <c r="B93" s="8">
        <v>1151</v>
      </c>
      <c r="C93" s="217">
        <v>0</v>
      </c>
      <c r="D93" s="217">
        <v>0</v>
      </c>
      <c r="E93" s="217">
        <v>0</v>
      </c>
      <c r="F93" s="217">
        <v>0</v>
      </c>
      <c r="G93" s="217">
        <f t="shared" si="32"/>
        <v>0</v>
      </c>
      <c r="H93" s="218"/>
      <c r="I93" s="295"/>
      <c r="J93" s="78">
        <f t="shared" si="23"/>
        <v>0</v>
      </c>
      <c r="K93" s="217">
        <v>0</v>
      </c>
      <c r="L93" s="217">
        <v>0</v>
      </c>
      <c r="M93" s="217">
        <v>0</v>
      </c>
      <c r="N93" s="217">
        <v>0</v>
      </c>
      <c r="O93" s="217">
        <v>0</v>
      </c>
      <c r="P93" s="253">
        <v>0</v>
      </c>
      <c r="Q93" s="221">
        <f t="shared" si="24"/>
        <v>0</v>
      </c>
    </row>
    <row r="94" spans="1:17" ht="20.100000000000001" customHeight="1">
      <c r="A94" s="216" t="s">
        <v>253</v>
      </c>
      <c r="B94" s="8">
        <v>1152</v>
      </c>
      <c r="C94" s="217">
        <f>C95+C96</f>
        <v>990</v>
      </c>
      <c r="D94" s="217">
        <f>D95+D96</f>
        <v>1122</v>
      </c>
      <c r="E94" s="217">
        <f>E95+E96</f>
        <v>1131.0999999999999</v>
      </c>
      <c r="F94" s="217">
        <f>F95+F96</f>
        <v>1122</v>
      </c>
      <c r="G94" s="217">
        <f t="shared" si="32"/>
        <v>-9.0999999999999091</v>
      </c>
      <c r="H94" s="218">
        <f t="shared" si="0"/>
        <v>99.195473432941398</v>
      </c>
      <c r="I94" s="295"/>
      <c r="J94" s="78">
        <f t="shared" si="23"/>
        <v>1122</v>
      </c>
      <c r="K94" s="217">
        <v>247.4</v>
      </c>
      <c r="L94" s="217">
        <f>L95+L96</f>
        <v>298.60000000000002</v>
      </c>
      <c r="M94" s="217">
        <f>M95+M96</f>
        <v>287</v>
      </c>
      <c r="N94" s="217">
        <v>289</v>
      </c>
      <c r="O94" s="217">
        <v>287</v>
      </c>
      <c r="P94" s="253">
        <v>287</v>
      </c>
      <c r="Q94" s="217">
        <f t="shared" si="24"/>
        <v>1120</v>
      </c>
    </row>
    <row r="95" spans="1:17" ht="21.75" customHeight="1">
      <c r="A95" s="135" t="s">
        <v>557</v>
      </c>
      <c r="B95" s="135" t="s">
        <v>466</v>
      </c>
      <c r="C95" s="223">
        <v>975.2</v>
      </c>
      <c r="D95" s="223">
        <f t="shared" ref="D95:D96" si="36">F95</f>
        <v>1097.2</v>
      </c>
      <c r="E95" s="223">
        <v>1107.0999999999999</v>
      </c>
      <c r="F95" s="223">
        <f t="shared" ref="F95:F96" si="37">J95</f>
        <v>1097.2</v>
      </c>
      <c r="G95" s="223">
        <f t="shared" ref="G95:G96" si="38">F95-E95</f>
        <v>-9.8999999999998636</v>
      </c>
      <c r="H95" s="218">
        <f t="shared" si="0"/>
        <v>99.105771836329154</v>
      </c>
      <c r="I95" s="300"/>
      <c r="J95" s="78">
        <f t="shared" si="23"/>
        <v>1097.2</v>
      </c>
      <c r="K95" s="223">
        <v>243.1</v>
      </c>
      <c r="L95" s="223">
        <v>287.10000000000002</v>
      </c>
      <c r="M95" s="223">
        <v>284.39999999999998</v>
      </c>
      <c r="N95" s="223">
        <v>282.60000000000002</v>
      </c>
      <c r="O95" s="223">
        <v>284.39999999999998</v>
      </c>
      <c r="P95" s="257">
        <v>284.39999999999998</v>
      </c>
      <c r="Q95" s="223">
        <f t="shared" si="24"/>
        <v>1099</v>
      </c>
    </row>
    <row r="96" spans="1:17" ht="20.100000000000001" customHeight="1">
      <c r="A96" s="135" t="s">
        <v>437</v>
      </c>
      <c r="B96" s="135" t="s">
        <v>467</v>
      </c>
      <c r="C96" s="223">
        <v>14.8</v>
      </c>
      <c r="D96" s="223">
        <f t="shared" si="36"/>
        <v>24.800000000000004</v>
      </c>
      <c r="E96" s="223">
        <v>24</v>
      </c>
      <c r="F96" s="223">
        <f t="shared" si="37"/>
        <v>24.800000000000004</v>
      </c>
      <c r="G96" s="223">
        <f t="shared" si="38"/>
        <v>0.80000000000000426</v>
      </c>
      <c r="H96" s="218">
        <f t="shared" si="0"/>
        <v>103.33333333333334</v>
      </c>
      <c r="I96" s="294"/>
      <c r="J96" s="78">
        <f t="shared" si="23"/>
        <v>24.800000000000004</v>
      </c>
      <c r="K96" s="223">
        <v>4.3</v>
      </c>
      <c r="L96" s="223">
        <v>11.5</v>
      </c>
      <c r="M96" s="223">
        <v>2.6</v>
      </c>
      <c r="N96" s="223">
        <v>6.4</v>
      </c>
      <c r="O96" s="223">
        <v>2.6</v>
      </c>
      <c r="P96" s="257">
        <v>2.6</v>
      </c>
      <c r="Q96" s="223">
        <f t="shared" si="24"/>
        <v>21.000000000000004</v>
      </c>
    </row>
    <row r="97" spans="1:17" s="4" customFormat="1" ht="20.100000000000001" customHeight="1">
      <c r="A97" s="173" t="s">
        <v>254</v>
      </c>
      <c r="B97" s="10">
        <v>1160</v>
      </c>
      <c r="C97" s="224">
        <f>SUM(C98:C99)</f>
        <v>0</v>
      </c>
      <c r="D97" s="224">
        <f>SUM(D98:D99)</f>
        <v>26.6</v>
      </c>
      <c r="E97" s="224">
        <f>SUM(E98:E99)</f>
        <v>0</v>
      </c>
      <c r="F97" s="224">
        <f>SUM(F98:F99)</f>
        <v>26.6</v>
      </c>
      <c r="G97" s="221">
        <f t="shared" si="32"/>
        <v>26.6</v>
      </c>
      <c r="H97" s="222"/>
      <c r="I97" s="298"/>
      <c r="J97" s="78">
        <f t="shared" si="23"/>
        <v>9.4</v>
      </c>
      <c r="K97" s="224">
        <v>0</v>
      </c>
      <c r="L97" s="224">
        <f>SUM(L98:L99)</f>
        <v>9.4</v>
      </c>
      <c r="M97" s="224">
        <f>SUM(M98:M99)</f>
        <v>0</v>
      </c>
      <c r="N97" s="224">
        <v>0</v>
      </c>
      <c r="O97" s="224">
        <v>0</v>
      </c>
      <c r="P97" s="256">
        <v>0</v>
      </c>
      <c r="Q97" s="221">
        <f t="shared" si="24"/>
        <v>9.4</v>
      </c>
    </row>
    <row r="98" spans="1:17" ht="20.100000000000001" customHeight="1">
      <c r="A98" s="216" t="s">
        <v>147</v>
      </c>
      <c r="B98" s="8">
        <v>1161</v>
      </c>
      <c r="C98" s="217">
        <v>0</v>
      </c>
      <c r="D98" s="217">
        <v>0</v>
      </c>
      <c r="E98" s="217">
        <v>0</v>
      </c>
      <c r="F98" s="217">
        <v>0</v>
      </c>
      <c r="G98" s="217"/>
      <c r="H98" s="218"/>
      <c r="I98" s="295"/>
      <c r="J98" s="78">
        <f t="shared" si="23"/>
        <v>0</v>
      </c>
      <c r="K98" s="217">
        <v>0</v>
      </c>
      <c r="L98" s="217">
        <v>0</v>
      </c>
      <c r="M98" s="217">
        <v>0</v>
      </c>
      <c r="N98" s="217">
        <v>0</v>
      </c>
      <c r="O98" s="217">
        <v>0</v>
      </c>
      <c r="P98" s="253">
        <v>0</v>
      </c>
      <c r="Q98" s="217">
        <f t="shared" si="24"/>
        <v>0</v>
      </c>
    </row>
    <row r="99" spans="1:17" ht="20.100000000000001" customHeight="1">
      <c r="A99" s="216" t="s">
        <v>563</v>
      </c>
      <c r="B99" s="8">
        <v>1162</v>
      </c>
      <c r="C99" s="217">
        <v>0</v>
      </c>
      <c r="D99" s="217">
        <f>F99</f>
        <v>26.6</v>
      </c>
      <c r="E99" s="217">
        <v>0</v>
      </c>
      <c r="F99" s="217">
        <f>J99</f>
        <v>26.6</v>
      </c>
      <c r="G99" s="217">
        <f t="shared" si="32"/>
        <v>26.6</v>
      </c>
      <c r="H99" s="218"/>
      <c r="I99" s="302" t="s">
        <v>591</v>
      </c>
      <c r="J99" s="78">
        <f t="shared" si="23"/>
        <v>26.6</v>
      </c>
      <c r="K99" s="217">
        <v>0</v>
      </c>
      <c r="L99" s="217">
        <v>9.4</v>
      </c>
      <c r="M99" s="217">
        <v>0</v>
      </c>
      <c r="N99" s="217">
        <v>17.2</v>
      </c>
      <c r="O99" s="217">
        <v>0</v>
      </c>
      <c r="P99" s="253">
        <v>0</v>
      </c>
      <c r="Q99" s="217">
        <f t="shared" si="24"/>
        <v>9.4</v>
      </c>
    </row>
    <row r="100" spans="1:17" s="4" customFormat="1" ht="20.100000000000001" customHeight="1">
      <c r="A100" s="173" t="s">
        <v>82</v>
      </c>
      <c r="B100" s="10">
        <v>1170</v>
      </c>
      <c r="C100" s="226">
        <f>C7-C8-C24+C61-C70+C92-C97-C91</f>
        <v>-620.09999999999309</v>
      </c>
      <c r="D100" s="226">
        <f>D7-D8-D24+D61-D70+D92-D97-D91</f>
        <v>3959.9999999999936</v>
      </c>
      <c r="E100" s="226">
        <f>E7-E8-E24+E61-E70+E92-E97</f>
        <v>2288.3000000000079</v>
      </c>
      <c r="F100" s="226">
        <f>F7-F8-F24+F61-F70+F92-F97-F91</f>
        <v>3959.9999999999936</v>
      </c>
      <c r="G100" s="221">
        <f t="shared" si="32"/>
        <v>1671.6999999999857</v>
      </c>
      <c r="H100" s="222">
        <f t="shared" si="0"/>
        <v>173.05423239959708</v>
      </c>
      <c r="I100" s="298"/>
      <c r="J100" s="78">
        <f t="shared" si="23"/>
        <v>3959.9999999999991</v>
      </c>
      <c r="K100" s="226">
        <v>301.49999999999795</v>
      </c>
      <c r="L100" s="226">
        <f>L7-L8-L24+L61-L70+L92-L97-L91</f>
        <v>1180.6999999999998</v>
      </c>
      <c r="M100" s="226">
        <f>M7-M8-M24+M61-M70+M92-M97-M91</f>
        <v>3093.7999999999993</v>
      </c>
      <c r="N100" s="226">
        <v>-615.99999999999818</v>
      </c>
      <c r="O100" s="226">
        <f>O7-O8-O24+O61-O70+O92-O97-O91</f>
        <v>3093.7999999999993</v>
      </c>
      <c r="P100" s="258">
        <f>P7-P8-P24+P61-P70+P92-P97-P91</f>
        <v>-478.04540000000043</v>
      </c>
      <c r="Q100" s="221">
        <f t="shared" si="24"/>
        <v>4097.9545999999973</v>
      </c>
    </row>
    <row r="101" spans="1:17" ht="20.100000000000001" customHeight="1">
      <c r="A101" s="216" t="s">
        <v>245</v>
      </c>
      <c r="B101" s="5">
        <v>1180</v>
      </c>
      <c r="C101" s="217">
        <v>0</v>
      </c>
      <c r="D101" s="217">
        <f>F101</f>
        <v>608</v>
      </c>
      <c r="E101" s="217">
        <v>686.3</v>
      </c>
      <c r="F101" s="217">
        <f>J101</f>
        <v>608</v>
      </c>
      <c r="G101" s="221">
        <f t="shared" ref="G101" si="39">F101-E101</f>
        <v>-78.299999999999955</v>
      </c>
      <c r="H101" s="222"/>
      <c r="I101" s="295"/>
      <c r="J101" s="78">
        <f t="shared" si="23"/>
        <v>608</v>
      </c>
      <c r="K101" s="217">
        <v>0</v>
      </c>
      <c r="L101" s="217">
        <v>159.69999999999999</v>
      </c>
      <c r="M101" s="217">
        <v>557.29999999999995</v>
      </c>
      <c r="N101" s="217">
        <v>-109</v>
      </c>
      <c r="O101" s="217">
        <v>557.29999999999995</v>
      </c>
      <c r="P101" s="253">
        <v>0</v>
      </c>
      <c r="Q101" s="221">
        <f t="shared" si="24"/>
        <v>717</v>
      </c>
    </row>
    <row r="102" spans="1:17" ht="20.100000000000001" customHeight="1">
      <c r="A102" s="216" t="s">
        <v>246</v>
      </c>
      <c r="B102" s="5">
        <v>1181</v>
      </c>
      <c r="C102" s="217"/>
      <c r="D102" s="217"/>
      <c r="E102" s="217"/>
      <c r="F102" s="217"/>
      <c r="G102" s="217"/>
      <c r="H102" s="218"/>
      <c r="I102" s="295"/>
      <c r="J102" s="78"/>
      <c r="K102" s="217"/>
      <c r="L102" s="217"/>
      <c r="M102" s="217"/>
      <c r="N102" s="217"/>
      <c r="O102" s="217"/>
      <c r="P102" s="253"/>
      <c r="Q102" s="221"/>
    </row>
    <row r="103" spans="1:17" ht="20.100000000000001" customHeight="1">
      <c r="A103" s="216" t="s">
        <v>247</v>
      </c>
      <c r="B103" s="8">
        <v>1190</v>
      </c>
      <c r="C103" s="217"/>
      <c r="D103" s="217"/>
      <c r="E103" s="217"/>
      <c r="F103" s="217"/>
      <c r="G103" s="217"/>
      <c r="H103" s="218"/>
      <c r="I103" s="295"/>
      <c r="J103" s="78"/>
      <c r="K103" s="217"/>
      <c r="L103" s="217"/>
      <c r="M103" s="217"/>
      <c r="N103" s="217"/>
      <c r="O103" s="217"/>
      <c r="P103" s="253"/>
      <c r="Q103" s="221"/>
    </row>
    <row r="104" spans="1:17" ht="20.100000000000001" customHeight="1">
      <c r="A104" s="216" t="s">
        <v>248</v>
      </c>
      <c r="B104" s="5">
        <v>1191</v>
      </c>
      <c r="C104" s="217" t="s">
        <v>226</v>
      </c>
      <c r="D104" s="217" t="s">
        <v>226</v>
      </c>
      <c r="E104" s="217" t="s">
        <v>226</v>
      </c>
      <c r="F104" s="217" t="s">
        <v>226</v>
      </c>
      <c r="G104" s="217"/>
      <c r="H104" s="218"/>
      <c r="I104" s="295"/>
      <c r="J104" s="78"/>
      <c r="K104" s="217" t="s">
        <v>226</v>
      </c>
      <c r="L104" s="217" t="s">
        <v>226</v>
      </c>
      <c r="M104" s="217" t="s">
        <v>226</v>
      </c>
      <c r="N104" s="217" t="s">
        <v>226</v>
      </c>
      <c r="O104" s="217" t="s">
        <v>226</v>
      </c>
      <c r="P104" s="253" t="s">
        <v>226</v>
      </c>
      <c r="Q104" s="221"/>
    </row>
    <row r="105" spans="1:17" s="4" customFormat="1" ht="20.100000000000001" customHeight="1">
      <c r="A105" s="173" t="s">
        <v>274</v>
      </c>
      <c r="B105" s="10">
        <v>1200</v>
      </c>
      <c r="C105" s="226">
        <f>C100-C101</f>
        <v>-620.09999999999309</v>
      </c>
      <c r="D105" s="226">
        <f>D100-D101</f>
        <v>3351.9999999999936</v>
      </c>
      <c r="E105" s="226">
        <f>E100-E101</f>
        <v>1602.000000000008</v>
      </c>
      <c r="F105" s="226">
        <f>F100-F101</f>
        <v>3351.9999999999936</v>
      </c>
      <c r="G105" s="221">
        <f t="shared" si="32"/>
        <v>1749.9999999999857</v>
      </c>
      <c r="H105" s="222">
        <f t="shared" ref="H105:H127" si="40">(F105/E105)*100</f>
        <v>209.23845193507969</v>
      </c>
      <c r="I105" s="298"/>
      <c r="J105" s="78">
        <f t="shared" ref="J105" si="41">K105+L105+M105+N105</f>
        <v>3351.9999999999986</v>
      </c>
      <c r="K105" s="226">
        <v>301.49999999999795</v>
      </c>
      <c r="L105" s="226">
        <f>L100-L101</f>
        <v>1020.9999999999998</v>
      </c>
      <c r="M105" s="226">
        <f>M100-M101</f>
        <v>2536.4999999999991</v>
      </c>
      <c r="N105" s="226">
        <v>-506.99999999999818</v>
      </c>
      <c r="O105" s="226">
        <f>O100-O101</f>
        <v>2536.4999999999991</v>
      </c>
      <c r="P105" s="258">
        <f>P100-P101</f>
        <v>-478.04540000000043</v>
      </c>
      <c r="Q105" s="271">
        <f t="shared" si="24"/>
        <v>3380.9545999999964</v>
      </c>
    </row>
    <row r="106" spans="1:17" ht="28.5" customHeight="1">
      <c r="A106" s="216" t="s">
        <v>25</v>
      </c>
      <c r="B106" s="5">
        <v>1201</v>
      </c>
      <c r="C106" s="217"/>
      <c r="D106" s="217">
        <f>D105</f>
        <v>3351.9999999999936</v>
      </c>
      <c r="E106" s="217">
        <f>E105</f>
        <v>1602.000000000008</v>
      </c>
      <c r="F106" s="217">
        <f>F105</f>
        <v>3351.9999999999936</v>
      </c>
      <c r="G106" s="221"/>
      <c r="H106" s="222"/>
      <c r="I106" s="290" t="s">
        <v>592</v>
      </c>
      <c r="J106" s="78"/>
      <c r="K106" s="217">
        <v>301.49999999999795</v>
      </c>
      <c r="L106" s="217">
        <f>L105</f>
        <v>1020.9999999999998</v>
      </c>
      <c r="M106" s="217">
        <f>M105</f>
        <v>2536.4999999999991</v>
      </c>
      <c r="N106" s="217"/>
      <c r="O106" s="217">
        <f>O105</f>
        <v>2536.4999999999991</v>
      </c>
      <c r="P106" s="253">
        <f>P105</f>
        <v>-478.04540000000043</v>
      </c>
      <c r="Q106" s="221">
        <f t="shared" si="24"/>
        <v>3380.9545999999964</v>
      </c>
    </row>
    <row r="107" spans="1:17" ht="20.100000000000001" customHeight="1">
      <c r="A107" s="216" t="s">
        <v>26</v>
      </c>
      <c r="B107" s="5">
        <v>1202</v>
      </c>
      <c r="C107" s="217">
        <f>C105</f>
        <v>-620.09999999999309</v>
      </c>
      <c r="D107" s="217"/>
      <c r="E107" s="217"/>
      <c r="F107" s="217"/>
      <c r="G107" s="217"/>
      <c r="H107" s="222"/>
      <c r="I107" s="296"/>
      <c r="J107" s="78"/>
      <c r="K107" s="217"/>
      <c r="L107" s="217"/>
      <c r="M107" s="217"/>
      <c r="N107" s="217">
        <v>-506.99999999999818</v>
      </c>
      <c r="O107" s="217"/>
      <c r="P107" s="253"/>
      <c r="Q107" s="221"/>
    </row>
    <row r="108" spans="1:17" ht="20.100000000000001" customHeight="1">
      <c r="A108" s="173" t="s">
        <v>19</v>
      </c>
      <c r="B108" s="8">
        <v>1210</v>
      </c>
      <c r="C108" s="228">
        <f>SUM(C7,C61,C88,C90,C92,C102,C103)</f>
        <v>55323</v>
      </c>
      <c r="D108" s="228">
        <f>SUM(D7,D61,D88,D90,D92,D102,D103)</f>
        <v>61513</v>
      </c>
      <c r="E108" s="228">
        <f>SUM(E7,E61,E88,E90,E92,E102,E103)</f>
        <v>61362.1</v>
      </c>
      <c r="F108" s="228">
        <f>SUM(F7,F61,F88,F90,F92,F102,F103)</f>
        <v>61513</v>
      </c>
      <c r="G108" s="221">
        <f>F108-E108</f>
        <v>150.90000000000146</v>
      </c>
      <c r="H108" s="222">
        <f t="shared" si="40"/>
        <v>100.24591726815086</v>
      </c>
      <c r="I108" s="295"/>
      <c r="J108" s="78">
        <f t="shared" ref="J108:J109" si="42">K108+L108+M108+N108</f>
        <v>61513</v>
      </c>
      <c r="K108" s="228">
        <v>13536.199999999999</v>
      </c>
      <c r="L108" s="228">
        <f>SUM(L7,L61,L88,L90,L92,L102,L103)</f>
        <v>14690.800000000001</v>
      </c>
      <c r="M108" s="228">
        <f>SUM(M7,M61,M88,M90,M92,M102,M103)</f>
        <v>16644</v>
      </c>
      <c r="N108" s="228">
        <v>16642</v>
      </c>
      <c r="O108" s="228">
        <v>16644</v>
      </c>
      <c r="P108" s="261">
        <f>SUM(P7,P61,P88,P90,P92,P102,P103)</f>
        <v>16663.3</v>
      </c>
      <c r="Q108" s="271">
        <f t="shared" si="24"/>
        <v>61534.3</v>
      </c>
    </row>
    <row r="109" spans="1:17" ht="20.100000000000001" customHeight="1">
      <c r="A109" s="173" t="s">
        <v>100</v>
      </c>
      <c r="B109" s="8">
        <v>1220</v>
      </c>
      <c r="C109" s="228">
        <f>SUM(C8,C24,C53,C70,C89,C91,C97,C101,C104)</f>
        <v>55943.099999999991</v>
      </c>
      <c r="D109" s="228">
        <f>SUM(D8,D24,D53,D70,D89,D91,D97,D101,D104)</f>
        <v>58161.000000000007</v>
      </c>
      <c r="E109" s="228">
        <f>SUM(E8,E24,E53,E70,E89,E91,E97,E101,E104)</f>
        <v>59760.099999999991</v>
      </c>
      <c r="F109" s="228">
        <f>SUM(F8,F24,F53,F70,F89,F91,F97,F101,F104)</f>
        <v>58161.000000000007</v>
      </c>
      <c r="G109" s="221">
        <f>F109-E109</f>
        <v>-1599.099999999984</v>
      </c>
      <c r="H109" s="222">
        <f t="shared" si="40"/>
        <v>97.324134330431207</v>
      </c>
      <c r="I109" s="295"/>
      <c r="J109" s="78">
        <f t="shared" si="42"/>
        <v>58161</v>
      </c>
      <c r="K109" s="228">
        <v>13234.700000000003</v>
      </c>
      <c r="L109" s="228">
        <f>SUM(L8,L24,L53,L70,L89,L91,L97,L101,L104)</f>
        <v>13669.8</v>
      </c>
      <c r="M109" s="228">
        <f>SUM(M8,M24,M53,M70,M89,M91,M97,M101,M104)</f>
        <v>14107.500000000002</v>
      </c>
      <c r="N109" s="228">
        <v>17149</v>
      </c>
      <c r="O109" s="228">
        <v>14107.500000000002</v>
      </c>
      <c r="P109" s="261">
        <f>SUM(P8,P24,P53,P70,P89,P91,P97,P101,P104)</f>
        <v>17141.345400000002</v>
      </c>
      <c r="Q109" s="271">
        <f t="shared" si="24"/>
        <v>58153.345400000006</v>
      </c>
    </row>
    <row r="110" spans="1:17" ht="20.100000000000001" customHeight="1">
      <c r="A110" s="216" t="s">
        <v>177</v>
      </c>
      <c r="B110" s="8">
        <v>1230</v>
      </c>
      <c r="C110" s="217"/>
      <c r="D110" s="217"/>
      <c r="E110" s="217"/>
      <c r="F110" s="217"/>
      <c r="G110" s="217"/>
      <c r="H110" s="218"/>
      <c r="I110" s="295"/>
      <c r="J110" s="78"/>
      <c r="K110" s="217"/>
      <c r="L110" s="217"/>
      <c r="M110" s="217"/>
      <c r="N110" s="217"/>
      <c r="O110" s="217"/>
      <c r="P110" s="253"/>
      <c r="Q110" s="221"/>
    </row>
    <row r="111" spans="1:17" ht="24.9" customHeight="1">
      <c r="A111" s="173" t="s">
        <v>120</v>
      </c>
      <c r="B111" s="173"/>
      <c r="C111" s="173"/>
      <c r="D111" s="173"/>
      <c r="E111" s="173"/>
      <c r="F111" s="173"/>
      <c r="G111" s="173"/>
      <c r="H111" s="173"/>
      <c r="I111" s="173"/>
      <c r="J111" s="78"/>
      <c r="K111" s="173"/>
      <c r="L111" s="173"/>
      <c r="M111" s="173"/>
      <c r="N111" s="173"/>
      <c r="O111" s="173"/>
      <c r="P111" s="212"/>
      <c r="Q111" s="221"/>
    </row>
    <row r="112" spans="1:17" ht="20.100000000000001" customHeight="1">
      <c r="A112" s="216" t="s">
        <v>188</v>
      </c>
      <c r="B112" s="8">
        <v>1300</v>
      </c>
      <c r="C112" s="219">
        <f t="shared" ref="C112" si="43">C87</f>
        <v>-1609.0999999999931</v>
      </c>
      <c r="D112" s="219">
        <f t="shared" ref="D112" si="44">D87</f>
        <v>2864.5999999999935</v>
      </c>
      <c r="E112" s="219">
        <f t="shared" ref="E112:F112" si="45">E87</f>
        <v>1157.200000000008</v>
      </c>
      <c r="F112" s="219">
        <f t="shared" si="45"/>
        <v>2864.5999999999935</v>
      </c>
      <c r="G112" s="217">
        <f t="shared" ref="G112:G118" si="46">F112-E112</f>
        <v>1707.3999999999855</v>
      </c>
      <c r="H112" s="218">
        <f t="shared" si="40"/>
        <v>247.5458002073949</v>
      </c>
      <c r="I112" s="295"/>
      <c r="J112" s="78">
        <f t="shared" ref="J112:J118" si="47">F112+K112+L112+M112</f>
        <v>6616.9999999999909</v>
      </c>
      <c r="K112" s="219">
        <v>54.09999999999792</v>
      </c>
      <c r="L112" s="219">
        <f t="shared" ref="L112:M112" si="48">L87</f>
        <v>891.49999999999989</v>
      </c>
      <c r="M112" s="219">
        <f t="shared" si="48"/>
        <v>2806.7999999999993</v>
      </c>
      <c r="N112" s="219">
        <v>-904.99999999999818</v>
      </c>
      <c r="O112" s="219">
        <v>2806.7999999999993</v>
      </c>
      <c r="P112" s="259">
        <f t="shared" ref="P112" si="49">P87</f>
        <v>-765.04540000000043</v>
      </c>
      <c r="Q112" s="221">
        <f t="shared" si="24"/>
        <v>2987.3545999999965</v>
      </c>
    </row>
    <row r="113" spans="1:17" ht="20.100000000000001" customHeight="1">
      <c r="A113" s="216" t="s">
        <v>327</v>
      </c>
      <c r="B113" s="8">
        <v>1301</v>
      </c>
      <c r="C113" s="219">
        <f>C125</f>
        <v>2235</v>
      </c>
      <c r="D113" s="219">
        <f>D125</f>
        <v>2514.8000000000002</v>
      </c>
      <c r="E113" s="219">
        <f>E125</f>
        <v>2134</v>
      </c>
      <c r="F113" s="219">
        <f>F125</f>
        <v>2514.8000000000002</v>
      </c>
      <c r="G113" s="217">
        <f t="shared" si="46"/>
        <v>380.80000000000018</v>
      </c>
      <c r="H113" s="218">
        <f t="shared" si="40"/>
        <v>117.84442361761951</v>
      </c>
      <c r="I113" s="295"/>
      <c r="J113" s="78">
        <f t="shared" si="47"/>
        <v>4184.5999999999995</v>
      </c>
      <c r="K113" s="219">
        <v>474.1</v>
      </c>
      <c r="L113" s="219">
        <f>L125</f>
        <v>632.79999999999995</v>
      </c>
      <c r="M113" s="219">
        <f>M125</f>
        <v>562.9</v>
      </c>
      <c r="N113" s="219">
        <v>845</v>
      </c>
      <c r="O113" s="219">
        <v>562.9</v>
      </c>
      <c r="P113" s="259">
        <f>P125</f>
        <v>562.9</v>
      </c>
      <c r="Q113" s="221">
        <f t="shared" si="24"/>
        <v>2232.7000000000003</v>
      </c>
    </row>
    <row r="114" spans="1:17" ht="20.100000000000001" customHeight="1">
      <c r="A114" s="216" t="s">
        <v>328</v>
      </c>
      <c r="B114" s="8">
        <v>1302</v>
      </c>
      <c r="C114" s="219">
        <f>C62</f>
        <v>0</v>
      </c>
      <c r="D114" s="219">
        <f>D62</f>
        <v>0</v>
      </c>
      <c r="E114" s="219">
        <f>E62</f>
        <v>0</v>
      </c>
      <c r="F114" s="219">
        <f>F62</f>
        <v>0</v>
      </c>
      <c r="G114" s="217">
        <f t="shared" si="46"/>
        <v>0</v>
      </c>
      <c r="H114" s="218"/>
      <c r="I114" s="295"/>
      <c r="J114" s="78"/>
      <c r="K114" s="219">
        <v>0</v>
      </c>
      <c r="L114" s="219">
        <f>L62</f>
        <v>0</v>
      </c>
      <c r="M114" s="219">
        <f>M62</f>
        <v>0</v>
      </c>
      <c r="N114" s="219">
        <v>0</v>
      </c>
      <c r="O114" s="219">
        <v>0</v>
      </c>
      <c r="P114" s="259">
        <f>P62</f>
        <v>0</v>
      </c>
      <c r="Q114" s="221">
        <f t="shared" si="24"/>
        <v>0</v>
      </c>
    </row>
    <row r="115" spans="1:17" ht="20.100000000000001" customHeight="1">
      <c r="A115" s="216" t="s">
        <v>329</v>
      </c>
      <c r="B115" s="8">
        <v>1303</v>
      </c>
      <c r="C115" s="219">
        <f>C71</f>
        <v>0</v>
      </c>
      <c r="D115" s="219">
        <f>D71</f>
        <v>0</v>
      </c>
      <c r="E115" s="219">
        <f>E71</f>
        <v>0</v>
      </c>
      <c r="F115" s="219">
        <f>F71</f>
        <v>0</v>
      </c>
      <c r="G115" s="217">
        <f t="shared" si="46"/>
        <v>0</v>
      </c>
      <c r="H115" s="218"/>
      <c r="I115" s="295"/>
      <c r="J115" s="78"/>
      <c r="K115" s="219">
        <v>0</v>
      </c>
      <c r="L115" s="219">
        <f>L71</f>
        <v>0</v>
      </c>
      <c r="M115" s="219">
        <f>M71</f>
        <v>0</v>
      </c>
      <c r="N115" s="219">
        <v>0</v>
      </c>
      <c r="O115" s="219">
        <v>0</v>
      </c>
      <c r="P115" s="259">
        <f>P71</f>
        <v>0</v>
      </c>
      <c r="Q115" s="221">
        <f t="shared" si="24"/>
        <v>0</v>
      </c>
    </row>
    <row r="116" spans="1:17" ht="20.100000000000001" customHeight="1">
      <c r="A116" s="216" t="s">
        <v>330</v>
      </c>
      <c r="B116" s="8">
        <v>1304</v>
      </c>
      <c r="C116" s="219">
        <f>C63</f>
        <v>0</v>
      </c>
      <c r="D116" s="219">
        <f>D63</f>
        <v>0</v>
      </c>
      <c r="E116" s="219">
        <f>E63</f>
        <v>0</v>
      </c>
      <c r="F116" s="219">
        <f>F63</f>
        <v>0</v>
      </c>
      <c r="G116" s="217"/>
      <c r="H116" s="218"/>
      <c r="I116" s="295"/>
      <c r="J116" s="78"/>
      <c r="K116" s="219">
        <v>0</v>
      </c>
      <c r="L116" s="219">
        <f>L63</f>
        <v>0</v>
      </c>
      <c r="M116" s="219">
        <f>M63</f>
        <v>0</v>
      </c>
      <c r="N116" s="219">
        <v>0</v>
      </c>
      <c r="O116" s="219">
        <v>0</v>
      </c>
      <c r="P116" s="259">
        <f>P63</f>
        <v>0</v>
      </c>
      <c r="Q116" s="221">
        <f t="shared" si="24"/>
        <v>0</v>
      </c>
    </row>
    <row r="117" spans="1:17" ht="20.100000000000001" customHeight="1">
      <c r="A117" s="216" t="s">
        <v>331</v>
      </c>
      <c r="B117" s="8">
        <v>1305</v>
      </c>
      <c r="C117" s="219">
        <f>C72</f>
        <v>0</v>
      </c>
      <c r="D117" s="219">
        <f>D72</f>
        <v>0</v>
      </c>
      <c r="E117" s="219">
        <f>E72</f>
        <v>0</v>
      </c>
      <c r="F117" s="219">
        <f>F72</f>
        <v>0</v>
      </c>
      <c r="G117" s="217">
        <f t="shared" si="46"/>
        <v>0</v>
      </c>
      <c r="H117" s="218"/>
      <c r="I117" s="295"/>
      <c r="J117" s="78"/>
      <c r="K117" s="219">
        <v>0</v>
      </c>
      <c r="L117" s="219">
        <f>L72</f>
        <v>0</v>
      </c>
      <c r="M117" s="219">
        <f>M72</f>
        <v>0</v>
      </c>
      <c r="N117" s="219">
        <v>0</v>
      </c>
      <c r="O117" s="219">
        <v>0</v>
      </c>
      <c r="P117" s="259">
        <f>P72</f>
        <v>0</v>
      </c>
      <c r="Q117" s="221">
        <f t="shared" si="24"/>
        <v>0</v>
      </c>
    </row>
    <row r="118" spans="1:17" s="4" customFormat="1" ht="20.100000000000001" customHeight="1">
      <c r="A118" s="173" t="s">
        <v>114</v>
      </c>
      <c r="B118" s="10">
        <v>1310</v>
      </c>
      <c r="C118" s="220">
        <f>C112+C113-C114-C115-C116-C117</f>
        <v>625.90000000000691</v>
      </c>
      <c r="D118" s="220">
        <f>D112+D113-D114-D115-D116-D117</f>
        <v>5379.3999999999942</v>
      </c>
      <c r="E118" s="220">
        <f>E112+E113-E114-E115-E116-E117</f>
        <v>3291.200000000008</v>
      </c>
      <c r="F118" s="220">
        <f>F112+F113-F114-F115-F116-F117</f>
        <v>5379.3999999999942</v>
      </c>
      <c r="G118" s="221">
        <f t="shared" si="46"/>
        <v>2088.1999999999862</v>
      </c>
      <c r="H118" s="222">
        <f t="shared" si="40"/>
        <v>163.44798249878409</v>
      </c>
      <c r="I118" s="298"/>
      <c r="J118" s="78">
        <f t="shared" si="47"/>
        <v>10801.599999999991</v>
      </c>
      <c r="K118" s="220">
        <v>528.199999999998</v>
      </c>
      <c r="L118" s="220">
        <f>L112+L113-L114-L115-L116-L117</f>
        <v>1524.2999999999997</v>
      </c>
      <c r="M118" s="220">
        <f>M112+M113-M114-M115-M116-M117</f>
        <v>3369.6999999999994</v>
      </c>
      <c r="N118" s="220">
        <v>-59.999999999998181</v>
      </c>
      <c r="O118" s="220">
        <v>3369.6999999999994</v>
      </c>
      <c r="P118" s="262">
        <f>P112+P113-P114-P115-P116-P117</f>
        <v>-202.14540000000045</v>
      </c>
      <c r="Q118" s="221">
        <f t="shared" si="24"/>
        <v>5220.0545999999968</v>
      </c>
    </row>
    <row r="119" spans="1:17" s="4" customFormat="1" ht="20.100000000000001" customHeight="1">
      <c r="A119" s="212" t="s">
        <v>154</v>
      </c>
      <c r="B119" s="213"/>
      <c r="C119" s="213"/>
      <c r="D119" s="213"/>
      <c r="E119" s="213"/>
      <c r="F119" s="213"/>
      <c r="G119" s="213"/>
      <c r="H119" s="213"/>
      <c r="I119" s="285"/>
      <c r="J119" s="78"/>
      <c r="K119" s="213"/>
      <c r="L119" s="213"/>
      <c r="M119" s="213"/>
      <c r="N119" s="213"/>
      <c r="O119" s="213"/>
      <c r="P119" s="213"/>
      <c r="Q119" s="221"/>
    </row>
    <row r="120" spans="1:17" s="4" customFormat="1" ht="20.100000000000001" customHeight="1">
      <c r="A120" s="216" t="s">
        <v>189</v>
      </c>
      <c r="B120" s="8">
        <v>1400</v>
      </c>
      <c r="C120" s="217">
        <f>C121+C122</f>
        <v>22856.5</v>
      </c>
      <c r="D120" s="217">
        <f>D121+D122</f>
        <v>21234.399999999998</v>
      </c>
      <c r="E120" s="217">
        <f>E121+E122</f>
        <v>21694.1</v>
      </c>
      <c r="F120" s="217">
        <f>F121+F122</f>
        <v>21234.399999999998</v>
      </c>
      <c r="G120" s="217">
        <f t="shared" ref="G120:G127" si="50">F120-E120</f>
        <v>-459.70000000000073</v>
      </c>
      <c r="H120" s="218">
        <f t="shared" si="40"/>
        <v>97.880990684103054</v>
      </c>
      <c r="I120" s="295"/>
      <c r="J120" s="78">
        <f t="shared" ref="J120:J127" si="51">K120+L120+M120+N120</f>
        <v>21234.400000000001</v>
      </c>
      <c r="K120" s="217">
        <v>4476.6000000000004</v>
      </c>
      <c r="L120" s="217">
        <f>L121+L122</f>
        <v>4956.3999999999996</v>
      </c>
      <c r="M120" s="217">
        <f>M121+M122</f>
        <v>4805.3999999999996</v>
      </c>
      <c r="N120" s="217">
        <v>6996</v>
      </c>
      <c r="O120" s="217">
        <v>4805.3999999999996</v>
      </c>
      <c r="P120" s="253">
        <f>P121+P122</f>
        <v>7414.2999999999993</v>
      </c>
      <c r="Q120" s="221">
        <f t="shared" si="24"/>
        <v>21652.699999999997</v>
      </c>
    </row>
    <row r="121" spans="1:17" s="4" customFormat="1" ht="20.100000000000001" customHeight="1">
      <c r="A121" s="216" t="s">
        <v>190</v>
      </c>
      <c r="B121" s="33">
        <v>1401</v>
      </c>
      <c r="C121" s="223">
        <v>18200.099999999999</v>
      </c>
      <c r="D121" s="223">
        <f>F121</f>
        <v>16063.099999999999</v>
      </c>
      <c r="E121" s="223">
        <v>16526.3</v>
      </c>
      <c r="F121" s="223">
        <f>J121</f>
        <v>16063.099999999999</v>
      </c>
      <c r="G121" s="223">
        <f t="shared" si="50"/>
        <v>-463.20000000000073</v>
      </c>
      <c r="H121" s="218">
        <f t="shared" si="40"/>
        <v>97.197194774389899</v>
      </c>
      <c r="I121" s="296"/>
      <c r="J121" s="78">
        <f t="shared" si="51"/>
        <v>16063.099999999999</v>
      </c>
      <c r="K121" s="223">
        <v>3092.3</v>
      </c>
      <c r="L121" s="223">
        <v>3790.1</v>
      </c>
      <c r="M121" s="223">
        <v>3670.7</v>
      </c>
      <c r="N121" s="223">
        <v>5510</v>
      </c>
      <c r="O121" s="223">
        <v>3670.7</v>
      </c>
      <c r="P121" s="257">
        <f>P9+P14+P25+P85+P18+P44+P50</f>
        <v>5794.9</v>
      </c>
      <c r="Q121" s="223">
        <f>SUM(K121:P121)</f>
        <v>25528.699999999997</v>
      </c>
    </row>
    <row r="122" spans="1:17" s="4" customFormat="1" ht="20.100000000000001" customHeight="1">
      <c r="A122" s="216" t="s">
        <v>28</v>
      </c>
      <c r="B122" s="33">
        <v>1402</v>
      </c>
      <c r="C122" s="223">
        <v>4656.3999999999996</v>
      </c>
      <c r="D122" s="223">
        <f>F122</f>
        <v>5171.3</v>
      </c>
      <c r="E122" s="223">
        <v>5167.8</v>
      </c>
      <c r="F122" s="223">
        <f>J122</f>
        <v>5171.3</v>
      </c>
      <c r="G122" s="223">
        <f t="shared" si="50"/>
        <v>3.5</v>
      </c>
      <c r="H122" s="218">
        <f t="shared" si="40"/>
        <v>100.06772707922134</v>
      </c>
      <c r="I122" s="296"/>
      <c r="J122" s="78">
        <f t="shared" si="51"/>
        <v>5171.3</v>
      </c>
      <c r="K122" s="223">
        <v>1384.3</v>
      </c>
      <c r="L122" s="223">
        <v>1166.3</v>
      </c>
      <c r="M122" s="223">
        <v>1134.7</v>
      </c>
      <c r="N122" s="223">
        <v>1486</v>
      </c>
      <c r="O122" s="223">
        <v>1134.7</v>
      </c>
      <c r="P122" s="257">
        <f>P10+P11+P49</f>
        <v>1619.3999999999999</v>
      </c>
      <c r="Q122" s="223">
        <f>SUM(K122:P122)</f>
        <v>7925.4</v>
      </c>
    </row>
    <row r="123" spans="1:17" s="4" customFormat="1" ht="20.100000000000001" customHeight="1">
      <c r="A123" s="216" t="s">
        <v>5</v>
      </c>
      <c r="B123" s="13">
        <v>1410</v>
      </c>
      <c r="C123" s="217">
        <v>21748.9</v>
      </c>
      <c r="D123" s="217">
        <f>F123</f>
        <v>25124</v>
      </c>
      <c r="E123" s="217">
        <v>26293.9</v>
      </c>
      <c r="F123" s="217">
        <f>J123</f>
        <v>25124</v>
      </c>
      <c r="G123" s="217">
        <f t="shared" si="50"/>
        <v>-1169.9000000000015</v>
      </c>
      <c r="H123" s="218">
        <f t="shared" si="40"/>
        <v>95.550679054837801</v>
      </c>
      <c r="I123" s="291"/>
      <c r="J123" s="78">
        <f t="shared" si="51"/>
        <v>25124</v>
      </c>
      <c r="K123" s="217">
        <v>6001.1</v>
      </c>
      <c r="L123" s="217">
        <v>5820.8</v>
      </c>
      <c r="M123" s="217">
        <v>6185.1</v>
      </c>
      <c r="N123" s="217">
        <v>7117</v>
      </c>
      <c r="O123" s="217">
        <v>6185.1</v>
      </c>
      <c r="P123" s="253">
        <f>P12+P32+P83/1.22</f>
        <v>6889.5454098360651</v>
      </c>
      <c r="Q123" s="217">
        <f t="shared" si="24"/>
        <v>24896.545409836064</v>
      </c>
    </row>
    <row r="124" spans="1:17" s="4" customFormat="1" ht="20.100000000000001" customHeight="1">
      <c r="A124" s="216" t="s">
        <v>6</v>
      </c>
      <c r="B124" s="13">
        <v>1420</v>
      </c>
      <c r="C124" s="217">
        <v>4705.5</v>
      </c>
      <c r="D124" s="217">
        <f t="shared" ref="D124:D126" si="52">F124</f>
        <v>5477.4</v>
      </c>
      <c r="E124" s="217">
        <v>5704.3</v>
      </c>
      <c r="F124" s="217">
        <f t="shared" ref="F124:F126" si="53">J124</f>
        <v>5477.4</v>
      </c>
      <c r="G124" s="217">
        <f t="shared" si="50"/>
        <v>-226.90000000000055</v>
      </c>
      <c r="H124" s="218">
        <f t="shared" si="40"/>
        <v>96.022298967445593</v>
      </c>
      <c r="I124" s="303"/>
      <c r="J124" s="78">
        <f t="shared" si="51"/>
        <v>5477.4</v>
      </c>
      <c r="K124" s="217">
        <v>1308.9000000000001</v>
      </c>
      <c r="L124" s="217">
        <v>1263.4000000000001</v>
      </c>
      <c r="M124" s="217">
        <v>1349.1</v>
      </c>
      <c r="N124" s="217">
        <v>1556</v>
      </c>
      <c r="O124" s="217">
        <v>1349.1</v>
      </c>
      <c r="P124" s="253">
        <f>P13+P33+(P83-P83/1.22)</f>
        <v>1515.6999901639342</v>
      </c>
      <c r="Q124" s="217">
        <f t="shared" si="24"/>
        <v>5437.0999901639343</v>
      </c>
    </row>
    <row r="125" spans="1:17" s="4" customFormat="1" ht="20.100000000000001" customHeight="1">
      <c r="A125" s="216" t="s">
        <v>7</v>
      </c>
      <c r="B125" s="13">
        <v>1430</v>
      </c>
      <c r="C125" s="217">
        <v>2235</v>
      </c>
      <c r="D125" s="217">
        <f t="shared" si="52"/>
        <v>2514.8000000000002</v>
      </c>
      <c r="E125" s="217">
        <v>2134</v>
      </c>
      <c r="F125" s="217">
        <f t="shared" si="53"/>
        <v>2514.8000000000002</v>
      </c>
      <c r="G125" s="217">
        <f t="shared" si="50"/>
        <v>380.80000000000018</v>
      </c>
      <c r="H125" s="218">
        <f t="shared" si="40"/>
        <v>117.84442361761951</v>
      </c>
      <c r="I125" s="295"/>
      <c r="J125" s="78">
        <f t="shared" si="51"/>
        <v>2514.8000000000002</v>
      </c>
      <c r="K125" s="217">
        <v>474.1</v>
      </c>
      <c r="L125" s="217">
        <v>632.79999999999995</v>
      </c>
      <c r="M125" s="217">
        <v>562.9</v>
      </c>
      <c r="N125" s="217">
        <v>845</v>
      </c>
      <c r="O125" s="217">
        <v>562.9</v>
      </c>
      <c r="P125" s="253">
        <f>P15+P34+P78</f>
        <v>562.9</v>
      </c>
      <c r="Q125" s="217">
        <f t="shared" si="24"/>
        <v>2232.7000000000003</v>
      </c>
    </row>
    <row r="126" spans="1:17" s="4" customFormat="1" ht="20.100000000000001" customHeight="1">
      <c r="A126" s="216" t="s">
        <v>29</v>
      </c>
      <c r="B126" s="13">
        <v>1440</v>
      </c>
      <c r="C126" s="217">
        <v>4381.1000000000004</v>
      </c>
      <c r="D126" s="217">
        <f t="shared" si="52"/>
        <v>3125.8</v>
      </c>
      <c r="E126" s="217">
        <v>3247.5</v>
      </c>
      <c r="F126" s="217">
        <f t="shared" si="53"/>
        <v>3125.8</v>
      </c>
      <c r="G126" s="217">
        <f t="shared" si="50"/>
        <v>-121.69999999999982</v>
      </c>
      <c r="H126" s="218">
        <f t="shared" si="40"/>
        <v>96.25250192455735</v>
      </c>
      <c r="I126" s="291"/>
      <c r="J126" s="78">
        <f t="shared" si="51"/>
        <v>3125.8</v>
      </c>
      <c r="K126" s="217">
        <v>970.8</v>
      </c>
      <c r="L126" s="217">
        <v>825.8</v>
      </c>
      <c r="M126" s="217">
        <v>628.5</v>
      </c>
      <c r="N126" s="217">
        <f>710.2-9.5</f>
        <v>700.7</v>
      </c>
      <c r="O126" s="217">
        <f>628.5-9.5</f>
        <v>619</v>
      </c>
      <c r="P126" s="253">
        <f>P17+P18+P19+P20+P21+P22+P30+P31+P38+P39+P43+P47+P48+P51+P52+P79+P80+P81+P82+P84-4</f>
        <v>749.9</v>
      </c>
      <c r="Q126" s="217">
        <f t="shared" si="24"/>
        <v>3165.5</v>
      </c>
    </row>
    <row r="127" spans="1:17" s="4" customFormat="1" ht="17.399999999999999">
      <c r="A127" s="173" t="s">
        <v>50</v>
      </c>
      <c r="B127" s="40">
        <v>1450</v>
      </c>
      <c r="C127" s="224">
        <f>SUM(C120,C123:C126)</f>
        <v>55927</v>
      </c>
      <c r="D127" s="224">
        <f>SUM(D120,D123:D126)</f>
        <v>57476.4</v>
      </c>
      <c r="E127" s="224">
        <f>SUM(E120,E123:E126)</f>
        <v>59073.8</v>
      </c>
      <c r="F127" s="224">
        <f>SUM(F120,F123:F126)</f>
        <v>57476.4</v>
      </c>
      <c r="G127" s="221">
        <f t="shared" si="50"/>
        <v>-1597.4000000000015</v>
      </c>
      <c r="H127" s="222">
        <f t="shared" si="40"/>
        <v>97.295924758522389</v>
      </c>
      <c r="I127" s="298"/>
      <c r="J127" s="78">
        <f t="shared" si="51"/>
        <v>57476.399999999994</v>
      </c>
      <c r="K127" s="224">
        <v>13231.5</v>
      </c>
      <c r="L127" s="224">
        <f>SUM(L120,L123:L126)</f>
        <v>13499.199999999999</v>
      </c>
      <c r="M127" s="224">
        <f>SUM(M120,M123:M126)</f>
        <v>13531</v>
      </c>
      <c r="N127" s="224">
        <f>SUM(N120,N123:N126)</f>
        <v>17214.7</v>
      </c>
      <c r="O127" s="224">
        <f>SUM(O120,O123:O126)</f>
        <v>13521.5</v>
      </c>
      <c r="P127" s="256">
        <f>SUM(P120,P123:P126)</f>
        <v>17132.345399999998</v>
      </c>
      <c r="Q127" s="271">
        <f t="shared" si="24"/>
        <v>57384.545399999995</v>
      </c>
    </row>
    <row r="128" spans="1:17" s="4" customFormat="1" ht="17.399999999999999">
      <c r="A128" s="122"/>
      <c r="B128" s="53"/>
      <c r="C128" s="132"/>
      <c r="D128" s="132"/>
      <c r="E128" s="132"/>
      <c r="F128" s="132"/>
      <c r="G128" s="132"/>
      <c r="H128" s="53"/>
      <c r="I128" s="304"/>
      <c r="K128" s="132"/>
      <c r="L128" s="132"/>
      <c r="M128" s="132"/>
      <c r="N128" s="132"/>
      <c r="O128" s="132"/>
      <c r="P128" s="132"/>
    </row>
    <row r="129" spans="1:17" s="4" customFormat="1" ht="17.399999999999999">
      <c r="A129" s="122"/>
      <c r="B129" s="53"/>
      <c r="C129" s="132"/>
      <c r="D129" s="132"/>
      <c r="E129" s="132"/>
      <c r="F129" s="132"/>
      <c r="G129" s="132"/>
      <c r="H129" s="53"/>
      <c r="I129" s="304"/>
      <c r="K129" s="132"/>
      <c r="L129" s="132"/>
      <c r="M129" s="132"/>
      <c r="N129" s="132"/>
      <c r="O129" s="132"/>
      <c r="P129" s="132"/>
    </row>
    <row r="130" spans="1:17">
      <c r="A130" s="23"/>
    </row>
    <row r="131" spans="1:17" ht="27.75" customHeight="1">
      <c r="A131" s="229" t="s">
        <v>486</v>
      </c>
      <c r="B131" s="167"/>
      <c r="C131" s="230"/>
      <c r="D131" s="230"/>
      <c r="E131" s="231"/>
      <c r="F131" s="210" t="s">
        <v>487</v>
      </c>
      <c r="G131" s="210"/>
      <c r="H131" s="210"/>
      <c r="I131" s="208"/>
      <c r="K131" s="210" t="s">
        <v>487</v>
      </c>
      <c r="L131" s="210" t="s">
        <v>487</v>
      </c>
      <c r="M131" s="210" t="s">
        <v>487</v>
      </c>
      <c r="N131" s="210" t="s">
        <v>487</v>
      </c>
      <c r="O131" s="210" t="s">
        <v>487</v>
      </c>
      <c r="P131" s="210" t="s">
        <v>487</v>
      </c>
    </row>
    <row r="132" spans="1:17" ht="21">
      <c r="A132" s="208" t="s">
        <v>211</v>
      </c>
      <c r="B132" s="168"/>
      <c r="C132" s="208"/>
      <c r="D132" s="208"/>
      <c r="E132" s="170"/>
      <c r="F132" s="209" t="s">
        <v>85</v>
      </c>
      <c r="G132" s="209"/>
      <c r="H132" s="209"/>
      <c r="I132" s="208"/>
      <c r="K132" s="209" t="s">
        <v>85</v>
      </c>
      <c r="L132" s="209" t="s">
        <v>85</v>
      </c>
      <c r="M132" s="209" t="s">
        <v>85</v>
      </c>
      <c r="N132" s="209" t="s">
        <v>85</v>
      </c>
      <c r="O132" s="209" t="s">
        <v>85</v>
      </c>
      <c r="P132" s="209" t="s">
        <v>85</v>
      </c>
    </row>
    <row r="133" spans="1:17">
      <c r="A133" s="23"/>
    </row>
    <row r="134" spans="1:17" hidden="1">
      <c r="A134" s="23"/>
      <c r="C134" s="133">
        <v>20728</v>
      </c>
      <c r="D134" s="133">
        <f>D8+D24+D70</f>
        <v>57526.400000000009</v>
      </c>
      <c r="E134" s="133">
        <f>E8+E24+E70</f>
        <v>59073.799999999988</v>
      </c>
      <c r="F134" s="243">
        <f>F8+F24+F70</f>
        <v>57526.400000000009</v>
      </c>
      <c r="G134" s="133">
        <f>F134-F77</f>
        <v>57476.400000000009</v>
      </c>
      <c r="K134" s="243">
        <v>13234.700000000003</v>
      </c>
      <c r="L134" s="243">
        <f>L8+L24+L70</f>
        <v>13500.699999999999</v>
      </c>
      <c r="M134" s="243">
        <f>M8+M24+M70</f>
        <v>13550.200000000003</v>
      </c>
      <c r="N134" s="243">
        <v>17258</v>
      </c>
      <c r="O134" s="243">
        <v>13550.200000000003</v>
      </c>
      <c r="P134" s="243">
        <v>13550.200000000003</v>
      </c>
    </row>
    <row r="135" spans="1:17" hidden="1">
      <c r="A135" s="23"/>
      <c r="C135" s="133">
        <v>20782</v>
      </c>
      <c r="D135" s="133">
        <f t="shared" ref="D135" si="54">D134+D97+D101</f>
        <v>58161.000000000007</v>
      </c>
      <c r="E135" s="133">
        <f>E134+E97+E101</f>
        <v>59760.099999999991</v>
      </c>
      <c r="F135" s="133">
        <f>F134+F97+F101</f>
        <v>58161.000000000007</v>
      </c>
      <c r="K135" s="133">
        <v>13234.700000000003</v>
      </c>
      <c r="L135" s="133">
        <f>L134+L97+L101</f>
        <v>13669.8</v>
      </c>
      <c r="M135" s="133">
        <f>M134+M97+M101</f>
        <v>14107.500000000002</v>
      </c>
      <c r="N135" s="133">
        <v>17149</v>
      </c>
      <c r="O135" s="133">
        <v>14107.500000000002</v>
      </c>
      <c r="P135" s="133">
        <v>14107.500000000002</v>
      </c>
    </row>
    <row r="136" spans="1:17" hidden="1">
      <c r="A136" s="23"/>
      <c r="C136" s="133">
        <v>54</v>
      </c>
      <c r="D136" s="133">
        <f t="shared" ref="D136:E136" si="55">D135-D134</f>
        <v>634.59999999999854</v>
      </c>
      <c r="E136" s="133">
        <f t="shared" si="55"/>
        <v>686.30000000000291</v>
      </c>
      <c r="F136" s="133">
        <f>F135-F134</f>
        <v>634.59999999999854</v>
      </c>
      <c r="K136" s="133">
        <v>0</v>
      </c>
      <c r="L136" s="133">
        <f>L135-L134</f>
        <v>169.10000000000036</v>
      </c>
      <c r="M136" s="133">
        <f>M135-M134</f>
        <v>557.29999999999927</v>
      </c>
      <c r="N136" s="133">
        <v>-109</v>
      </c>
      <c r="O136" s="133">
        <v>557.29999999999927</v>
      </c>
      <c r="P136" s="133">
        <v>557.29999999999927</v>
      </c>
    </row>
    <row r="137" spans="1:17" hidden="1">
      <c r="A137" s="23"/>
      <c r="C137" s="133" t="s">
        <v>513</v>
      </c>
      <c r="D137" s="133" t="s">
        <v>513</v>
      </c>
      <c r="E137" s="133" t="s">
        <v>513</v>
      </c>
      <c r="F137" s="137" t="s">
        <v>513</v>
      </c>
      <c r="K137" s="137" t="s">
        <v>513</v>
      </c>
      <c r="L137" s="137" t="s">
        <v>513</v>
      </c>
      <c r="M137" s="137" t="s">
        <v>513</v>
      </c>
      <c r="N137" s="137" t="s">
        <v>513</v>
      </c>
      <c r="O137" s="137" t="s">
        <v>513</v>
      </c>
      <c r="P137" s="137" t="s">
        <v>513</v>
      </c>
    </row>
    <row r="138" spans="1:17" hidden="1">
      <c r="A138" s="23"/>
      <c r="E138" s="133" t="s">
        <v>437</v>
      </c>
    </row>
    <row r="139" spans="1:17" hidden="1">
      <c r="A139" s="23"/>
      <c r="C139" s="133">
        <v>20782</v>
      </c>
      <c r="D139" s="133">
        <f t="shared" ref="D139:F139" si="56">D134+D136</f>
        <v>58161.000000000007</v>
      </c>
      <c r="E139" s="133">
        <f t="shared" si="56"/>
        <v>59760.099999999991</v>
      </c>
      <c r="F139" s="133">
        <f t="shared" si="56"/>
        <v>58161.000000000007</v>
      </c>
      <c r="K139" s="133">
        <v>13234.700000000003</v>
      </c>
      <c r="L139" s="133">
        <f t="shared" ref="L139:M139" si="57">L134+L136</f>
        <v>13669.8</v>
      </c>
      <c r="M139" s="133">
        <f t="shared" si="57"/>
        <v>14107.500000000002</v>
      </c>
      <c r="N139" s="133">
        <v>17149</v>
      </c>
      <c r="O139" s="133">
        <v>14107.500000000002</v>
      </c>
      <c r="P139" s="133">
        <v>14107.500000000002</v>
      </c>
    </row>
    <row r="140" spans="1:17" hidden="1">
      <c r="A140" s="23"/>
    </row>
    <row r="141" spans="1:17" hidden="1">
      <c r="A141" s="23"/>
    </row>
    <row r="142" spans="1:17" hidden="1">
      <c r="A142" s="23"/>
      <c r="F142" s="133">
        <f>F8+F24+F70-F77</f>
        <v>57476.400000000009</v>
      </c>
      <c r="K142" s="133">
        <v>13231.500000000002</v>
      </c>
      <c r="L142" s="133">
        <f>L8+L24+L70-L77</f>
        <v>13499.199999999999</v>
      </c>
      <c r="M142" s="133">
        <f>M8+M24+M70-M77</f>
        <v>13521.500000000002</v>
      </c>
      <c r="N142" s="133">
        <v>17241.400000000001</v>
      </c>
      <c r="O142" s="133">
        <v>13521.500000000002</v>
      </c>
      <c r="P142" s="133">
        <v>13521.500000000002</v>
      </c>
    </row>
    <row r="143" spans="1:17">
      <c r="A143" s="23"/>
    </row>
    <row r="144" spans="1:17">
      <c r="A144" s="23"/>
      <c r="C144" s="133">
        <f t="shared" ref="C144" si="58">C8+C24+C76-C77</f>
        <v>55926.999999999993</v>
      </c>
      <c r="D144" s="250">
        <f>D8+D24+D76-D77-D86+L86</f>
        <v>57476.400000000009</v>
      </c>
      <c r="E144" s="133">
        <f>E8+E24+E76</f>
        <v>59073.799999999988</v>
      </c>
      <c r="F144" s="250">
        <f>F8+F24+F76-F77-F86</f>
        <v>57476.400000000009</v>
      </c>
      <c r="K144" s="133">
        <v>13231.500000000002</v>
      </c>
      <c r="L144" s="250">
        <f>L8+L24+L76-L77-L86</f>
        <v>13499.199999999999</v>
      </c>
      <c r="M144" s="250">
        <f>M8+M24+M76-M77-M86</f>
        <v>13521.500000000002</v>
      </c>
      <c r="N144" s="250">
        <v>17224.2</v>
      </c>
      <c r="O144" s="250">
        <f>O8+O24+O76-O77-O86</f>
        <v>13521.500000000002</v>
      </c>
      <c r="P144" s="250">
        <f>P8+P24+P76-P77-P86</f>
        <v>17132.345400000002</v>
      </c>
      <c r="Q144" s="250">
        <f>Q8+Q24+Q76-Q77-Q86</f>
        <v>57384.54540000001</v>
      </c>
    </row>
    <row r="145" spans="1:17">
      <c r="A145" s="23"/>
      <c r="C145" s="133">
        <f>C127-C144</f>
        <v>0</v>
      </c>
      <c r="D145" s="133">
        <f>D127-D144</f>
        <v>0</v>
      </c>
      <c r="E145" s="133">
        <f>E127-E144</f>
        <v>0</v>
      </c>
      <c r="F145" s="133">
        <f>F127-F144</f>
        <v>0</v>
      </c>
      <c r="M145" s="133">
        <f>M127-M144</f>
        <v>9.499999999998181</v>
      </c>
      <c r="N145" s="133">
        <v>0</v>
      </c>
      <c r="O145" s="133">
        <f>O127-O144</f>
        <v>0</v>
      </c>
      <c r="P145" s="133">
        <f>P127-P144</f>
        <v>0</v>
      </c>
      <c r="Q145" s="133">
        <f>Q127-Q144</f>
        <v>0</v>
      </c>
    </row>
    <row r="146" spans="1:17">
      <c r="A146" s="23"/>
    </row>
    <row r="147" spans="1:17">
      <c r="A147" s="23"/>
      <c r="E147" s="133" t="s">
        <v>574</v>
      </c>
    </row>
    <row r="148" spans="1:17">
      <c r="A148" s="23"/>
    </row>
    <row r="149" spans="1:17">
      <c r="A149" s="23"/>
    </row>
    <row r="150" spans="1:17">
      <c r="A150" s="23"/>
    </row>
    <row r="151" spans="1:17">
      <c r="A151" s="23"/>
    </row>
    <row r="152" spans="1:17">
      <c r="A152" s="23"/>
    </row>
    <row r="153" spans="1:17">
      <c r="A153" s="23"/>
    </row>
    <row r="154" spans="1:17">
      <c r="A154" s="23"/>
    </row>
    <row r="155" spans="1:17">
      <c r="A155" s="23"/>
    </row>
    <row r="156" spans="1:17">
      <c r="A156" s="23"/>
    </row>
    <row r="157" spans="1:17">
      <c r="A157" s="23"/>
    </row>
    <row r="158" spans="1:17">
      <c r="A158" s="23"/>
    </row>
    <row r="159" spans="1:17">
      <c r="A159" s="23"/>
    </row>
    <row r="160" spans="1:17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  <row r="176" spans="1:1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</sheetData>
  <mergeCells count="2">
    <mergeCell ref="C3:D3"/>
    <mergeCell ref="E3:H3"/>
  </mergeCells>
  <phoneticPr fontId="0" type="noConversion"/>
  <pageMargins left="0.39370078740157483" right="0.19685039370078741" top="0.39370078740157483" bottom="0.39370078740157483" header="0.19685039370078741" footer="0.11811023622047245"/>
  <pageSetup paperSize="9" scale="50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120:H127 G105 G99:G100 G55:G60 G97 G87:G93 H113 G115:G117 H8:H16 G9:G16 G23:H25 H61 G71:G76 H70 H87 G29 G26:G28 G31:H34 G30 G38:H38 G35:G37 G43 G39:G42 H64 H76 H92 H94 H100 H105 H108:H109 E118:H118 G46:H46 G44 G4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199"/>
  <sheetViews>
    <sheetView zoomScale="75" zoomScaleNormal="75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5" sqref="V15"/>
    </sheetView>
  </sheetViews>
  <sheetFormatPr defaultColWidth="9.109375" defaultRowHeight="18"/>
  <cols>
    <col min="1" max="1" width="86.88671875" style="35" customWidth="1"/>
    <col min="2" max="2" width="15.33203125" style="38" customWidth="1"/>
    <col min="3" max="7" width="18.6640625" style="152" customWidth="1"/>
    <col min="8" max="8" width="15" style="38" customWidth="1"/>
    <col min="9" max="9" width="10" style="35" customWidth="1"/>
    <col min="10" max="13" width="18.6640625" style="152" hidden="1" customWidth="1"/>
    <col min="14" max="14" width="0" style="35" hidden="1" customWidth="1"/>
    <col min="15" max="15" width="11.88671875" style="35" customWidth="1"/>
    <col min="16" max="16384" width="9.109375" style="35"/>
  </cols>
  <sheetData>
    <row r="1" spans="1:13">
      <c r="A1" s="345" t="s">
        <v>117</v>
      </c>
      <c r="B1" s="345"/>
      <c r="C1" s="345"/>
      <c r="D1" s="345"/>
      <c r="E1" s="345"/>
      <c r="F1" s="345"/>
      <c r="G1" s="345"/>
      <c r="H1" s="345"/>
      <c r="J1" s="35"/>
      <c r="K1" s="35"/>
      <c r="L1" s="35"/>
      <c r="M1" s="35"/>
    </row>
    <row r="2" spans="1:13">
      <c r="A2" s="345"/>
      <c r="B2" s="345"/>
      <c r="C2" s="345"/>
      <c r="D2" s="345"/>
      <c r="E2" s="345"/>
      <c r="F2" s="345"/>
      <c r="G2" s="345"/>
      <c r="H2" s="345"/>
      <c r="J2" s="35"/>
      <c r="K2" s="35"/>
      <c r="L2" s="35"/>
      <c r="M2" s="35"/>
    </row>
    <row r="3" spans="1:13" ht="38.25" customHeight="1">
      <c r="A3" s="346" t="s">
        <v>191</v>
      </c>
      <c r="B3" s="347" t="s">
        <v>18</v>
      </c>
      <c r="C3" s="330" t="s">
        <v>333</v>
      </c>
      <c r="D3" s="330"/>
      <c r="E3" s="331" t="s">
        <v>577</v>
      </c>
      <c r="F3" s="331"/>
      <c r="G3" s="331"/>
      <c r="H3" s="331"/>
      <c r="J3" s="183" t="s">
        <v>558</v>
      </c>
      <c r="K3" s="183" t="s">
        <v>559</v>
      </c>
      <c r="L3" s="183" t="s">
        <v>560</v>
      </c>
      <c r="M3" s="183" t="s">
        <v>561</v>
      </c>
    </row>
    <row r="4" spans="1:13" ht="39" customHeight="1">
      <c r="A4" s="346"/>
      <c r="B4" s="347"/>
      <c r="C4" s="121" t="s">
        <v>178</v>
      </c>
      <c r="D4" s="121" t="s">
        <v>179</v>
      </c>
      <c r="E4" s="121" t="s">
        <v>180</v>
      </c>
      <c r="F4" s="121" t="s">
        <v>167</v>
      </c>
      <c r="G4" s="139" t="s">
        <v>186</v>
      </c>
      <c r="H4" s="55" t="s">
        <v>187</v>
      </c>
      <c r="J4" s="121" t="s">
        <v>167</v>
      </c>
      <c r="K4" s="121" t="s">
        <v>167</v>
      </c>
      <c r="L4" s="121" t="s">
        <v>167</v>
      </c>
      <c r="M4" s="121" t="s">
        <v>167</v>
      </c>
    </row>
    <row r="5" spans="1:13" s="161" customFormat="1">
      <c r="A5" s="159">
        <v>1</v>
      </c>
      <c r="B5" s="160">
        <v>2</v>
      </c>
      <c r="C5" s="160">
        <v>6</v>
      </c>
      <c r="D5" s="160">
        <v>6</v>
      </c>
      <c r="E5" s="159">
        <v>5</v>
      </c>
      <c r="F5" s="160">
        <v>6</v>
      </c>
      <c r="G5" s="159">
        <v>7</v>
      </c>
      <c r="H5" s="160">
        <v>8</v>
      </c>
      <c r="J5" s="160">
        <v>6</v>
      </c>
      <c r="K5" s="160">
        <v>6</v>
      </c>
      <c r="L5" s="160">
        <v>6</v>
      </c>
      <c r="M5" s="160">
        <v>6</v>
      </c>
    </row>
    <row r="6" spans="1:13" ht="24.9" customHeight="1">
      <c r="A6" s="232" t="s">
        <v>116</v>
      </c>
      <c r="B6" s="232"/>
      <c r="C6" s="232"/>
      <c r="D6" s="232"/>
      <c r="E6" s="232"/>
      <c r="F6" s="232"/>
      <c r="G6" s="232"/>
      <c r="H6" s="232"/>
      <c r="J6" s="232"/>
      <c r="K6" s="232"/>
      <c r="L6" s="232"/>
      <c r="M6" s="232"/>
    </row>
    <row r="7" spans="1:13" ht="24.9" customHeight="1">
      <c r="A7" s="232" t="s">
        <v>283</v>
      </c>
      <c r="B7" s="207">
        <v>1200</v>
      </c>
      <c r="C7" s="233">
        <v>-620.1</v>
      </c>
      <c r="D7" s="234">
        <f>'Осн. фін. пок.'!D66</f>
        <v>3351.9999999999936</v>
      </c>
      <c r="E7" s="234">
        <f>'Осн. фін. пок.'!E66</f>
        <v>1602.000000000008</v>
      </c>
      <c r="F7" s="234">
        <f>'Осн. фін. пок.'!F66</f>
        <v>3351.9999999999936</v>
      </c>
      <c r="G7" s="217">
        <f t="shared" ref="G7:G19" si="0">F7-E7</f>
        <v>1749.9999999999857</v>
      </c>
      <c r="H7" s="237">
        <f>(F7/E7)*100</f>
        <v>209.23845193507969</v>
      </c>
      <c r="J7" s="233">
        <v>301.49999999999795</v>
      </c>
      <c r="K7" s="233">
        <v>1020.9999999999998</v>
      </c>
      <c r="L7" s="234">
        <v>2536.4999999999991</v>
      </c>
      <c r="M7" s="234">
        <v>-507</v>
      </c>
    </row>
    <row r="8" spans="1:13" ht="27.75" customHeight="1">
      <c r="A8" s="235" t="s">
        <v>52</v>
      </c>
      <c r="B8" s="5">
        <v>2000</v>
      </c>
      <c r="C8" s="217">
        <v>-5437</v>
      </c>
      <c r="D8" s="236">
        <f>F8</f>
        <v>-6311</v>
      </c>
      <c r="E8" s="217">
        <v>-5970.6</v>
      </c>
      <c r="F8" s="217">
        <f>J8</f>
        <v>-6311</v>
      </c>
      <c r="G8" s="217">
        <f t="shared" si="0"/>
        <v>-340.39999999999964</v>
      </c>
      <c r="H8" s="237">
        <f>(F8/E8)*100</f>
        <v>105.70126955414865</v>
      </c>
      <c r="J8" s="217">
        <v>-6311</v>
      </c>
      <c r="K8" s="217">
        <v>-6170.5</v>
      </c>
      <c r="L8" s="217">
        <v>-5149</v>
      </c>
      <c r="M8" s="217">
        <v>-2613</v>
      </c>
    </row>
    <row r="9" spans="1:13">
      <c r="A9" s="235" t="s">
        <v>255</v>
      </c>
      <c r="B9" s="5">
        <v>2010</v>
      </c>
      <c r="C9" s="219">
        <f>SUM(C10:C11)</f>
        <v>0</v>
      </c>
      <c r="D9" s="219">
        <f>D14+D17</f>
        <v>-2676</v>
      </c>
      <c r="E9" s="219">
        <f>SUM(E10:E11)</f>
        <v>0</v>
      </c>
      <c r="F9" s="219">
        <f>F14+F17</f>
        <v>-2676</v>
      </c>
      <c r="G9" s="217"/>
      <c r="H9" s="237"/>
      <c r="J9" s="219">
        <v>0</v>
      </c>
      <c r="K9" s="219">
        <v>0</v>
      </c>
      <c r="L9" s="219">
        <v>0</v>
      </c>
      <c r="M9" s="219">
        <f>M14+M17</f>
        <v>-2676</v>
      </c>
    </row>
    <row r="10" spans="1:13" ht="27.75" customHeight="1">
      <c r="A10" s="216" t="s">
        <v>141</v>
      </c>
      <c r="B10" s="5">
        <v>2011</v>
      </c>
      <c r="C10" s="217" t="s">
        <v>226</v>
      </c>
      <c r="D10" s="217" t="s">
        <v>226</v>
      </c>
      <c r="E10" s="217" t="s">
        <v>226</v>
      </c>
      <c r="F10" s="217" t="s">
        <v>226</v>
      </c>
      <c r="G10" s="217"/>
      <c r="H10" s="237"/>
      <c r="J10" s="217" t="s">
        <v>226</v>
      </c>
      <c r="K10" s="217" t="s">
        <v>226</v>
      </c>
      <c r="L10" s="217" t="s">
        <v>226</v>
      </c>
      <c r="M10" s="217" t="s">
        <v>226</v>
      </c>
    </row>
    <row r="11" spans="1:13" ht="42.75" customHeight="1">
      <c r="A11" s="7" t="s">
        <v>373</v>
      </c>
      <c r="B11" s="5">
        <v>2012</v>
      </c>
      <c r="C11" s="217" t="s">
        <v>226</v>
      </c>
      <c r="D11" s="217" t="s">
        <v>226</v>
      </c>
      <c r="E11" s="217" t="s">
        <v>226</v>
      </c>
      <c r="F11" s="217" t="s">
        <v>226</v>
      </c>
      <c r="G11" s="217"/>
      <c r="H11" s="237"/>
      <c r="J11" s="217" t="s">
        <v>226</v>
      </c>
      <c r="K11" s="217" t="s">
        <v>226</v>
      </c>
      <c r="L11" s="217" t="s">
        <v>226</v>
      </c>
      <c r="M11" s="217" t="s">
        <v>226</v>
      </c>
    </row>
    <row r="12" spans="1:13" ht="20.100000000000001" customHeight="1">
      <c r="A12" s="216" t="s">
        <v>125</v>
      </c>
      <c r="B12" s="5" t="s">
        <v>148</v>
      </c>
      <c r="C12" s="217" t="s">
        <v>226</v>
      </c>
      <c r="D12" s="217" t="s">
        <v>226</v>
      </c>
      <c r="E12" s="217" t="s">
        <v>226</v>
      </c>
      <c r="F12" s="217" t="s">
        <v>226</v>
      </c>
      <c r="G12" s="217"/>
      <c r="H12" s="237"/>
      <c r="J12" s="217" t="s">
        <v>226</v>
      </c>
      <c r="K12" s="217" t="s">
        <v>226</v>
      </c>
      <c r="L12" s="217" t="s">
        <v>226</v>
      </c>
      <c r="M12" s="217" t="s">
        <v>226</v>
      </c>
    </row>
    <row r="13" spans="1:13" ht="20.100000000000001" customHeight="1">
      <c r="A13" s="216" t="s">
        <v>134</v>
      </c>
      <c r="B13" s="5">
        <v>2020</v>
      </c>
      <c r="C13" s="217"/>
      <c r="D13" s="217"/>
      <c r="E13" s="217"/>
      <c r="F13" s="217"/>
      <c r="G13" s="217"/>
      <c r="H13" s="237"/>
      <c r="J13" s="217"/>
      <c r="K13" s="217"/>
      <c r="L13" s="217"/>
      <c r="M13" s="217"/>
    </row>
    <row r="14" spans="1:13" s="37" customFormat="1" ht="20.100000000000001" customHeight="1">
      <c r="A14" s="235" t="s">
        <v>62</v>
      </c>
      <c r="B14" s="5">
        <v>2030</v>
      </c>
      <c r="C14" s="217" t="s">
        <v>226</v>
      </c>
      <c r="D14" s="217">
        <f>F14</f>
        <v>-2514</v>
      </c>
      <c r="E14" s="217" t="s">
        <v>226</v>
      </c>
      <c r="F14" s="217">
        <v>-2514</v>
      </c>
      <c r="G14" s="217"/>
      <c r="H14" s="237"/>
      <c r="J14" s="217" t="s">
        <v>226</v>
      </c>
      <c r="K14" s="217" t="s">
        <v>226</v>
      </c>
      <c r="L14" s="217" t="s">
        <v>226</v>
      </c>
      <c r="M14" s="217">
        <v>-2514</v>
      </c>
    </row>
    <row r="15" spans="1:13" ht="20.100000000000001" customHeight="1">
      <c r="A15" s="235" t="s">
        <v>109</v>
      </c>
      <c r="B15" s="5">
        <v>2031</v>
      </c>
      <c r="C15" s="217" t="s">
        <v>226</v>
      </c>
      <c r="D15" s="217" t="s">
        <v>226</v>
      </c>
      <c r="E15" s="217" t="s">
        <v>226</v>
      </c>
      <c r="F15" s="217" t="s">
        <v>226</v>
      </c>
      <c r="G15" s="217"/>
      <c r="H15" s="237"/>
      <c r="J15" s="217" t="s">
        <v>226</v>
      </c>
      <c r="K15" s="217" t="s">
        <v>226</v>
      </c>
      <c r="L15" s="217" t="s">
        <v>226</v>
      </c>
      <c r="M15" s="217" t="s">
        <v>226</v>
      </c>
    </row>
    <row r="16" spans="1:13" ht="20.100000000000001" customHeight="1">
      <c r="A16" s="235" t="s">
        <v>27</v>
      </c>
      <c r="B16" s="5">
        <v>2040</v>
      </c>
      <c r="C16" s="217" t="s">
        <v>226</v>
      </c>
      <c r="D16" s="217" t="s">
        <v>226</v>
      </c>
      <c r="E16" s="217" t="s">
        <v>226</v>
      </c>
      <c r="F16" s="217" t="s">
        <v>226</v>
      </c>
      <c r="G16" s="217"/>
      <c r="H16" s="237"/>
      <c r="J16" s="217" t="s">
        <v>226</v>
      </c>
      <c r="K16" s="217" t="s">
        <v>226</v>
      </c>
      <c r="L16" s="217" t="s">
        <v>226</v>
      </c>
      <c r="M16" s="217" t="s">
        <v>226</v>
      </c>
    </row>
    <row r="17" spans="1:13" ht="20.100000000000001" customHeight="1">
      <c r="A17" s="235" t="s">
        <v>98</v>
      </c>
      <c r="B17" s="5">
        <v>2050</v>
      </c>
      <c r="C17" s="217">
        <v>-253.9</v>
      </c>
      <c r="D17" s="217">
        <f>F17</f>
        <v>-162</v>
      </c>
      <c r="E17" s="217" t="s">
        <v>226</v>
      </c>
      <c r="F17" s="217">
        <v>-162</v>
      </c>
      <c r="G17" s="217"/>
      <c r="H17" s="237"/>
      <c r="J17" s="217" t="s">
        <v>226</v>
      </c>
      <c r="K17" s="217" t="s">
        <v>226</v>
      </c>
      <c r="L17" s="217" t="s">
        <v>226</v>
      </c>
      <c r="M17" s="217">
        <v>-162</v>
      </c>
    </row>
    <row r="18" spans="1:13" ht="20.100000000000001" customHeight="1">
      <c r="A18" s="235" t="s">
        <v>99</v>
      </c>
      <c r="B18" s="5">
        <v>2060</v>
      </c>
      <c r="C18" s="217" t="s">
        <v>226</v>
      </c>
      <c r="D18" s="217" t="s">
        <v>226</v>
      </c>
      <c r="E18" s="217" t="s">
        <v>226</v>
      </c>
      <c r="F18" s="217" t="s">
        <v>226</v>
      </c>
      <c r="G18" s="217"/>
      <c r="H18" s="237"/>
      <c r="J18" s="217" t="s">
        <v>226</v>
      </c>
      <c r="K18" s="217" t="s">
        <v>226</v>
      </c>
      <c r="L18" s="217" t="s">
        <v>226</v>
      </c>
      <c r="M18" s="217" t="s">
        <v>226</v>
      </c>
    </row>
    <row r="19" spans="1:13" ht="27.45" customHeight="1">
      <c r="A19" s="235" t="s">
        <v>53</v>
      </c>
      <c r="B19" s="5">
        <v>2070</v>
      </c>
      <c r="C19" s="238">
        <v>-6311</v>
      </c>
      <c r="D19" s="238">
        <f>D7+D8+D9</f>
        <v>-5635.0000000000064</v>
      </c>
      <c r="E19" s="238">
        <f>SUM(E8,E9,E13,E14,E16,E17,E18)+'I. Фін результат'!E105</f>
        <v>-4368.5999999999922</v>
      </c>
      <c r="F19" s="238">
        <f>F7+F8+F9</f>
        <v>-5635.0000000000064</v>
      </c>
      <c r="G19" s="217">
        <f t="shared" si="0"/>
        <v>-1266.4000000000142</v>
      </c>
      <c r="H19" s="237">
        <f t="shared" ref="H19:H44" si="1">(F19/E19)*100</f>
        <v>128.9886920294835</v>
      </c>
      <c r="J19" s="238">
        <v>-6170</v>
      </c>
      <c r="K19" s="251">
        <v>-5149.5</v>
      </c>
      <c r="L19" s="238">
        <v>-2612.5000000000009</v>
      </c>
      <c r="M19" s="238">
        <f>M7+M8+M9</f>
        <v>-5796</v>
      </c>
    </row>
    <row r="20" spans="1:13" ht="24.9" customHeight="1">
      <c r="A20" s="232" t="s">
        <v>359</v>
      </c>
      <c r="B20" s="232"/>
      <c r="C20" s="232"/>
      <c r="D20" s="232"/>
      <c r="E20" s="232"/>
      <c r="F20" s="232"/>
      <c r="G20" s="232"/>
      <c r="H20" s="232"/>
      <c r="J20" s="232"/>
      <c r="K20" s="232"/>
      <c r="L20" s="232"/>
      <c r="M20" s="232"/>
    </row>
    <row r="21" spans="1:13">
      <c r="A21" s="232" t="s">
        <v>351</v>
      </c>
      <c r="B21" s="211">
        <v>2110</v>
      </c>
      <c r="C21" s="226">
        <f>SUM(C22:C30)</f>
        <v>7611.6</v>
      </c>
      <c r="D21" s="226">
        <f>SUM(D22:D30)</f>
        <v>8580.7999999999993</v>
      </c>
      <c r="E21" s="226">
        <f>SUM(E22:E30)</f>
        <v>8788.5999999999985</v>
      </c>
      <c r="F21" s="226">
        <f>SUM(F22:F30)</f>
        <v>8580.7999999999993</v>
      </c>
      <c r="G21" s="221">
        <f t="shared" ref="G21:G23" si="2">F21-E21</f>
        <v>-207.79999999999927</v>
      </c>
      <c r="H21" s="222">
        <f t="shared" si="1"/>
        <v>97.635573356393508</v>
      </c>
      <c r="J21" s="226">
        <v>1847.7</v>
      </c>
      <c r="K21" s="226">
        <v>2032.5</v>
      </c>
      <c r="L21" s="226">
        <v>2508.1000000000004</v>
      </c>
      <c r="M21" s="226">
        <f>SUM(M22:M30)</f>
        <v>2192.5</v>
      </c>
    </row>
    <row r="22" spans="1:13">
      <c r="A22" s="216" t="s">
        <v>262</v>
      </c>
      <c r="B22" s="5">
        <v>2111</v>
      </c>
      <c r="C22" s="217">
        <v>185.3</v>
      </c>
      <c r="D22" s="217">
        <f>F22</f>
        <v>557</v>
      </c>
      <c r="E22" s="217">
        <v>686.3</v>
      </c>
      <c r="F22" s="217">
        <f>J22+K22+L22+M22</f>
        <v>557</v>
      </c>
      <c r="G22" s="217">
        <f t="shared" si="2"/>
        <v>-129.29999999999995</v>
      </c>
      <c r="H22" s="218">
        <f t="shared" si="1"/>
        <v>81.159842634416449</v>
      </c>
      <c r="J22" s="217">
        <v>0</v>
      </c>
      <c r="K22" s="217">
        <v>0</v>
      </c>
      <c r="L22" s="217">
        <v>557</v>
      </c>
      <c r="M22" s="217">
        <v>0</v>
      </c>
    </row>
    <row r="23" spans="1:13">
      <c r="A23" s="216" t="s">
        <v>352</v>
      </c>
      <c r="B23" s="5">
        <v>2112</v>
      </c>
      <c r="C23" s="217">
        <v>7088.8</v>
      </c>
      <c r="D23" s="217">
        <f>F23</f>
        <v>7638.0999999999995</v>
      </c>
      <c r="E23" s="217">
        <v>7706</v>
      </c>
      <c r="F23" s="217">
        <f>J23+K23+L23+M23</f>
        <v>7638.0999999999995</v>
      </c>
      <c r="G23" s="217">
        <f t="shared" si="2"/>
        <v>-67.900000000000546</v>
      </c>
      <c r="H23" s="218">
        <f t="shared" si="1"/>
        <v>99.118868414222675</v>
      </c>
      <c r="J23" s="217">
        <v>1758</v>
      </c>
      <c r="K23" s="217">
        <v>1941.6</v>
      </c>
      <c r="L23" s="217">
        <v>1849.8</v>
      </c>
      <c r="M23" s="217">
        <v>2088.6999999999998</v>
      </c>
    </row>
    <row r="24" spans="1:13" s="37" customFormat="1" ht="18.75" customHeight="1">
      <c r="A24" s="235" t="s">
        <v>353</v>
      </c>
      <c r="B24" s="42">
        <v>2113</v>
      </c>
      <c r="C24" s="217"/>
      <c r="D24" s="217"/>
      <c r="E24" s="217"/>
      <c r="F24" s="217"/>
      <c r="G24" s="217"/>
      <c r="H24" s="218"/>
      <c r="J24" s="217"/>
      <c r="K24" s="217"/>
      <c r="L24" s="217"/>
      <c r="M24" s="217"/>
    </row>
    <row r="25" spans="1:13">
      <c r="A25" s="235" t="s">
        <v>72</v>
      </c>
      <c r="B25" s="42">
        <v>2114</v>
      </c>
      <c r="C25" s="217"/>
      <c r="D25" s="217"/>
      <c r="E25" s="217"/>
      <c r="F25" s="217"/>
      <c r="G25" s="217"/>
      <c r="H25" s="218"/>
      <c r="J25" s="217"/>
      <c r="K25" s="217"/>
      <c r="L25" s="217"/>
      <c r="M25" s="217"/>
    </row>
    <row r="26" spans="1:13">
      <c r="A26" s="235" t="s">
        <v>354</v>
      </c>
      <c r="B26" s="42">
        <v>2115</v>
      </c>
      <c r="C26" s="217"/>
      <c r="D26" s="217"/>
      <c r="E26" s="217"/>
      <c r="F26" s="217"/>
      <c r="G26" s="217"/>
      <c r="H26" s="218"/>
      <c r="J26" s="217"/>
      <c r="K26" s="217"/>
      <c r="L26" s="217"/>
      <c r="M26" s="217"/>
    </row>
    <row r="27" spans="1:13" s="39" customFormat="1">
      <c r="A27" s="235" t="s">
        <v>88</v>
      </c>
      <c r="B27" s="42">
        <v>2116</v>
      </c>
      <c r="C27" s="217"/>
      <c r="D27" s="217"/>
      <c r="E27" s="217"/>
      <c r="F27" s="217"/>
      <c r="G27" s="217"/>
      <c r="H27" s="218"/>
      <c r="I27" s="35"/>
      <c r="J27" s="217"/>
      <c r="K27" s="217"/>
      <c r="L27" s="217"/>
      <c r="M27" s="217"/>
    </row>
    <row r="28" spans="1:13" ht="20.100000000000001" customHeight="1">
      <c r="A28" s="235" t="s">
        <v>374</v>
      </c>
      <c r="B28" s="42">
        <v>2117</v>
      </c>
      <c r="C28" s="217"/>
      <c r="D28" s="217"/>
      <c r="E28" s="217"/>
      <c r="F28" s="217"/>
      <c r="G28" s="217"/>
      <c r="H28" s="218"/>
      <c r="J28" s="217"/>
      <c r="K28" s="217"/>
      <c r="L28" s="217"/>
      <c r="M28" s="217"/>
    </row>
    <row r="29" spans="1:13" ht="20.100000000000001" customHeight="1">
      <c r="A29" s="235" t="s">
        <v>71</v>
      </c>
      <c r="B29" s="42">
        <v>2118</v>
      </c>
      <c r="C29" s="217"/>
      <c r="D29" s="217"/>
      <c r="E29" s="217"/>
      <c r="F29" s="217"/>
      <c r="G29" s="217"/>
      <c r="H29" s="218"/>
      <c r="J29" s="217"/>
      <c r="K29" s="217"/>
      <c r="L29" s="217"/>
      <c r="M29" s="217"/>
    </row>
    <row r="30" spans="1:13" ht="20.100000000000001" customHeight="1">
      <c r="A30" s="235" t="s">
        <v>468</v>
      </c>
      <c r="B30" s="42">
        <v>2119</v>
      </c>
      <c r="C30" s="217">
        <v>337.5</v>
      </c>
      <c r="D30" s="217">
        <f>F30</f>
        <v>385.70000000000005</v>
      </c>
      <c r="E30" s="217">
        <v>396.3</v>
      </c>
      <c r="F30" s="217">
        <f>J30+K30+L30+M30</f>
        <v>385.70000000000005</v>
      </c>
      <c r="G30" s="217">
        <f t="shared" ref="G30:G44" si="3">F30-E30</f>
        <v>-10.599999999999966</v>
      </c>
      <c r="H30" s="218">
        <f t="shared" si="1"/>
        <v>97.325258642442606</v>
      </c>
      <c r="J30" s="217">
        <v>89.7</v>
      </c>
      <c r="K30" s="217">
        <v>90.9</v>
      </c>
      <c r="L30" s="217">
        <v>101.3</v>
      </c>
      <c r="M30" s="217">
        <v>103.8</v>
      </c>
    </row>
    <row r="31" spans="1:13">
      <c r="A31" s="232" t="s">
        <v>361</v>
      </c>
      <c r="B31" s="207">
        <v>2120</v>
      </c>
      <c r="C31" s="226">
        <f>SUM(C32:C35)</f>
        <v>5845.4</v>
      </c>
      <c r="D31" s="226">
        <f>SUM(D32:D35)</f>
        <v>5679.1</v>
      </c>
      <c r="E31" s="226">
        <f>SUM(E32:E35)</f>
        <v>5679</v>
      </c>
      <c r="F31" s="226">
        <f>SUM(F32:F35)</f>
        <v>5679.1</v>
      </c>
      <c r="G31" s="221">
        <f t="shared" si="3"/>
        <v>0.1000000000003638</v>
      </c>
      <c r="H31" s="222">
        <f t="shared" si="1"/>
        <v>100.00176087339321</v>
      </c>
      <c r="J31" s="226">
        <v>1562</v>
      </c>
      <c r="K31" s="226">
        <v>1572.9</v>
      </c>
      <c r="L31" s="226">
        <v>1246.5</v>
      </c>
      <c r="M31" s="226">
        <f>SUM(M32:M35)</f>
        <v>1297.7</v>
      </c>
    </row>
    <row r="32" spans="1:13" ht="20.100000000000001" customHeight="1">
      <c r="A32" s="235" t="s">
        <v>71</v>
      </c>
      <c r="B32" s="42">
        <v>2121</v>
      </c>
      <c r="C32" s="217">
        <v>4038.4</v>
      </c>
      <c r="D32" s="217">
        <f>F32</f>
        <v>4619.5</v>
      </c>
      <c r="E32" s="217">
        <v>4753.8999999999996</v>
      </c>
      <c r="F32" s="217">
        <f t="shared" ref="F32:F33" si="4">J32+K32+L32+M32</f>
        <v>4619.5</v>
      </c>
      <c r="G32" s="217">
        <f>F32-E32</f>
        <v>-134.39999999999964</v>
      </c>
      <c r="H32" s="218">
        <f t="shared" si="1"/>
        <v>97.172847556742894</v>
      </c>
      <c r="J32" s="217">
        <v>1076.5999999999999</v>
      </c>
      <c r="K32" s="217">
        <v>1087.7</v>
      </c>
      <c r="L32" s="217">
        <v>1202</v>
      </c>
      <c r="M32" s="217">
        <v>1253.2</v>
      </c>
    </row>
    <row r="33" spans="1:16" ht="20.100000000000001" customHeight="1">
      <c r="A33" s="235" t="s">
        <v>362</v>
      </c>
      <c r="B33" s="42">
        <v>2122</v>
      </c>
      <c r="C33" s="217">
        <v>1807</v>
      </c>
      <c r="D33" s="217">
        <f>F33</f>
        <v>1059.5999999999999</v>
      </c>
      <c r="E33" s="217">
        <v>925.1</v>
      </c>
      <c r="F33" s="217">
        <f t="shared" si="4"/>
        <v>1059.5999999999999</v>
      </c>
      <c r="G33" s="217">
        <f>F33-E33</f>
        <v>134.49999999999989</v>
      </c>
      <c r="H33" s="218">
        <f t="shared" si="1"/>
        <v>114.53896876013403</v>
      </c>
      <c r="J33" s="217">
        <v>485.4</v>
      </c>
      <c r="K33" s="217">
        <v>485.2</v>
      </c>
      <c r="L33" s="217">
        <v>44.5</v>
      </c>
      <c r="M33" s="217">
        <v>44.5</v>
      </c>
    </row>
    <row r="34" spans="1:16" ht="20.100000000000001" customHeight="1">
      <c r="A34" s="235" t="s">
        <v>363</v>
      </c>
      <c r="B34" s="42">
        <v>2123</v>
      </c>
      <c r="C34" s="217">
        <v>0</v>
      </c>
      <c r="D34" s="217">
        <f t="shared" ref="D34:D35" si="5">F34+J34+K34+L34</f>
        <v>0</v>
      </c>
      <c r="E34" s="217">
        <v>0</v>
      </c>
      <c r="F34" s="217">
        <v>0</v>
      </c>
      <c r="G34" s="217">
        <f>F34-E34</f>
        <v>0</v>
      </c>
      <c r="H34" s="218"/>
      <c r="J34" s="217">
        <v>0</v>
      </c>
      <c r="K34" s="217">
        <v>0</v>
      </c>
      <c r="L34" s="217">
        <v>0</v>
      </c>
      <c r="M34" s="217">
        <v>0</v>
      </c>
    </row>
    <row r="35" spans="1:16" s="37" customFormat="1">
      <c r="A35" s="235" t="s">
        <v>360</v>
      </c>
      <c r="B35" s="42">
        <v>2124</v>
      </c>
      <c r="C35" s="217">
        <v>0</v>
      </c>
      <c r="D35" s="217">
        <f t="shared" si="5"/>
        <v>0</v>
      </c>
      <c r="E35" s="217">
        <v>0</v>
      </c>
      <c r="F35" s="217">
        <v>0</v>
      </c>
      <c r="G35" s="217">
        <f t="shared" si="3"/>
        <v>0</v>
      </c>
      <c r="H35" s="218"/>
      <c r="J35" s="217">
        <v>0</v>
      </c>
      <c r="K35" s="217">
        <v>0</v>
      </c>
      <c r="L35" s="217">
        <v>0</v>
      </c>
      <c r="M35" s="217">
        <v>0</v>
      </c>
    </row>
    <row r="36" spans="1:16" ht="21.75" customHeight="1">
      <c r="A36" s="232" t="s">
        <v>364</v>
      </c>
      <c r="B36" s="207">
        <v>2130</v>
      </c>
      <c r="C36" s="226">
        <f>SUM(C37:C40)</f>
        <v>4788.8</v>
      </c>
      <c r="D36" s="226">
        <f>SUM(D37:D40)</f>
        <v>5444.9</v>
      </c>
      <c r="E36" s="226">
        <f>SUM(E37:E40)</f>
        <v>5810.4</v>
      </c>
      <c r="F36" s="226">
        <f>SUM(F37:F40)</f>
        <v>5444.9</v>
      </c>
      <c r="G36" s="221">
        <f t="shared" si="3"/>
        <v>-365.5</v>
      </c>
      <c r="H36" s="222">
        <f t="shared" si="1"/>
        <v>93.709555280187246</v>
      </c>
      <c r="J36" s="226">
        <v>1264.8</v>
      </c>
      <c r="K36" s="226">
        <v>1293.0999999999999</v>
      </c>
      <c r="L36" s="226">
        <v>1431.9</v>
      </c>
      <c r="M36" s="226">
        <f>SUM(M37:M40)</f>
        <v>1455.1</v>
      </c>
    </row>
    <row r="37" spans="1:16" ht="60.75" customHeight="1">
      <c r="A37" s="235" t="s">
        <v>375</v>
      </c>
      <c r="B37" s="42">
        <v>2131</v>
      </c>
      <c r="C37" s="217">
        <v>0</v>
      </c>
      <c r="D37" s="217">
        <f t="shared" ref="D37:D38" si="6">F37+J37+K37+L37</f>
        <v>0</v>
      </c>
      <c r="E37" s="217">
        <v>0</v>
      </c>
      <c r="F37" s="217">
        <v>0</v>
      </c>
      <c r="G37" s="217">
        <f t="shared" si="3"/>
        <v>0</v>
      </c>
      <c r="H37" s="218"/>
      <c r="J37" s="217">
        <v>0</v>
      </c>
      <c r="K37" s="217">
        <v>0</v>
      </c>
      <c r="L37" s="217">
        <v>0</v>
      </c>
      <c r="M37" s="217">
        <v>0</v>
      </c>
    </row>
    <row r="38" spans="1:16" s="37" customFormat="1" ht="20.100000000000001" customHeight="1">
      <c r="A38" s="235" t="s">
        <v>365</v>
      </c>
      <c r="B38" s="42">
        <v>2132</v>
      </c>
      <c r="C38" s="217">
        <v>0</v>
      </c>
      <c r="D38" s="217">
        <f t="shared" si="6"/>
        <v>0</v>
      </c>
      <c r="E38" s="217">
        <v>0</v>
      </c>
      <c r="F38" s="217">
        <v>0</v>
      </c>
      <c r="G38" s="217">
        <f t="shared" si="3"/>
        <v>0</v>
      </c>
      <c r="H38" s="218"/>
      <c r="J38" s="217">
        <v>0</v>
      </c>
      <c r="K38" s="217">
        <v>0</v>
      </c>
      <c r="L38" s="217">
        <v>0</v>
      </c>
      <c r="M38" s="217">
        <v>0</v>
      </c>
    </row>
    <row r="39" spans="1:16" ht="20.100000000000001" customHeight="1">
      <c r="A39" s="235" t="s">
        <v>366</v>
      </c>
      <c r="B39" s="42">
        <v>2133</v>
      </c>
      <c r="C39" s="217">
        <v>4788.8</v>
      </c>
      <c r="D39" s="217">
        <f>F39</f>
        <v>5444.9</v>
      </c>
      <c r="E39" s="217">
        <v>5810.4</v>
      </c>
      <c r="F39" s="217">
        <f>J39+K39+L39+M39</f>
        <v>5444.9</v>
      </c>
      <c r="G39" s="217">
        <f t="shared" si="3"/>
        <v>-365.5</v>
      </c>
      <c r="H39" s="218">
        <f t="shared" si="1"/>
        <v>93.709555280187246</v>
      </c>
      <c r="J39" s="217">
        <v>1264.8</v>
      </c>
      <c r="K39" s="217">
        <v>1293.0999999999999</v>
      </c>
      <c r="L39" s="217">
        <v>1431.9</v>
      </c>
      <c r="M39" s="217">
        <v>1455.1</v>
      </c>
    </row>
    <row r="40" spans="1:16" ht="20.100000000000001" customHeight="1">
      <c r="A40" s="235" t="s">
        <v>367</v>
      </c>
      <c r="B40" s="42">
        <v>2134</v>
      </c>
      <c r="C40" s="217"/>
      <c r="D40" s="217"/>
      <c r="E40" s="217"/>
      <c r="F40" s="217"/>
      <c r="G40" s="217"/>
      <c r="H40" s="218"/>
      <c r="J40" s="217"/>
      <c r="K40" s="217"/>
      <c r="L40" s="217"/>
      <c r="M40" s="217"/>
    </row>
    <row r="41" spans="1:16" ht="20.100000000000001" customHeight="1">
      <c r="A41" s="232" t="s">
        <v>368</v>
      </c>
      <c r="B41" s="207">
        <v>2140</v>
      </c>
      <c r="C41" s="226">
        <f>SUM(C42:C43)</f>
        <v>452.7</v>
      </c>
      <c r="D41" s="226">
        <f>SUM(D42:D43)</f>
        <v>25.1</v>
      </c>
      <c r="E41" s="226">
        <f>SUM(E42:E43)</f>
        <v>0</v>
      </c>
      <c r="F41" s="226">
        <f>SUM(F42:F43)</f>
        <v>25.1</v>
      </c>
      <c r="G41" s="221"/>
      <c r="H41" s="222"/>
      <c r="J41" s="226">
        <v>0</v>
      </c>
      <c r="K41" s="226">
        <v>0</v>
      </c>
      <c r="L41" s="226">
        <v>0</v>
      </c>
      <c r="M41" s="226">
        <f>SUM(M42:M43)</f>
        <v>25.1</v>
      </c>
    </row>
    <row r="42" spans="1:16">
      <c r="A42" s="235" t="s">
        <v>110</v>
      </c>
      <c r="B42" s="42">
        <v>2141</v>
      </c>
      <c r="C42" s="217"/>
      <c r="D42" s="217"/>
      <c r="E42" s="217"/>
      <c r="F42" s="217"/>
      <c r="G42" s="217"/>
      <c r="H42" s="218"/>
      <c r="J42" s="217"/>
      <c r="K42" s="217"/>
      <c r="L42" s="217"/>
      <c r="M42" s="217"/>
    </row>
    <row r="43" spans="1:16" s="37" customFormat="1" ht="20.100000000000001" customHeight="1">
      <c r="A43" s="235" t="s">
        <v>575</v>
      </c>
      <c r="B43" s="42">
        <v>2142</v>
      </c>
      <c r="C43" s="217">
        <v>452.7</v>
      </c>
      <c r="D43" s="217">
        <f>F43</f>
        <v>25.1</v>
      </c>
      <c r="E43" s="217">
        <v>0</v>
      </c>
      <c r="F43" s="217">
        <f>J43+K43+L43+M43</f>
        <v>25.1</v>
      </c>
      <c r="G43" s="217">
        <f t="shared" si="3"/>
        <v>25.1</v>
      </c>
      <c r="H43" s="218"/>
      <c r="J43" s="217">
        <v>0</v>
      </c>
      <c r="K43" s="217">
        <v>0</v>
      </c>
      <c r="L43" s="217">
        <v>0</v>
      </c>
      <c r="M43" s="217">
        <v>25.1</v>
      </c>
    </row>
    <row r="44" spans="1:16" s="37" customFormat="1" ht="21.75" customHeight="1">
      <c r="A44" s="232" t="s">
        <v>358</v>
      </c>
      <c r="B44" s="207">
        <v>2200</v>
      </c>
      <c r="C44" s="226">
        <f>SUM(C21,C31,C36,C41)</f>
        <v>18698.5</v>
      </c>
      <c r="D44" s="226">
        <f>SUM(D21,D31,D36,D41)</f>
        <v>19729.899999999998</v>
      </c>
      <c r="E44" s="226">
        <f>SUM(E21,E31,E36,E41)</f>
        <v>20278</v>
      </c>
      <c r="F44" s="226">
        <f>SUM(F21,F31,F36,F41)</f>
        <v>19729.899999999998</v>
      </c>
      <c r="G44" s="221">
        <f t="shared" si="3"/>
        <v>-548.10000000000218</v>
      </c>
      <c r="H44" s="222">
        <f t="shared" si="1"/>
        <v>97.297070717033236</v>
      </c>
      <c r="I44" s="35"/>
      <c r="J44" s="226">
        <v>4674.5</v>
      </c>
      <c r="K44" s="226">
        <v>4898.5</v>
      </c>
      <c r="L44" s="226">
        <v>5186.5</v>
      </c>
      <c r="M44" s="226">
        <f>SUM(M21,M31,M36,M41)</f>
        <v>4970.3999999999996</v>
      </c>
      <c r="O44" s="276">
        <f>F44+J44+K44+L44</f>
        <v>34489.399999999994</v>
      </c>
      <c r="P44" s="276">
        <f>O44-D44</f>
        <v>14759.499999999996</v>
      </c>
    </row>
    <row r="45" spans="1:16" s="37" customFormat="1">
      <c r="A45" s="54"/>
      <c r="B45" s="38"/>
      <c r="C45" s="152"/>
      <c r="D45" s="152"/>
      <c r="E45" s="152"/>
      <c r="F45" s="152"/>
      <c r="G45" s="152"/>
      <c r="H45" s="38"/>
      <c r="J45" s="152"/>
      <c r="K45" s="152"/>
      <c r="L45" s="152"/>
      <c r="M45" s="152"/>
    </row>
    <row r="46" spans="1:16" s="37" customFormat="1">
      <c r="A46" s="54"/>
      <c r="B46" s="38"/>
      <c r="C46" s="152"/>
      <c r="D46" s="152"/>
      <c r="E46" s="152"/>
      <c r="F46" s="152"/>
      <c r="G46" s="152"/>
      <c r="H46" s="38"/>
      <c r="J46" s="152"/>
      <c r="K46" s="152"/>
      <c r="L46" s="152"/>
      <c r="M46" s="152"/>
    </row>
    <row r="47" spans="1:16" s="37" customFormat="1">
      <c r="A47" s="54"/>
      <c r="B47" s="38"/>
      <c r="C47" s="152"/>
      <c r="D47" s="152"/>
      <c r="E47" s="152"/>
      <c r="F47" s="152"/>
      <c r="G47" s="152"/>
      <c r="H47" s="38"/>
      <c r="J47" s="152"/>
      <c r="K47" s="152"/>
      <c r="L47" s="152"/>
      <c r="M47" s="152"/>
    </row>
    <row r="48" spans="1:16" s="2" customFormat="1" ht="27.75" customHeight="1">
      <c r="A48" s="46" t="s">
        <v>486</v>
      </c>
      <c r="B48" s="1"/>
      <c r="C48" s="340" t="s">
        <v>89</v>
      </c>
      <c r="D48" s="340"/>
      <c r="E48" s="62"/>
      <c r="F48" s="341" t="s">
        <v>487</v>
      </c>
      <c r="G48" s="341"/>
      <c r="H48" s="341"/>
      <c r="I48" s="166"/>
    </row>
    <row r="49" spans="1:13" s="2" customFormat="1">
      <c r="A49" s="23" t="s">
        <v>211</v>
      </c>
      <c r="C49" s="312" t="s">
        <v>210</v>
      </c>
      <c r="D49" s="312"/>
      <c r="E49" s="25"/>
      <c r="F49" s="314" t="s">
        <v>85</v>
      </c>
      <c r="G49" s="314"/>
      <c r="H49" s="314"/>
      <c r="I49" s="166"/>
    </row>
    <row r="50" spans="1:13" s="38" customFormat="1">
      <c r="A50" s="48"/>
      <c r="C50" s="152"/>
      <c r="D50" s="152"/>
      <c r="E50" s="152"/>
      <c r="F50" s="152"/>
      <c r="G50" s="152"/>
      <c r="I50" s="35"/>
      <c r="J50" s="152"/>
      <c r="K50" s="152"/>
      <c r="L50" s="152"/>
      <c r="M50" s="152"/>
    </row>
    <row r="51" spans="1:13" s="38" customFormat="1">
      <c r="A51" s="48"/>
      <c r="C51" s="152"/>
      <c r="D51" s="152"/>
      <c r="E51" s="152"/>
      <c r="F51" s="152"/>
      <c r="G51" s="152"/>
      <c r="I51" s="35"/>
      <c r="J51" s="152"/>
      <c r="K51" s="152"/>
      <c r="L51" s="152"/>
      <c r="M51" s="152"/>
    </row>
    <row r="52" spans="1:13" s="38" customFormat="1">
      <c r="A52" s="48"/>
      <c r="C52" s="152"/>
      <c r="D52" s="152"/>
      <c r="E52" s="152"/>
      <c r="F52" s="152"/>
      <c r="G52" s="152"/>
      <c r="I52" s="35"/>
      <c r="J52" s="152"/>
      <c r="K52" s="152"/>
      <c r="L52" s="152"/>
      <c r="M52" s="152"/>
    </row>
    <row r="53" spans="1:13" s="38" customFormat="1">
      <c r="A53" s="48"/>
      <c r="C53" s="152"/>
      <c r="D53" s="152"/>
      <c r="E53" s="152"/>
      <c r="F53" s="152"/>
      <c r="G53" s="152"/>
      <c r="I53" s="35"/>
      <c r="J53" s="152"/>
      <c r="K53" s="152"/>
      <c r="L53" s="152"/>
      <c r="M53" s="152"/>
    </row>
    <row r="54" spans="1:13" s="38" customFormat="1">
      <c r="A54" s="48"/>
      <c r="C54" s="152"/>
      <c r="D54" s="152"/>
      <c r="E54" s="152"/>
      <c r="F54" s="152"/>
      <c r="G54" s="152"/>
      <c r="I54" s="35"/>
      <c r="J54" s="152"/>
      <c r="K54" s="152"/>
      <c r="L54" s="152"/>
      <c r="M54" s="152"/>
    </row>
    <row r="55" spans="1:13" s="38" customFormat="1">
      <c r="A55" s="48"/>
      <c r="C55" s="152"/>
      <c r="D55" s="152"/>
      <c r="E55" s="152"/>
      <c r="F55" s="152"/>
      <c r="G55" s="152"/>
      <c r="I55" s="35"/>
      <c r="J55" s="152"/>
      <c r="K55" s="152"/>
      <c r="L55" s="152"/>
      <c r="M55" s="152"/>
    </row>
    <row r="56" spans="1:13" s="38" customFormat="1">
      <c r="A56" s="48"/>
      <c r="C56" s="152"/>
      <c r="D56" s="152"/>
      <c r="E56" s="152"/>
      <c r="F56" s="152"/>
      <c r="G56" s="152"/>
      <c r="I56" s="35"/>
      <c r="J56" s="152"/>
      <c r="K56" s="152"/>
      <c r="L56" s="152"/>
      <c r="M56" s="152"/>
    </row>
    <row r="57" spans="1:13" s="38" customFormat="1">
      <c r="A57" s="48"/>
      <c r="C57" s="152"/>
      <c r="D57" s="152"/>
      <c r="E57" s="152"/>
      <c r="F57" s="152"/>
      <c r="G57" s="152"/>
      <c r="I57" s="35"/>
      <c r="J57" s="152"/>
      <c r="K57" s="152"/>
      <c r="L57" s="152"/>
      <c r="M57" s="152"/>
    </row>
    <row r="58" spans="1:13" s="38" customFormat="1">
      <c r="A58" s="48"/>
      <c r="C58" s="152"/>
      <c r="D58" s="152"/>
      <c r="E58" s="152"/>
      <c r="F58" s="152"/>
      <c r="G58" s="152"/>
      <c r="I58" s="35"/>
      <c r="J58" s="152"/>
      <c r="K58" s="152"/>
      <c r="L58" s="152"/>
      <c r="M58" s="152"/>
    </row>
    <row r="59" spans="1:13" s="38" customFormat="1">
      <c r="A59" s="48"/>
      <c r="C59" s="152"/>
      <c r="D59" s="152"/>
      <c r="E59" s="152"/>
      <c r="F59" s="152"/>
      <c r="G59" s="152"/>
      <c r="I59" s="35"/>
      <c r="J59" s="152"/>
      <c r="K59" s="152"/>
      <c r="L59" s="152"/>
      <c r="M59" s="152"/>
    </row>
    <row r="60" spans="1:13" s="38" customFormat="1">
      <c r="A60" s="48"/>
      <c r="C60" s="152"/>
      <c r="D60" s="152"/>
      <c r="E60" s="152"/>
      <c r="F60" s="152"/>
      <c r="G60" s="152"/>
      <c r="I60" s="35"/>
      <c r="J60" s="152"/>
      <c r="K60" s="152"/>
      <c r="L60" s="152"/>
      <c r="M60" s="152"/>
    </row>
    <row r="61" spans="1:13" s="38" customFormat="1">
      <c r="A61" s="48"/>
      <c r="C61" s="152"/>
      <c r="D61" s="152"/>
      <c r="E61" s="152"/>
      <c r="F61" s="152"/>
      <c r="G61" s="152"/>
      <c r="I61" s="35"/>
      <c r="J61" s="152"/>
      <c r="K61" s="152"/>
      <c r="L61" s="152"/>
      <c r="M61" s="152"/>
    </row>
    <row r="62" spans="1:13" s="38" customFormat="1">
      <c r="A62" s="48"/>
      <c r="C62" s="152"/>
      <c r="D62" s="152"/>
      <c r="E62" s="152"/>
      <c r="F62" s="152"/>
      <c r="G62" s="152"/>
      <c r="I62" s="35"/>
      <c r="J62" s="152"/>
      <c r="K62" s="152"/>
      <c r="L62" s="152"/>
      <c r="M62" s="152"/>
    </row>
    <row r="63" spans="1:13" s="38" customFormat="1">
      <c r="A63" s="48"/>
      <c r="C63" s="152"/>
      <c r="D63" s="152"/>
      <c r="E63" s="152"/>
      <c r="F63" s="152"/>
      <c r="G63" s="152"/>
      <c r="I63" s="35"/>
      <c r="J63" s="152"/>
      <c r="K63" s="152"/>
      <c r="L63" s="152"/>
      <c r="M63" s="152"/>
    </row>
    <row r="64" spans="1:13" s="38" customFormat="1">
      <c r="A64" s="48"/>
      <c r="C64" s="152"/>
      <c r="D64" s="152"/>
      <c r="E64" s="152"/>
      <c r="F64" s="152"/>
      <c r="G64" s="152"/>
      <c r="I64" s="35"/>
      <c r="J64" s="152"/>
      <c r="K64" s="152"/>
      <c r="L64" s="152"/>
      <c r="M64" s="152"/>
    </row>
    <row r="65" spans="1:13" s="38" customFormat="1">
      <c r="A65" s="48"/>
      <c r="C65" s="152"/>
      <c r="D65" s="152"/>
      <c r="E65" s="152"/>
      <c r="F65" s="152"/>
      <c r="G65" s="152"/>
      <c r="I65" s="35"/>
      <c r="J65" s="152"/>
      <c r="K65" s="152"/>
      <c r="L65" s="152"/>
      <c r="M65" s="152"/>
    </row>
    <row r="66" spans="1:13" s="38" customFormat="1">
      <c r="A66" s="48"/>
      <c r="C66" s="152"/>
      <c r="D66" s="152"/>
      <c r="E66" s="152"/>
      <c r="F66" s="152"/>
      <c r="G66" s="152"/>
      <c r="I66" s="35"/>
      <c r="J66" s="152"/>
      <c r="K66" s="152"/>
      <c r="L66" s="152"/>
      <c r="M66" s="152"/>
    </row>
    <row r="67" spans="1:13" s="38" customFormat="1">
      <c r="A67" s="48"/>
      <c r="C67" s="152"/>
      <c r="D67" s="152"/>
      <c r="E67" s="152"/>
      <c r="F67" s="152"/>
      <c r="G67" s="152"/>
      <c r="I67" s="35"/>
      <c r="J67" s="152"/>
      <c r="K67" s="152"/>
      <c r="L67" s="152"/>
      <c r="M67" s="152"/>
    </row>
    <row r="68" spans="1:13" s="38" customFormat="1">
      <c r="A68" s="48"/>
      <c r="C68" s="152"/>
      <c r="D68" s="152"/>
      <c r="E68" s="152"/>
      <c r="F68" s="152"/>
      <c r="G68" s="152"/>
      <c r="I68" s="35"/>
      <c r="J68" s="152"/>
      <c r="K68" s="152"/>
      <c r="L68" s="152"/>
      <c r="M68" s="152"/>
    </row>
    <row r="69" spans="1:13" s="38" customFormat="1">
      <c r="A69" s="48"/>
      <c r="C69" s="152"/>
      <c r="D69" s="152"/>
      <c r="E69" s="152"/>
      <c r="F69" s="152"/>
      <c r="G69" s="152"/>
      <c r="I69" s="35"/>
      <c r="J69" s="152"/>
      <c r="K69" s="152"/>
      <c r="L69" s="152"/>
      <c r="M69" s="152"/>
    </row>
    <row r="70" spans="1:13" s="38" customFormat="1">
      <c r="A70" s="48"/>
      <c r="C70" s="152"/>
      <c r="D70" s="152"/>
      <c r="E70" s="152"/>
      <c r="F70" s="152"/>
      <c r="G70" s="152"/>
      <c r="I70" s="35"/>
      <c r="J70" s="152"/>
      <c r="K70" s="152"/>
      <c r="L70" s="152"/>
      <c r="M70" s="152"/>
    </row>
    <row r="71" spans="1:13" s="38" customFormat="1">
      <c r="A71" s="48"/>
      <c r="C71" s="152"/>
      <c r="D71" s="152"/>
      <c r="E71" s="152"/>
      <c r="F71" s="152"/>
      <c r="G71" s="152"/>
      <c r="I71" s="35"/>
      <c r="J71" s="152"/>
      <c r="K71" s="152"/>
      <c r="L71" s="152"/>
      <c r="M71" s="152"/>
    </row>
    <row r="72" spans="1:13" s="38" customFormat="1">
      <c r="A72" s="48"/>
      <c r="C72" s="152"/>
      <c r="D72" s="152"/>
      <c r="E72" s="152"/>
      <c r="F72" s="152"/>
      <c r="G72" s="152"/>
      <c r="I72" s="35"/>
      <c r="J72" s="152"/>
      <c r="K72" s="152"/>
      <c r="L72" s="152"/>
      <c r="M72" s="152"/>
    </row>
    <row r="73" spans="1:13" s="38" customFormat="1">
      <c r="A73" s="48"/>
      <c r="C73" s="152"/>
      <c r="D73" s="152"/>
      <c r="E73" s="152"/>
      <c r="F73" s="152"/>
      <c r="G73" s="152"/>
      <c r="I73" s="35"/>
      <c r="J73" s="152"/>
      <c r="K73" s="152"/>
      <c r="L73" s="152"/>
      <c r="M73" s="152"/>
    </row>
    <row r="74" spans="1:13" s="38" customFormat="1">
      <c r="A74" s="48"/>
      <c r="C74" s="152"/>
      <c r="D74" s="152"/>
      <c r="E74" s="152"/>
      <c r="F74" s="152"/>
      <c r="G74" s="152"/>
      <c r="I74" s="35"/>
      <c r="J74" s="152"/>
      <c r="K74" s="152"/>
      <c r="L74" s="152"/>
      <c r="M74" s="152"/>
    </row>
    <row r="75" spans="1:13" s="38" customFormat="1">
      <c r="A75" s="48"/>
      <c r="C75" s="152"/>
      <c r="D75" s="152"/>
      <c r="E75" s="152"/>
      <c r="F75" s="152"/>
      <c r="G75" s="152"/>
      <c r="I75" s="35"/>
      <c r="J75" s="152"/>
      <c r="K75" s="152"/>
      <c r="L75" s="152"/>
      <c r="M75" s="152"/>
    </row>
    <row r="76" spans="1:13" s="38" customFormat="1">
      <c r="A76" s="48"/>
      <c r="C76" s="152"/>
      <c r="D76" s="152"/>
      <c r="E76" s="152"/>
      <c r="F76" s="152"/>
      <c r="G76" s="152"/>
      <c r="I76" s="35"/>
      <c r="J76" s="152"/>
      <c r="K76" s="152"/>
      <c r="L76" s="152"/>
      <c r="M76" s="152"/>
    </row>
    <row r="77" spans="1:13" s="38" customFormat="1">
      <c r="A77" s="48"/>
      <c r="C77" s="152"/>
      <c r="D77" s="152"/>
      <c r="E77" s="152"/>
      <c r="F77" s="152"/>
      <c r="G77" s="152"/>
      <c r="I77" s="35"/>
      <c r="J77" s="152"/>
      <c r="K77" s="152"/>
      <c r="L77" s="152"/>
      <c r="M77" s="152"/>
    </row>
    <row r="78" spans="1:13" s="38" customFormat="1">
      <c r="A78" s="48"/>
      <c r="C78" s="152"/>
      <c r="D78" s="152"/>
      <c r="E78" s="152"/>
      <c r="F78" s="152"/>
      <c r="G78" s="152"/>
      <c r="I78" s="35"/>
      <c r="J78" s="152"/>
      <c r="K78" s="152"/>
      <c r="L78" s="152"/>
      <c r="M78" s="152"/>
    </row>
    <row r="79" spans="1:13" s="38" customFormat="1">
      <c r="A79" s="48"/>
      <c r="C79" s="152"/>
      <c r="D79" s="152"/>
      <c r="E79" s="152"/>
      <c r="F79" s="152"/>
      <c r="G79" s="152"/>
      <c r="I79" s="35"/>
      <c r="J79" s="152"/>
      <c r="K79" s="152"/>
      <c r="L79" s="152"/>
      <c r="M79" s="152"/>
    </row>
    <row r="80" spans="1:13" s="38" customFormat="1">
      <c r="A80" s="48"/>
      <c r="C80" s="152"/>
      <c r="D80" s="152"/>
      <c r="E80" s="152"/>
      <c r="F80" s="152"/>
      <c r="G80" s="152"/>
      <c r="I80" s="35"/>
      <c r="J80" s="152"/>
      <c r="K80" s="152"/>
      <c r="L80" s="152"/>
      <c r="M80" s="152"/>
    </row>
    <row r="81" spans="1:13" s="38" customFormat="1">
      <c r="A81" s="48"/>
      <c r="C81" s="152"/>
      <c r="D81" s="152"/>
      <c r="E81" s="152"/>
      <c r="F81" s="152"/>
      <c r="G81" s="152"/>
      <c r="I81" s="35"/>
      <c r="J81" s="152"/>
      <c r="K81" s="152"/>
      <c r="L81" s="152"/>
      <c r="M81" s="152"/>
    </row>
    <row r="82" spans="1:13" s="38" customFormat="1">
      <c r="A82" s="48"/>
      <c r="C82" s="152"/>
      <c r="D82" s="152"/>
      <c r="E82" s="152"/>
      <c r="F82" s="152"/>
      <c r="G82" s="152"/>
      <c r="I82" s="35"/>
      <c r="J82" s="152"/>
      <c r="K82" s="152"/>
      <c r="L82" s="152"/>
      <c r="M82" s="152"/>
    </row>
    <row r="83" spans="1:13" s="38" customFormat="1">
      <c r="A83" s="48"/>
      <c r="C83" s="152"/>
      <c r="D83" s="152"/>
      <c r="E83" s="152"/>
      <c r="F83" s="152"/>
      <c r="G83" s="152"/>
      <c r="I83" s="35"/>
      <c r="J83" s="152"/>
      <c r="K83" s="152"/>
      <c r="L83" s="152"/>
      <c r="M83" s="152"/>
    </row>
    <row r="84" spans="1:13" s="38" customFormat="1">
      <c r="A84" s="48"/>
      <c r="C84" s="152"/>
      <c r="D84" s="152"/>
      <c r="E84" s="152"/>
      <c r="F84" s="152"/>
      <c r="G84" s="152"/>
      <c r="I84" s="35"/>
      <c r="J84" s="152"/>
      <c r="K84" s="152"/>
      <c r="L84" s="152"/>
      <c r="M84" s="152"/>
    </row>
    <row r="85" spans="1:13" s="38" customFormat="1">
      <c r="A85" s="48"/>
      <c r="C85" s="152"/>
      <c r="D85" s="152"/>
      <c r="E85" s="152"/>
      <c r="F85" s="152"/>
      <c r="G85" s="152"/>
      <c r="I85" s="35"/>
      <c r="J85" s="152"/>
      <c r="K85" s="152"/>
      <c r="L85" s="152"/>
      <c r="M85" s="152"/>
    </row>
    <row r="86" spans="1:13" s="38" customFormat="1">
      <c r="A86" s="48"/>
      <c r="C86" s="152"/>
      <c r="D86" s="152"/>
      <c r="E86" s="152"/>
      <c r="F86" s="152"/>
      <c r="G86" s="152"/>
      <c r="I86" s="35"/>
      <c r="J86" s="152"/>
      <c r="K86" s="152"/>
      <c r="L86" s="152"/>
      <c r="M86" s="152"/>
    </row>
    <row r="87" spans="1:13" s="38" customFormat="1">
      <c r="A87" s="48"/>
      <c r="C87" s="152"/>
      <c r="D87" s="152"/>
      <c r="E87" s="152"/>
      <c r="F87" s="152"/>
      <c r="G87" s="152"/>
      <c r="I87" s="35"/>
      <c r="J87" s="152"/>
      <c r="K87" s="152"/>
      <c r="L87" s="152"/>
      <c r="M87" s="152"/>
    </row>
    <row r="88" spans="1:13" s="38" customFormat="1">
      <c r="A88" s="48"/>
      <c r="C88" s="152"/>
      <c r="D88" s="152"/>
      <c r="E88" s="152"/>
      <c r="F88" s="152"/>
      <c r="G88" s="152"/>
      <c r="I88" s="35"/>
      <c r="J88" s="152"/>
      <c r="K88" s="152"/>
      <c r="L88" s="152"/>
      <c r="M88" s="152"/>
    </row>
    <row r="89" spans="1:13" s="38" customFormat="1">
      <c r="A89" s="48"/>
      <c r="C89" s="152"/>
      <c r="D89" s="152"/>
      <c r="E89" s="152"/>
      <c r="F89" s="152"/>
      <c r="G89" s="152"/>
      <c r="I89" s="35"/>
      <c r="J89" s="152"/>
      <c r="K89" s="152"/>
      <c r="L89" s="152"/>
      <c r="M89" s="152"/>
    </row>
    <row r="90" spans="1:13" s="38" customFormat="1">
      <c r="A90" s="48"/>
      <c r="C90" s="152"/>
      <c r="D90" s="152"/>
      <c r="E90" s="152"/>
      <c r="F90" s="152"/>
      <c r="G90" s="152"/>
      <c r="I90" s="35"/>
      <c r="J90" s="152"/>
      <c r="K90" s="152"/>
      <c r="L90" s="152"/>
      <c r="M90" s="152"/>
    </row>
    <row r="91" spans="1:13" s="38" customFormat="1">
      <c r="A91" s="48"/>
      <c r="C91" s="152"/>
      <c r="D91" s="152"/>
      <c r="E91" s="152"/>
      <c r="F91" s="152"/>
      <c r="G91" s="152"/>
      <c r="I91" s="35"/>
      <c r="J91" s="152"/>
      <c r="K91" s="152"/>
      <c r="L91" s="152"/>
      <c r="M91" s="152"/>
    </row>
    <row r="92" spans="1:13" s="38" customFormat="1">
      <c r="A92" s="48"/>
      <c r="C92" s="152"/>
      <c r="D92" s="152"/>
      <c r="E92" s="152"/>
      <c r="F92" s="152"/>
      <c r="G92" s="152"/>
      <c r="I92" s="35"/>
      <c r="J92" s="152"/>
      <c r="K92" s="152"/>
      <c r="L92" s="152"/>
      <c r="M92" s="152"/>
    </row>
    <row r="93" spans="1:13" s="38" customFormat="1">
      <c r="A93" s="48"/>
      <c r="C93" s="152"/>
      <c r="D93" s="152"/>
      <c r="E93" s="152"/>
      <c r="F93" s="152"/>
      <c r="G93" s="152"/>
      <c r="I93" s="35"/>
      <c r="J93" s="152"/>
      <c r="K93" s="152"/>
      <c r="L93" s="152"/>
      <c r="M93" s="152"/>
    </row>
    <row r="94" spans="1:13" s="38" customFormat="1">
      <c r="A94" s="48"/>
      <c r="C94" s="152"/>
      <c r="D94" s="152"/>
      <c r="E94" s="152"/>
      <c r="F94" s="152"/>
      <c r="G94" s="152"/>
      <c r="I94" s="35"/>
      <c r="J94" s="152"/>
      <c r="K94" s="152"/>
      <c r="L94" s="152"/>
      <c r="M94" s="152"/>
    </row>
    <row r="95" spans="1:13" s="38" customFormat="1">
      <c r="A95" s="48"/>
      <c r="C95" s="152"/>
      <c r="D95" s="152"/>
      <c r="E95" s="152"/>
      <c r="F95" s="152"/>
      <c r="G95" s="152"/>
      <c r="I95" s="35"/>
      <c r="J95" s="152"/>
      <c r="K95" s="152"/>
      <c r="L95" s="152"/>
      <c r="M95" s="152"/>
    </row>
    <row r="96" spans="1:13" s="38" customFormat="1">
      <c r="A96" s="48"/>
      <c r="C96" s="152"/>
      <c r="D96" s="152"/>
      <c r="E96" s="152"/>
      <c r="F96" s="152"/>
      <c r="G96" s="152"/>
      <c r="I96" s="35"/>
      <c r="J96" s="152"/>
      <c r="K96" s="152"/>
      <c r="L96" s="152"/>
      <c r="M96" s="152"/>
    </row>
    <row r="97" spans="1:13" s="38" customFormat="1">
      <c r="A97" s="48"/>
      <c r="C97" s="152"/>
      <c r="D97" s="152"/>
      <c r="E97" s="152"/>
      <c r="F97" s="152"/>
      <c r="G97" s="152"/>
      <c r="I97" s="35"/>
      <c r="J97" s="152"/>
      <c r="K97" s="152"/>
      <c r="L97" s="152"/>
      <c r="M97" s="152"/>
    </row>
    <row r="98" spans="1:13" s="38" customFormat="1">
      <c r="A98" s="48"/>
      <c r="C98" s="152"/>
      <c r="D98" s="152"/>
      <c r="E98" s="152"/>
      <c r="F98" s="152"/>
      <c r="G98" s="152"/>
      <c r="I98" s="35"/>
      <c r="J98" s="152"/>
      <c r="K98" s="152"/>
      <c r="L98" s="152"/>
      <c r="M98" s="152"/>
    </row>
    <row r="99" spans="1:13" s="38" customFormat="1">
      <c r="A99" s="48"/>
      <c r="C99" s="152"/>
      <c r="D99" s="152"/>
      <c r="E99" s="152"/>
      <c r="F99" s="152"/>
      <c r="G99" s="152"/>
      <c r="I99" s="35"/>
      <c r="J99" s="152"/>
      <c r="K99" s="152"/>
      <c r="L99" s="152"/>
      <c r="M99" s="152"/>
    </row>
    <row r="100" spans="1:13" s="38" customFormat="1">
      <c r="A100" s="48"/>
      <c r="C100" s="152"/>
      <c r="D100" s="152"/>
      <c r="E100" s="152"/>
      <c r="F100" s="152"/>
      <c r="G100" s="152"/>
      <c r="I100" s="35"/>
      <c r="J100" s="152"/>
      <c r="K100" s="152"/>
      <c r="L100" s="152"/>
      <c r="M100" s="152"/>
    </row>
    <row r="101" spans="1:13" s="38" customFormat="1">
      <c r="A101" s="48"/>
      <c r="C101" s="152"/>
      <c r="D101" s="152"/>
      <c r="E101" s="152"/>
      <c r="F101" s="152"/>
      <c r="G101" s="152"/>
      <c r="I101" s="35"/>
      <c r="J101" s="152"/>
      <c r="K101" s="152"/>
      <c r="L101" s="152"/>
      <c r="M101" s="152"/>
    </row>
    <row r="102" spans="1:13" s="38" customFormat="1">
      <c r="A102" s="48"/>
      <c r="C102" s="152"/>
      <c r="D102" s="152"/>
      <c r="E102" s="152"/>
      <c r="F102" s="152"/>
      <c r="G102" s="152"/>
      <c r="I102" s="35"/>
      <c r="J102" s="152"/>
      <c r="K102" s="152"/>
      <c r="L102" s="152"/>
      <c r="M102" s="152"/>
    </row>
    <row r="103" spans="1:13" s="38" customFormat="1">
      <c r="A103" s="48"/>
      <c r="C103" s="152"/>
      <c r="D103" s="152"/>
      <c r="E103" s="152"/>
      <c r="F103" s="152"/>
      <c r="G103" s="152"/>
      <c r="I103" s="35"/>
      <c r="J103" s="152"/>
      <c r="K103" s="152"/>
      <c r="L103" s="152"/>
      <c r="M103" s="152"/>
    </row>
    <row r="104" spans="1:13" s="38" customFormat="1">
      <c r="A104" s="48"/>
      <c r="C104" s="152"/>
      <c r="D104" s="152"/>
      <c r="E104" s="152"/>
      <c r="F104" s="152"/>
      <c r="G104" s="152"/>
      <c r="I104" s="35"/>
      <c r="J104" s="152"/>
      <c r="K104" s="152"/>
      <c r="L104" s="152"/>
      <c r="M104" s="152"/>
    </row>
    <row r="105" spans="1:13" s="38" customFormat="1">
      <c r="A105" s="48"/>
      <c r="C105" s="152"/>
      <c r="D105" s="152"/>
      <c r="E105" s="152"/>
      <c r="F105" s="152"/>
      <c r="G105" s="152"/>
      <c r="I105" s="35"/>
      <c r="J105" s="152"/>
      <c r="K105" s="152"/>
      <c r="L105" s="152"/>
      <c r="M105" s="152"/>
    </row>
    <row r="106" spans="1:13" s="38" customFormat="1">
      <c r="A106" s="48"/>
      <c r="C106" s="152"/>
      <c r="D106" s="152"/>
      <c r="E106" s="152"/>
      <c r="F106" s="152"/>
      <c r="G106" s="152"/>
      <c r="I106" s="35"/>
      <c r="J106" s="152"/>
      <c r="K106" s="152"/>
      <c r="L106" s="152"/>
      <c r="M106" s="152"/>
    </row>
    <row r="107" spans="1:13" s="38" customFormat="1">
      <c r="A107" s="48"/>
      <c r="C107" s="152"/>
      <c r="D107" s="152"/>
      <c r="E107" s="152"/>
      <c r="F107" s="152"/>
      <c r="G107" s="152"/>
      <c r="I107" s="35"/>
      <c r="J107" s="152"/>
      <c r="K107" s="152"/>
      <c r="L107" s="152"/>
      <c r="M107" s="152"/>
    </row>
    <row r="108" spans="1:13" s="38" customFormat="1">
      <c r="A108" s="48"/>
      <c r="C108" s="152"/>
      <c r="D108" s="152"/>
      <c r="E108" s="152"/>
      <c r="F108" s="152"/>
      <c r="G108" s="152"/>
      <c r="I108" s="35"/>
      <c r="J108" s="152"/>
      <c r="K108" s="152"/>
      <c r="L108" s="152"/>
      <c r="M108" s="152"/>
    </row>
    <row r="109" spans="1:13" s="38" customFormat="1">
      <c r="A109" s="48"/>
      <c r="C109" s="152"/>
      <c r="D109" s="152"/>
      <c r="E109" s="152"/>
      <c r="F109" s="152"/>
      <c r="G109" s="152"/>
      <c r="I109" s="35"/>
      <c r="J109" s="152"/>
      <c r="K109" s="152"/>
      <c r="L109" s="152"/>
      <c r="M109" s="152"/>
    </row>
    <row r="110" spans="1:13" s="38" customFormat="1">
      <c r="A110" s="48"/>
      <c r="C110" s="152"/>
      <c r="D110" s="152"/>
      <c r="E110" s="152"/>
      <c r="F110" s="152"/>
      <c r="G110" s="152"/>
      <c r="I110" s="35"/>
      <c r="J110" s="152"/>
      <c r="K110" s="152"/>
      <c r="L110" s="152"/>
      <c r="M110" s="152"/>
    </row>
    <row r="111" spans="1:13" s="38" customFormat="1">
      <c r="A111" s="48"/>
      <c r="C111" s="152"/>
      <c r="D111" s="152"/>
      <c r="E111" s="152"/>
      <c r="F111" s="152"/>
      <c r="G111" s="152"/>
      <c r="I111" s="35"/>
      <c r="J111" s="152"/>
      <c r="K111" s="152"/>
      <c r="L111" s="152"/>
      <c r="M111" s="152"/>
    </row>
    <row r="112" spans="1:13" s="38" customFormat="1">
      <c r="A112" s="48"/>
      <c r="C112" s="152"/>
      <c r="D112" s="152"/>
      <c r="E112" s="152"/>
      <c r="F112" s="152"/>
      <c r="G112" s="152"/>
      <c r="I112" s="35"/>
      <c r="J112" s="152"/>
      <c r="K112" s="152"/>
      <c r="L112" s="152"/>
      <c r="M112" s="152"/>
    </row>
    <row r="113" spans="1:13" s="38" customFormat="1">
      <c r="A113" s="48"/>
      <c r="C113" s="152"/>
      <c r="D113" s="152"/>
      <c r="E113" s="152"/>
      <c r="F113" s="152"/>
      <c r="G113" s="152"/>
      <c r="I113" s="35"/>
      <c r="J113" s="152"/>
      <c r="K113" s="152"/>
      <c r="L113" s="152"/>
      <c r="M113" s="152"/>
    </row>
    <row r="114" spans="1:13" s="38" customFormat="1">
      <c r="A114" s="48"/>
      <c r="C114" s="152"/>
      <c r="D114" s="152"/>
      <c r="E114" s="152"/>
      <c r="F114" s="152"/>
      <c r="G114" s="152"/>
      <c r="I114" s="35"/>
      <c r="J114" s="152"/>
      <c r="K114" s="152"/>
      <c r="L114" s="152"/>
      <c r="M114" s="152"/>
    </row>
    <row r="115" spans="1:13" s="38" customFormat="1">
      <c r="A115" s="48"/>
      <c r="C115" s="152"/>
      <c r="D115" s="152"/>
      <c r="E115" s="152"/>
      <c r="F115" s="152"/>
      <c r="G115" s="152"/>
      <c r="I115" s="35"/>
      <c r="J115" s="152"/>
      <c r="K115" s="152"/>
      <c r="L115" s="152"/>
      <c r="M115" s="152"/>
    </row>
    <row r="116" spans="1:13" s="38" customFormat="1">
      <c r="A116" s="48"/>
      <c r="C116" s="152"/>
      <c r="D116" s="152"/>
      <c r="E116" s="152"/>
      <c r="F116" s="152"/>
      <c r="G116" s="152"/>
      <c r="I116" s="35"/>
      <c r="J116" s="152"/>
      <c r="K116" s="152"/>
      <c r="L116" s="152"/>
      <c r="M116" s="152"/>
    </row>
    <row r="117" spans="1:13" s="38" customFormat="1">
      <c r="A117" s="48"/>
      <c r="C117" s="152"/>
      <c r="D117" s="152"/>
      <c r="E117" s="152"/>
      <c r="F117" s="152"/>
      <c r="G117" s="152"/>
      <c r="I117" s="35"/>
      <c r="J117" s="152"/>
      <c r="K117" s="152"/>
      <c r="L117" s="152"/>
      <c r="M117" s="152"/>
    </row>
    <row r="118" spans="1:13" s="38" customFormat="1">
      <c r="A118" s="48"/>
      <c r="C118" s="152"/>
      <c r="D118" s="152"/>
      <c r="E118" s="152"/>
      <c r="F118" s="152"/>
      <c r="G118" s="152"/>
      <c r="I118" s="35"/>
      <c r="J118" s="152"/>
      <c r="K118" s="152"/>
      <c r="L118" s="152"/>
      <c r="M118" s="152"/>
    </row>
    <row r="119" spans="1:13" s="38" customFormat="1">
      <c r="A119" s="48"/>
      <c r="C119" s="152"/>
      <c r="D119" s="152"/>
      <c r="E119" s="152"/>
      <c r="F119" s="152"/>
      <c r="G119" s="152"/>
      <c r="I119" s="35"/>
      <c r="J119" s="152"/>
      <c r="K119" s="152"/>
      <c r="L119" s="152"/>
      <c r="M119" s="152"/>
    </row>
    <row r="120" spans="1:13" s="38" customFormat="1">
      <c r="A120" s="48"/>
      <c r="C120" s="152"/>
      <c r="D120" s="152"/>
      <c r="E120" s="152"/>
      <c r="F120" s="152"/>
      <c r="G120" s="152"/>
      <c r="I120" s="35"/>
      <c r="J120" s="152"/>
      <c r="K120" s="152"/>
      <c r="L120" s="152"/>
      <c r="M120" s="152"/>
    </row>
    <row r="121" spans="1:13" s="38" customFormat="1">
      <c r="A121" s="48"/>
      <c r="C121" s="152"/>
      <c r="D121" s="152"/>
      <c r="E121" s="152"/>
      <c r="F121" s="152"/>
      <c r="G121" s="152"/>
      <c r="I121" s="35"/>
      <c r="J121" s="152"/>
      <c r="K121" s="152"/>
      <c r="L121" s="152"/>
      <c r="M121" s="152"/>
    </row>
    <row r="122" spans="1:13" s="38" customFormat="1">
      <c r="A122" s="48"/>
      <c r="C122" s="152"/>
      <c r="D122" s="152"/>
      <c r="E122" s="152"/>
      <c r="F122" s="152"/>
      <c r="G122" s="152"/>
      <c r="I122" s="35"/>
      <c r="J122" s="152"/>
      <c r="K122" s="152"/>
      <c r="L122" s="152"/>
      <c r="M122" s="152"/>
    </row>
    <row r="123" spans="1:13" s="38" customFormat="1">
      <c r="A123" s="48"/>
      <c r="C123" s="152"/>
      <c r="D123" s="152"/>
      <c r="E123" s="152"/>
      <c r="F123" s="152"/>
      <c r="G123" s="152"/>
      <c r="I123" s="35"/>
      <c r="J123" s="152"/>
      <c r="K123" s="152"/>
      <c r="L123" s="152"/>
      <c r="M123" s="152"/>
    </row>
    <row r="124" spans="1:13" s="38" customFormat="1">
      <c r="A124" s="48"/>
      <c r="C124" s="152"/>
      <c r="D124" s="152"/>
      <c r="E124" s="152"/>
      <c r="F124" s="152"/>
      <c r="G124" s="152"/>
      <c r="I124" s="35"/>
      <c r="J124" s="152"/>
      <c r="K124" s="152"/>
      <c r="L124" s="152"/>
      <c r="M124" s="152"/>
    </row>
    <row r="125" spans="1:13" s="38" customFormat="1">
      <c r="A125" s="48"/>
      <c r="C125" s="152"/>
      <c r="D125" s="152"/>
      <c r="E125" s="152"/>
      <c r="F125" s="152"/>
      <c r="G125" s="152"/>
      <c r="I125" s="35"/>
      <c r="J125" s="152"/>
      <c r="K125" s="152"/>
      <c r="L125" s="152"/>
      <c r="M125" s="152"/>
    </row>
    <row r="126" spans="1:13" s="38" customFormat="1">
      <c r="A126" s="48"/>
      <c r="C126" s="152"/>
      <c r="D126" s="152"/>
      <c r="E126" s="152"/>
      <c r="F126" s="152"/>
      <c r="G126" s="152"/>
      <c r="I126" s="35"/>
      <c r="J126" s="152"/>
      <c r="K126" s="152"/>
      <c r="L126" s="152"/>
      <c r="M126" s="152"/>
    </row>
    <row r="127" spans="1:13" s="38" customFormat="1">
      <c r="A127" s="48"/>
      <c r="C127" s="152"/>
      <c r="D127" s="152"/>
      <c r="E127" s="152"/>
      <c r="F127" s="152"/>
      <c r="G127" s="152"/>
      <c r="I127" s="35"/>
      <c r="J127" s="152"/>
      <c r="K127" s="152"/>
      <c r="L127" s="152"/>
      <c r="M127" s="152"/>
    </row>
    <row r="128" spans="1:13" s="38" customFormat="1">
      <c r="A128" s="48"/>
      <c r="C128" s="152"/>
      <c r="D128" s="152"/>
      <c r="E128" s="152"/>
      <c r="F128" s="152"/>
      <c r="G128" s="152"/>
      <c r="I128" s="35"/>
      <c r="J128" s="152"/>
      <c r="K128" s="152"/>
      <c r="L128" s="152"/>
      <c r="M128" s="152"/>
    </row>
    <row r="129" spans="1:13" s="38" customFormat="1">
      <c r="A129" s="48"/>
      <c r="C129" s="152"/>
      <c r="D129" s="152"/>
      <c r="E129" s="152"/>
      <c r="F129" s="152"/>
      <c r="G129" s="152"/>
      <c r="I129" s="35"/>
      <c r="J129" s="152"/>
      <c r="K129" s="152"/>
      <c r="L129" s="152"/>
      <c r="M129" s="152"/>
    </row>
    <row r="130" spans="1:13" s="38" customFormat="1">
      <c r="A130" s="48"/>
      <c r="C130" s="152"/>
      <c r="D130" s="152"/>
      <c r="E130" s="152"/>
      <c r="F130" s="152"/>
      <c r="G130" s="152"/>
      <c r="I130" s="35"/>
      <c r="J130" s="152"/>
      <c r="K130" s="152"/>
      <c r="L130" s="152"/>
      <c r="M130" s="152"/>
    </row>
    <row r="131" spans="1:13" s="38" customFormat="1">
      <c r="A131" s="48"/>
      <c r="C131" s="152"/>
      <c r="D131" s="152"/>
      <c r="E131" s="152"/>
      <c r="F131" s="152"/>
      <c r="G131" s="152"/>
      <c r="I131" s="35"/>
      <c r="J131" s="152"/>
      <c r="K131" s="152"/>
      <c r="L131" s="152"/>
      <c r="M131" s="152"/>
    </row>
    <row r="132" spans="1:13" s="38" customFormat="1">
      <c r="A132" s="48"/>
      <c r="C132" s="152"/>
      <c r="D132" s="152"/>
      <c r="E132" s="152"/>
      <c r="F132" s="152"/>
      <c r="G132" s="152"/>
      <c r="I132" s="35"/>
      <c r="J132" s="152"/>
      <c r="K132" s="152"/>
      <c r="L132" s="152"/>
      <c r="M132" s="152"/>
    </row>
    <row r="133" spans="1:13" s="38" customFormat="1">
      <c r="A133" s="48"/>
      <c r="C133" s="152"/>
      <c r="D133" s="152"/>
      <c r="E133" s="152"/>
      <c r="F133" s="152"/>
      <c r="G133" s="152"/>
      <c r="I133" s="35"/>
      <c r="J133" s="152"/>
      <c r="K133" s="152"/>
      <c r="L133" s="152"/>
      <c r="M133" s="152"/>
    </row>
    <row r="134" spans="1:13" s="38" customFormat="1">
      <c r="A134" s="48"/>
      <c r="C134" s="152"/>
      <c r="D134" s="152"/>
      <c r="E134" s="152"/>
      <c r="F134" s="152"/>
      <c r="G134" s="152"/>
      <c r="I134" s="35"/>
      <c r="J134" s="152"/>
      <c r="K134" s="152"/>
      <c r="L134" s="152"/>
      <c r="M134" s="152"/>
    </row>
    <row r="135" spans="1:13" s="38" customFormat="1">
      <c r="A135" s="48"/>
      <c r="C135" s="152"/>
      <c r="D135" s="152"/>
      <c r="E135" s="152"/>
      <c r="F135" s="152"/>
      <c r="G135" s="152"/>
      <c r="I135" s="35"/>
      <c r="J135" s="152"/>
      <c r="K135" s="152"/>
      <c r="L135" s="152"/>
      <c r="M135" s="152"/>
    </row>
    <row r="136" spans="1:13" s="38" customFormat="1">
      <c r="A136" s="48"/>
      <c r="C136" s="152"/>
      <c r="D136" s="152"/>
      <c r="E136" s="152"/>
      <c r="F136" s="152"/>
      <c r="G136" s="152"/>
      <c r="I136" s="35"/>
      <c r="J136" s="152"/>
      <c r="K136" s="152"/>
      <c r="L136" s="152"/>
      <c r="M136" s="152"/>
    </row>
    <row r="137" spans="1:13" s="38" customFormat="1">
      <c r="A137" s="48"/>
      <c r="C137" s="152"/>
      <c r="D137" s="152"/>
      <c r="E137" s="152"/>
      <c r="F137" s="152"/>
      <c r="G137" s="152"/>
      <c r="I137" s="35"/>
      <c r="J137" s="152"/>
      <c r="K137" s="152"/>
      <c r="L137" s="152"/>
      <c r="M137" s="152"/>
    </row>
    <row r="138" spans="1:13" s="38" customFormat="1">
      <c r="A138" s="48"/>
      <c r="C138" s="152"/>
      <c r="D138" s="152"/>
      <c r="E138" s="152"/>
      <c r="F138" s="152"/>
      <c r="G138" s="152"/>
      <c r="I138" s="35"/>
      <c r="J138" s="152"/>
      <c r="K138" s="152"/>
      <c r="L138" s="152"/>
      <c r="M138" s="152"/>
    </row>
    <row r="139" spans="1:13" s="38" customFormat="1">
      <c r="A139" s="48"/>
      <c r="C139" s="152"/>
      <c r="D139" s="152"/>
      <c r="E139" s="152"/>
      <c r="F139" s="152"/>
      <c r="G139" s="152"/>
      <c r="I139" s="35"/>
      <c r="J139" s="152"/>
      <c r="K139" s="152"/>
      <c r="L139" s="152"/>
      <c r="M139" s="152"/>
    </row>
    <row r="140" spans="1:13" s="38" customFormat="1">
      <c r="A140" s="48"/>
      <c r="C140" s="152"/>
      <c r="D140" s="152"/>
      <c r="E140" s="152"/>
      <c r="F140" s="152"/>
      <c r="G140" s="152"/>
      <c r="I140" s="35"/>
      <c r="J140" s="152"/>
      <c r="K140" s="152"/>
      <c r="L140" s="152"/>
      <c r="M140" s="152"/>
    </row>
    <row r="141" spans="1:13" s="38" customFormat="1">
      <c r="A141" s="48"/>
      <c r="C141" s="152"/>
      <c r="D141" s="152"/>
      <c r="E141" s="152"/>
      <c r="F141" s="152"/>
      <c r="G141" s="152"/>
      <c r="I141" s="35"/>
      <c r="J141" s="152"/>
      <c r="K141" s="152"/>
      <c r="L141" s="152"/>
      <c r="M141" s="152"/>
    </row>
    <row r="142" spans="1:13" s="38" customFormat="1">
      <c r="A142" s="48"/>
      <c r="C142" s="152"/>
      <c r="D142" s="152"/>
      <c r="E142" s="152"/>
      <c r="F142" s="152"/>
      <c r="G142" s="152"/>
      <c r="I142" s="35"/>
      <c r="J142" s="152"/>
      <c r="K142" s="152"/>
      <c r="L142" s="152"/>
      <c r="M142" s="152"/>
    </row>
    <row r="143" spans="1:13" s="38" customFormat="1">
      <c r="A143" s="48"/>
      <c r="C143" s="152"/>
      <c r="D143" s="152"/>
      <c r="E143" s="152"/>
      <c r="F143" s="152"/>
      <c r="G143" s="152"/>
      <c r="I143" s="35"/>
      <c r="J143" s="152"/>
      <c r="K143" s="152"/>
      <c r="L143" s="152"/>
      <c r="M143" s="152"/>
    </row>
    <row r="144" spans="1:13" s="38" customFormat="1">
      <c r="A144" s="48"/>
      <c r="C144" s="152"/>
      <c r="D144" s="152"/>
      <c r="E144" s="152"/>
      <c r="F144" s="152"/>
      <c r="G144" s="152"/>
      <c r="I144" s="35"/>
      <c r="J144" s="152"/>
      <c r="K144" s="152"/>
      <c r="L144" s="152"/>
      <c r="M144" s="152"/>
    </row>
    <row r="145" spans="1:13" s="38" customFormat="1">
      <c r="A145" s="48"/>
      <c r="C145" s="152"/>
      <c r="D145" s="152"/>
      <c r="E145" s="152"/>
      <c r="F145" s="152"/>
      <c r="G145" s="152"/>
      <c r="I145" s="35"/>
      <c r="J145" s="152"/>
      <c r="K145" s="152"/>
      <c r="L145" s="152"/>
      <c r="M145" s="152"/>
    </row>
    <row r="146" spans="1:13" s="38" customFormat="1">
      <c r="A146" s="48"/>
      <c r="C146" s="152"/>
      <c r="D146" s="152"/>
      <c r="E146" s="152"/>
      <c r="F146" s="152"/>
      <c r="G146" s="152"/>
      <c r="I146" s="35"/>
      <c r="J146" s="152"/>
      <c r="K146" s="152"/>
      <c r="L146" s="152"/>
      <c r="M146" s="152"/>
    </row>
    <row r="147" spans="1:13" s="38" customFormat="1">
      <c r="A147" s="48"/>
      <c r="C147" s="152"/>
      <c r="D147" s="152"/>
      <c r="E147" s="152"/>
      <c r="F147" s="152"/>
      <c r="G147" s="152"/>
      <c r="I147" s="35"/>
      <c r="J147" s="152"/>
      <c r="K147" s="152"/>
      <c r="L147" s="152"/>
      <c r="M147" s="152"/>
    </row>
    <row r="148" spans="1:13" s="38" customFormat="1">
      <c r="A148" s="48"/>
      <c r="C148" s="152"/>
      <c r="D148" s="152"/>
      <c r="E148" s="152"/>
      <c r="F148" s="152"/>
      <c r="G148" s="152"/>
      <c r="I148" s="35"/>
      <c r="J148" s="152"/>
      <c r="K148" s="152"/>
      <c r="L148" s="152"/>
      <c r="M148" s="152"/>
    </row>
    <row r="149" spans="1:13" s="38" customFormat="1">
      <c r="A149" s="48"/>
      <c r="C149" s="152"/>
      <c r="D149" s="152"/>
      <c r="E149" s="152"/>
      <c r="F149" s="152"/>
      <c r="G149" s="152"/>
      <c r="I149" s="35"/>
      <c r="J149" s="152"/>
      <c r="K149" s="152"/>
      <c r="L149" s="152"/>
      <c r="M149" s="152"/>
    </row>
    <row r="150" spans="1:13" s="38" customFormat="1">
      <c r="A150" s="48"/>
      <c r="C150" s="152"/>
      <c r="D150" s="152"/>
      <c r="E150" s="152"/>
      <c r="F150" s="152"/>
      <c r="G150" s="152"/>
      <c r="I150" s="35"/>
      <c r="J150" s="152"/>
      <c r="K150" s="152"/>
      <c r="L150" s="152"/>
      <c r="M150" s="152"/>
    </row>
    <row r="151" spans="1:13" s="38" customFormat="1">
      <c r="A151" s="48"/>
      <c r="C151" s="152"/>
      <c r="D151" s="152"/>
      <c r="E151" s="152"/>
      <c r="F151" s="152"/>
      <c r="G151" s="152"/>
      <c r="I151" s="35"/>
      <c r="J151" s="152"/>
      <c r="K151" s="152"/>
      <c r="L151" s="152"/>
      <c r="M151" s="152"/>
    </row>
    <row r="152" spans="1:13" s="38" customFormat="1">
      <c r="A152" s="48"/>
      <c r="C152" s="152"/>
      <c r="D152" s="152"/>
      <c r="E152" s="152"/>
      <c r="F152" s="152"/>
      <c r="G152" s="152"/>
      <c r="I152" s="35"/>
      <c r="J152" s="152"/>
      <c r="K152" s="152"/>
      <c r="L152" s="152"/>
      <c r="M152" s="152"/>
    </row>
    <row r="153" spans="1:13" s="38" customFormat="1">
      <c r="A153" s="48"/>
      <c r="C153" s="152"/>
      <c r="D153" s="152"/>
      <c r="E153" s="152"/>
      <c r="F153" s="152"/>
      <c r="G153" s="152"/>
      <c r="I153" s="35"/>
      <c r="J153" s="152"/>
      <c r="K153" s="152"/>
      <c r="L153" s="152"/>
      <c r="M153" s="152"/>
    </row>
    <row r="154" spans="1:13" s="38" customFormat="1">
      <c r="A154" s="48"/>
      <c r="C154" s="152"/>
      <c r="D154" s="152"/>
      <c r="E154" s="152"/>
      <c r="F154" s="152"/>
      <c r="G154" s="152"/>
      <c r="I154" s="35"/>
      <c r="J154" s="152"/>
      <c r="K154" s="152"/>
      <c r="L154" s="152"/>
      <c r="M154" s="152"/>
    </row>
    <row r="155" spans="1:13" s="38" customFormat="1">
      <c r="A155" s="48"/>
      <c r="C155" s="152"/>
      <c r="D155" s="152"/>
      <c r="E155" s="152"/>
      <c r="F155" s="152"/>
      <c r="G155" s="152"/>
      <c r="I155" s="35"/>
      <c r="J155" s="152"/>
      <c r="K155" s="152"/>
      <c r="L155" s="152"/>
      <c r="M155" s="152"/>
    </row>
    <row r="156" spans="1:13" s="38" customFormat="1">
      <c r="A156" s="48"/>
      <c r="C156" s="152"/>
      <c r="D156" s="152"/>
      <c r="E156" s="152"/>
      <c r="F156" s="152"/>
      <c r="G156" s="152"/>
      <c r="I156" s="35"/>
      <c r="J156" s="152"/>
      <c r="K156" s="152"/>
      <c r="L156" s="152"/>
      <c r="M156" s="152"/>
    </row>
    <row r="157" spans="1:13" s="38" customFormat="1">
      <c r="A157" s="48"/>
      <c r="C157" s="152"/>
      <c r="D157" s="152"/>
      <c r="E157" s="152"/>
      <c r="F157" s="152"/>
      <c r="G157" s="152"/>
      <c r="I157" s="35"/>
      <c r="J157" s="152"/>
      <c r="K157" s="152"/>
      <c r="L157" s="152"/>
      <c r="M157" s="152"/>
    </row>
    <row r="158" spans="1:13" s="38" customFormat="1">
      <c r="A158" s="48"/>
      <c r="C158" s="152"/>
      <c r="D158" s="152"/>
      <c r="E158" s="152"/>
      <c r="F158" s="152"/>
      <c r="G158" s="152"/>
      <c r="I158" s="35"/>
      <c r="J158" s="152"/>
      <c r="K158" s="152"/>
      <c r="L158" s="152"/>
      <c r="M158" s="152"/>
    </row>
    <row r="159" spans="1:13" s="38" customFormat="1">
      <c r="A159" s="48"/>
      <c r="C159" s="152"/>
      <c r="D159" s="152"/>
      <c r="E159" s="152"/>
      <c r="F159" s="152"/>
      <c r="G159" s="152"/>
      <c r="I159" s="35"/>
      <c r="J159" s="152"/>
      <c r="K159" s="152"/>
      <c r="L159" s="152"/>
      <c r="M159" s="152"/>
    </row>
    <row r="160" spans="1:13" s="38" customFormat="1">
      <c r="A160" s="48"/>
      <c r="C160" s="152"/>
      <c r="D160" s="152"/>
      <c r="E160" s="152"/>
      <c r="F160" s="152"/>
      <c r="G160" s="152"/>
      <c r="I160" s="35"/>
      <c r="J160" s="152"/>
      <c r="K160" s="152"/>
      <c r="L160" s="152"/>
      <c r="M160" s="152"/>
    </row>
    <row r="161" spans="1:13" s="38" customFormat="1">
      <c r="A161" s="48"/>
      <c r="C161" s="152"/>
      <c r="D161" s="152"/>
      <c r="E161" s="152"/>
      <c r="F161" s="152"/>
      <c r="G161" s="152"/>
      <c r="I161" s="35"/>
      <c r="J161" s="152"/>
      <c r="K161" s="152"/>
      <c r="L161" s="152"/>
      <c r="M161" s="152"/>
    </row>
    <row r="162" spans="1:13" s="38" customFormat="1">
      <c r="A162" s="48"/>
      <c r="C162" s="152"/>
      <c r="D162" s="152"/>
      <c r="E162" s="152"/>
      <c r="F162" s="152"/>
      <c r="G162" s="152"/>
      <c r="I162" s="35"/>
      <c r="J162" s="152"/>
      <c r="K162" s="152"/>
      <c r="L162" s="152"/>
      <c r="M162" s="152"/>
    </row>
    <row r="163" spans="1:13" s="38" customFormat="1">
      <c r="A163" s="48"/>
      <c r="C163" s="152"/>
      <c r="D163" s="152"/>
      <c r="E163" s="152"/>
      <c r="F163" s="152"/>
      <c r="G163" s="152"/>
      <c r="I163" s="35"/>
      <c r="J163" s="152"/>
      <c r="K163" s="152"/>
      <c r="L163" s="152"/>
      <c r="M163" s="152"/>
    </row>
    <row r="164" spans="1:13" s="38" customFormat="1">
      <c r="A164" s="48"/>
      <c r="C164" s="152"/>
      <c r="D164" s="152"/>
      <c r="E164" s="152"/>
      <c r="F164" s="152"/>
      <c r="G164" s="152"/>
      <c r="I164" s="35"/>
      <c r="J164" s="152"/>
      <c r="K164" s="152"/>
      <c r="L164" s="152"/>
      <c r="M164" s="152"/>
    </row>
    <row r="165" spans="1:13" s="38" customFormat="1">
      <c r="A165" s="48"/>
      <c r="C165" s="152"/>
      <c r="D165" s="152"/>
      <c r="E165" s="152"/>
      <c r="F165" s="152"/>
      <c r="G165" s="152"/>
      <c r="I165" s="35"/>
      <c r="J165" s="152"/>
      <c r="K165" s="152"/>
      <c r="L165" s="152"/>
      <c r="M165" s="152"/>
    </row>
    <row r="166" spans="1:13" s="38" customFormat="1">
      <c r="A166" s="48"/>
      <c r="C166" s="152"/>
      <c r="D166" s="152"/>
      <c r="E166" s="152"/>
      <c r="F166" s="152"/>
      <c r="G166" s="152"/>
      <c r="I166" s="35"/>
      <c r="J166" s="152"/>
      <c r="K166" s="152"/>
      <c r="L166" s="152"/>
      <c r="M166" s="152"/>
    </row>
    <row r="167" spans="1:13" s="38" customFormat="1">
      <c r="A167" s="48"/>
      <c r="C167" s="152"/>
      <c r="D167" s="152"/>
      <c r="E167" s="152"/>
      <c r="F167" s="152"/>
      <c r="G167" s="152"/>
      <c r="I167" s="35"/>
      <c r="J167" s="152"/>
      <c r="K167" s="152"/>
      <c r="L167" s="152"/>
      <c r="M167" s="152"/>
    </row>
    <row r="168" spans="1:13" s="38" customFormat="1">
      <c r="A168" s="48"/>
      <c r="C168" s="152"/>
      <c r="D168" s="152"/>
      <c r="E168" s="152"/>
      <c r="F168" s="152"/>
      <c r="G168" s="152"/>
      <c r="I168" s="35"/>
      <c r="J168" s="152"/>
      <c r="K168" s="152"/>
      <c r="L168" s="152"/>
      <c r="M168" s="152"/>
    </row>
    <row r="169" spans="1:13" s="38" customFormat="1">
      <c r="A169" s="48"/>
      <c r="C169" s="152"/>
      <c r="D169" s="152"/>
      <c r="E169" s="152"/>
      <c r="F169" s="152"/>
      <c r="G169" s="152"/>
      <c r="I169" s="35"/>
      <c r="J169" s="152"/>
      <c r="K169" s="152"/>
      <c r="L169" s="152"/>
      <c r="M169" s="152"/>
    </row>
    <row r="170" spans="1:13" s="38" customFormat="1">
      <c r="A170" s="48"/>
      <c r="C170" s="152"/>
      <c r="D170" s="152"/>
      <c r="E170" s="152"/>
      <c r="F170" s="152"/>
      <c r="G170" s="152"/>
      <c r="I170" s="35"/>
      <c r="J170" s="152"/>
      <c r="K170" s="152"/>
      <c r="L170" s="152"/>
      <c r="M170" s="152"/>
    </row>
    <row r="171" spans="1:13" s="38" customFormat="1">
      <c r="A171" s="48"/>
      <c r="C171" s="152"/>
      <c r="D171" s="152"/>
      <c r="E171" s="152"/>
      <c r="F171" s="152"/>
      <c r="G171" s="152"/>
      <c r="I171" s="35"/>
      <c r="J171" s="152"/>
      <c r="K171" s="152"/>
      <c r="L171" s="152"/>
      <c r="M171" s="152"/>
    </row>
    <row r="172" spans="1:13" s="38" customFormat="1">
      <c r="A172" s="48"/>
      <c r="C172" s="152"/>
      <c r="D172" s="152"/>
      <c r="E172" s="152"/>
      <c r="F172" s="152"/>
      <c r="G172" s="152"/>
      <c r="I172" s="35"/>
      <c r="J172" s="152"/>
      <c r="K172" s="152"/>
      <c r="L172" s="152"/>
      <c r="M172" s="152"/>
    </row>
    <row r="173" spans="1:13" s="38" customFormat="1">
      <c r="A173" s="48"/>
      <c r="C173" s="152"/>
      <c r="D173" s="152"/>
      <c r="E173" s="152"/>
      <c r="F173" s="152"/>
      <c r="G173" s="152"/>
      <c r="I173" s="35"/>
      <c r="J173" s="152"/>
      <c r="K173" s="152"/>
      <c r="L173" s="152"/>
      <c r="M173" s="152"/>
    </row>
    <row r="174" spans="1:13" s="38" customFormat="1">
      <c r="A174" s="48"/>
      <c r="C174" s="152"/>
      <c r="D174" s="152"/>
      <c r="E174" s="152"/>
      <c r="F174" s="152"/>
      <c r="G174" s="152"/>
      <c r="I174" s="35"/>
      <c r="J174" s="152"/>
      <c r="K174" s="152"/>
      <c r="L174" s="152"/>
      <c r="M174" s="152"/>
    </row>
    <row r="175" spans="1:13" s="38" customFormat="1">
      <c r="A175" s="48"/>
      <c r="C175" s="152"/>
      <c r="D175" s="152"/>
      <c r="E175" s="152"/>
      <c r="F175" s="152"/>
      <c r="G175" s="152"/>
      <c r="I175" s="35"/>
      <c r="J175" s="152"/>
      <c r="K175" s="152"/>
      <c r="L175" s="152"/>
      <c r="M175" s="152"/>
    </row>
    <row r="176" spans="1:13" s="38" customFormat="1">
      <c r="A176" s="48"/>
      <c r="C176" s="152"/>
      <c r="D176" s="152"/>
      <c r="E176" s="152"/>
      <c r="F176" s="152"/>
      <c r="G176" s="152"/>
      <c r="I176" s="35"/>
      <c r="J176" s="152"/>
      <c r="K176" s="152"/>
      <c r="L176" s="152"/>
      <c r="M176" s="152"/>
    </row>
    <row r="177" spans="1:13" s="38" customFormat="1">
      <c r="A177" s="48"/>
      <c r="C177" s="152"/>
      <c r="D177" s="152"/>
      <c r="E177" s="152"/>
      <c r="F177" s="152"/>
      <c r="G177" s="152"/>
      <c r="I177" s="35"/>
      <c r="J177" s="152"/>
      <c r="K177" s="152"/>
      <c r="L177" s="152"/>
      <c r="M177" s="152"/>
    </row>
    <row r="178" spans="1:13" s="38" customFormat="1">
      <c r="A178" s="48"/>
      <c r="C178" s="152"/>
      <c r="D178" s="152"/>
      <c r="E178" s="152"/>
      <c r="F178" s="152"/>
      <c r="G178" s="152"/>
      <c r="I178" s="35"/>
      <c r="J178" s="152"/>
      <c r="K178" s="152"/>
      <c r="L178" s="152"/>
      <c r="M178" s="152"/>
    </row>
    <row r="179" spans="1:13" s="38" customFormat="1">
      <c r="A179" s="48"/>
      <c r="C179" s="152"/>
      <c r="D179" s="152"/>
      <c r="E179" s="152"/>
      <c r="F179" s="152"/>
      <c r="G179" s="152"/>
      <c r="I179" s="35"/>
      <c r="J179" s="152"/>
      <c r="K179" s="152"/>
      <c r="L179" s="152"/>
      <c r="M179" s="152"/>
    </row>
    <row r="180" spans="1:13" s="38" customFormat="1">
      <c r="A180" s="48"/>
      <c r="C180" s="152"/>
      <c r="D180" s="152"/>
      <c r="E180" s="152"/>
      <c r="F180" s="152"/>
      <c r="G180" s="152"/>
      <c r="I180" s="35"/>
      <c r="J180" s="152"/>
      <c r="K180" s="152"/>
      <c r="L180" s="152"/>
      <c r="M180" s="152"/>
    </row>
    <row r="181" spans="1:13" s="38" customFormat="1">
      <c r="A181" s="48"/>
      <c r="C181" s="152"/>
      <c r="D181" s="152"/>
      <c r="E181" s="152"/>
      <c r="F181" s="152"/>
      <c r="G181" s="152"/>
      <c r="I181" s="35"/>
      <c r="J181" s="152"/>
      <c r="K181" s="152"/>
      <c r="L181" s="152"/>
      <c r="M181" s="152"/>
    </row>
    <row r="182" spans="1:13" s="38" customFormat="1">
      <c r="A182" s="48"/>
      <c r="C182" s="152"/>
      <c r="D182" s="152"/>
      <c r="E182" s="152"/>
      <c r="F182" s="152"/>
      <c r="G182" s="152"/>
      <c r="I182" s="35"/>
      <c r="J182" s="152"/>
      <c r="K182" s="152"/>
      <c r="L182" s="152"/>
      <c r="M182" s="152"/>
    </row>
    <row r="183" spans="1:13" s="38" customFormat="1">
      <c r="A183" s="48"/>
      <c r="C183" s="152"/>
      <c r="D183" s="152"/>
      <c r="E183" s="152"/>
      <c r="F183" s="152"/>
      <c r="G183" s="152"/>
      <c r="I183" s="35"/>
      <c r="J183" s="152"/>
      <c r="K183" s="152"/>
      <c r="L183" s="152"/>
      <c r="M183" s="152"/>
    </row>
    <row r="184" spans="1:13" s="38" customFormat="1">
      <c r="A184" s="48"/>
      <c r="C184" s="152"/>
      <c r="D184" s="152"/>
      <c r="E184" s="152"/>
      <c r="F184" s="152"/>
      <c r="G184" s="152"/>
      <c r="I184" s="35"/>
      <c r="J184" s="152"/>
      <c r="K184" s="152"/>
      <c r="L184" s="152"/>
      <c r="M184" s="152"/>
    </row>
    <row r="185" spans="1:13" s="38" customFormat="1">
      <c r="A185" s="48"/>
      <c r="C185" s="152"/>
      <c r="D185" s="152"/>
      <c r="E185" s="152"/>
      <c r="F185" s="152"/>
      <c r="G185" s="152"/>
      <c r="I185" s="35"/>
      <c r="J185" s="152"/>
      <c r="K185" s="152"/>
      <c r="L185" s="152"/>
      <c r="M185" s="152"/>
    </row>
    <row r="186" spans="1:13" s="38" customFormat="1">
      <c r="A186" s="48"/>
      <c r="C186" s="152"/>
      <c r="D186" s="152"/>
      <c r="E186" s="152"/>
      <c r="F186" s="152"/>
      <c r="G186" s="152"/>
      <c r="I186" s="35"/>
      <c r="J186" s="152"/>
      <c r="K186" s="152"/>
      <c r="L186" s="152"/>
      <c r="M186" s="152"/>
    </row>
    <row r="187" spans="1:13" s="38" customFormat="1">
      <c r="A187" s="48"/>
      <c r="C187" s="152"/>
      <c r="D187" s="152"/>
      <c r="E187" s="152"/>
      <c r="F187" s="152"/>
      <c r="G187" s="152"/>
      <c r="I187" s="35"/>
      <c r="J187" s="152"/>
      <c r="K187" s="152"/>
      <c r="L187" s="152"/>
      <c r="M187" s="152"/>
    </row>
    <row r="188" spans="1:13" s="38" customFormat="1">
      <c r="A188" s="48"/>
      <c r="C188" s="152"/>
      <c r="D188" s="152"/>
      <c r="E188" s="152"/>
      <c r="F188" s="152"/>
      <c r="G188" s="152"/>
      <c r="I188" s="35"/>
      <c r="J188" s="152"/>
      <c r="K188" s="152"/>
      <c r="L188" s="152"/>
      <c r="M188" s="152"/>
    </row>
    <row r="189" spans="1:13" s="38" customFormat="1">
      <c r="A189" s="48"/>
      <c r="C189" s="152"/>
      <c r="D189" s="152"/>
      <c r="E189" s="152"/>
      <c r="F189" s="152"/>
      <c r="G189" s="152"/>
      <c r="I189" s="35"/>
      <c r="J189" s="152"/>
      <c r="K189" s="152"/>
      <c r="L189" s="152"/>
      <c r="M189" s="152"/>
    </row>
    <row r="190" spans="1:13" s="38" customFormat="1">
      <c r="A190" s="48"/>
      <c r="C190" s="152"/>
      <c r="D190" s="152"/>
      <c r="E190" s="152"/>
      <c r="F190" s="152"/>
      <c r="G190" s="152"/>
      <c r="I190" s="35"/>
      <c r="J190" s="152"/>
      <c r="K190" s="152"/>
      <c r="L190" s="152"/>
      <c r="M190" s="152"/>
    </row>
    <row r="191" spans="1:13" s="38" customFormat="1">
      <c r="A191" s="48"/>
      <c r="C191" s="152"/>
      <c r="D191" s="152"/>
      <c r="E191" s="152"/>
      <c r="F191" s="152"/>
      <c r="G191" s="152"/>
      <c r="I191" s="35"/>
      <c r="J191" s="152"/>
      <c r="K191" s="152"/>
      <c r="L191" s="152"/>
      <c r="M191" s="152"/>
    </row>
    <row r="192" spans="1:13" s="38" customFormat="1">
      <c r="A192" s="48"/>
      <c r="C192" s="152"/>
      <c r="D192" s="152"/>
      <c r="E192" s="152"/>
      <c r="F192" s="152"/>
      <c r="G192" s="152"/>
      <c r="I192" s="35"/>
      <c r="J192" s="152"/>
      <c r="K192" s="152"/>
      <c r="L192" s="152"/>
      <c r="M192" s="152"/>
    </row>
    <row r="193" spans="1:13" s="38" customFormat="1">
      <c r="A193" s="48"/>
      <c r="C193" s="152"/>
      <c r="D193" s="152"/>
      <c r="E193" s="152"/>
      <c r="F193" s="152"/>
      <c r="G193" s="152"/>
      <c r="I193" s="35"/>
      <c r="J193" s="152"/>
      <c r="K193" s="152"/>
      <c r="L193" s="152"/>
      <c r="M193" s="152"/>
    </row>
    <row r="194" spans="1:13" s="38" customFormat="1">
      <c r="A194" s="48"/>
      <c r="C194" s="152"/>
      <c r="D194" s="152"/>
      <c r="E194" s="152"/>
      <c r="F194" s="152"/>
      <c r="G194" s="152"/>
      <c r="I194" s="35"/>
      <c r="J194" s="152"/>
      <c r="K194" s="152"/>
      <c r="L194" s="152"/>
      <c r="M194" s="152"/>
    </row>
    <row r="195" spans="1:13" s="38" customFormat="1">
      <c r="A195" s="48"/>
      <c r="C195" s="152"/>
      <c r="D195" s="152"/>
      <c r="E195" s="152"/>
      <c r="F195" s="152"/>
      <c r="G195" s="152"/>
      <c r="I195" s="35"/>
      <c r="J195" s="152"/>
      <c r="K195" s="152"/>
      <c r="L195" s="152"/>
      <c r="M195" s="152"/>
    </row>
    <row r="196" spans="1:13" s="38" customFormat="1">
      <c r="A196" s="48"/>
      <c r="C196" s="152"/>
      <c r="D196" s="152"/>
      <c r="E196" s="152"/>
      <c r="F196" s="152"/>
      <c r="G196" s="152"/>
      <c r="I196" s="35"/>
      <c r="J196" s="152"/>
      <c r="K196" s="152"/>
      <c r="L196" s="152"/>
      <c r="M196" s="152"/>
    </row>
    <row r="197" spans="1:13" s="38" customFormat="1">
      <c r="A197" s="48"/>
      <c r="C197" s="152"/>
      <c r="D197" s="152"/>
      <c r="E197" s="152"/>
      <c r="F197" s="152"/>
      <c r="G197" s="152"/>
      <c r="I197" s="35"/>
      <c r="J197" s="152"/>
      <c r="K197" s="152"/>
      <c r="L197" s="152"/>
      <c r="M197" s="152"/>
    </row>
    <row r="198" spans="1:13" s="38" customFormat="1">
      <c r="A198" s="48"/>
      <c r="C198" s="152"/>
      <c r="D198" s="152"/>
      <c r="E198" s="152"/>
      <c r="F198" s="152"/>
      <c r="G198" s="152"/>
      <c r="I198" s="35"/>
      <c r="J198" s="152"/>
      <c r="K198" s="152"/>
      <c r="L198" s="152"/>
      <c r="M198" s="152"/>
    </row>
    <row r="199" spans="1:13" s="38" customFormat="1">
      <c r="A199" s="48"/>
      <c r="C199" s="152"/>
      <c r="D199" s="152"/>
      <c r="E199" s="152"/>
      <c r="F199" s="152"/>
      <c r="G199" s="152"/>
      <c r="I199" s="35"/>
      <c r="J199" s="152"/>
      <c r="K199" s="152"/>
      <c r="L199" s="152"/>
      <c r="M199" s="152"/>
    </row>
  </sheetData>
  <mergeCells count="10">
    <mergeCell ref="A1:H1"/>
    <mergeCell ref="C49:D49"/>
    <mergeCell ref="F49:H49"/>
    <mergeCell ref="C48:D48"/>
    <mergeCell ref="F48:H48"/>
    <mergeCell ref="A2:H2"/>
    <mergeCell ref="A3:A4"/>
    <mergeCell ref="B3:B4"/>
    <mergeCell ref="C3:D3"/>
    <mergeCell ref="E3:H3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H8 H21 H23 H30:H33 H36 H39 H44 H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96"/>
  <sheetViews>
    <sheetView zoomScale="75" zoomScaleNormal="75" zoomScaleSheetLayoutView="75" workbookViewId="0">
      <pane xSplit="1" ySplit="5" topLeftCell="B6" activePane="bottomRight" state="frozen"/>
      <selection activeCell="A67" sqref="A67"/>
      <selection pane="topRight" activeCell="A67" sqref="A67"/>
      <selection pane="bottomLeft" activeCell="A67" sqref="A67"/>
      <selection pane="bottomRight" activeCell="O31" sqref="O31"/>
    </sheetView>
  </sheetViews>
  <sheetFormatPr defaultColWidth="9.109375" defaultRowHeight="18"/>
  <cols>
    <col min="1" max="1" width="88" style="2" customWidth="1"/>
    <col min="2" max="2" width="15" style="2" customWidth="1"/>
    <col min="3" max="7" width="20.44140625" style="25" customWidth="1"/>
    <col min="8" max="8" width="18.44140625" style="2" customWidth="1"/>
    <col min="9" max="9" width="9.109375" style="2"/>
    <col min="10" max="13" width="20.44140625" style="25" hidden="1" customWidth="1"/>
    <col min="14" max="16384" width="9.109375" style="2"/>
  </cols>
  <sheetData>
    <row r="1" spans="1:13">
      <c r="A1" s="317" t="s">
        <v>275</v>
      </c>
      <c r="B1" s="317"/>
      <c r="C1" s="317"/>
      <c r="D1" s="317"/>
      <c r="E1" s="317"/>
      <c r="F1" s="317"/>
      <c r="G1" s="317"/>
      <c r="H1" s="317"/>
      <c r="J1" s="2"/>
      <c r="K1" s="2"/>
      <c r="L1" s="2"/>
      <c r="M1" s="2"/>
    </row>
    <row r="2" spans="1:13" ht="8.1" customHeight="1">
      <c r="A2" s="19"/>
      <c r="B2" s="19"/>
      <c r="C2" s="136"/>
      <c r="D2" s="136"/>
      <c r="E2" s="136"/>
      <c r="F2" s="136"/>
      <c r="G2" s="136"/>
      <c r="H2" s="19"/>
      <c r="J2" s="136"/>
      <c r="K2" s="136"/>
      <c r="L2" s="136"/>
      <c r="M2" s="136"/>
    </row>
    <row r="3" spans="1:13" ht="42.45" customHeight="1">
      <c r="A3" s="332" t="s">
        <v>191</v>
      </c>
      <c r="B3" s="348" t="s">
        <v>0</v>
      </c>
      <c r="C3" s="330" t="s">
        <v>334</v>
      </c>
      <c r="D3" s="330"/>
      <c r="E3" s="331" t="s">
        <v>577</v>
      </c>
      <c r="F3" s="331"/>
      <c r="G3" s="331"/>
      <c r="H3" s="331"/>
      <c r="J3" s="182" t="s">
        <v>558</v>
      </c>
      <c r="K3" s="182" t="s">
        <v>559</v>
      </c>
      <c r="L3" s="182" t="s">
        <v>560</v>
      </c>
      <c r="M3" s="2"/>
    </row>
    <row r="4" spans="1:13" ht="24.15" customHeight="1">
      <c r="A4" s="332"/>
      <c r="B4" s="348"/>
      <c r="C4" s="121" t="s">
        <v>178</v>
      </c>
      <c r="D4" s="121" t="s">
        <v>179</v>
      </c>
      <c r="E4" s="121" t="s">
        <v>180</v>
      </c>
      <c r="F4" s="121" t="s">
        <v>167</v>
      </c>
      <c r="G4" s="139" t="s">
        <v>186</v>
      </c>
      <c r="H4" s="55" t="s">
        <v>187</v>
      </c>
      <c r="J4" s="121" t="s">
        <v>167</v>
      </c>
      <c r="K4" s="121" t="s">
        <v>167</v>
      </c>
      <c r="L4" s="121" t="s">
        <v>167</v>
      </c>
      <c r="M4" s="121" t="s">
        <v>167</v>
      </c>
    </row>
    <row r="5" spans="1:13" s="164" customFormat="1">
      <c r="A5" s="162">
        <v>1</v>
      </c>
      <c r="B5" s="163">
        <v>2</v>
      </c>
      <c r="C5" s="163">
        <v>6</v>
      </c>
      <c r="D5" s="163">
        <v>6</v>
      </c>
      <c r="E5" s="162">
        <v>5</v>
      </c>
      <c r="F5" s="163">
        <v>6</v>
      </c>
      <c r="G5" s="162">
        <v>7</v>
      </c>
      <c r="H5" s="163">
        <v>8</v>
      </c>
      <c r="J5" s="163">
        <v>6</v>
      </c>
      <c r="K5" s="163">
        <v>6</v>
      </c>
      <c r="L5" s="163">
        <v>6</v>
      </c>
      <c r="M5" s="163">
        <v>6</v>
      </c>
    </row>
    <row r="6" spans="1:13" ht="22.2" customHeight="1">
      <c r="A6" s="111" t="s">
        <v>284</v>
      </c>
      <c r="B6" s="94"/>
      <c r="C6" s="153"/>
      <c r="D6" s="153"/>
      <c r="E6" s="153"/>
      <c r="F6" s="153"/>
      <c r="G6" s="153"/>
      <c r="H6" s="95"/>
      <c r="J6" s="153"/>
      <c r="K6" s="153"/>
      <c r="L6" s="153"/>
      <c r="M6" s="153"/>
    </row>
    <row r="7" spans="1:13" s="47" customFormat="1" ht="27.9" customHeight="1">
      <c r="A7" s="102" t="s">
        <v>256</v>
      </c>
      <c r="B7" s="93">
        <v>3000</v>
      </c>
      <c r="C7" s="129">
        <f t="shared" ref="C7" si="0">C8+C11+C23</f>
        <v>64068.5</v>
      </c>
      <c r="D7" s="129">
        <f t="shared" ref="D7" si="1">D8+D11+D23</f>
        <v>70360.5</v>
      </c>
      <c r="E7" s="129">
        <f t="shared" ref="E7:F7" si="2">E8+E11+E23</f>
        <v>70051.3</v>
      </c>
      <c r="F7" s="129">
        <f t="shared" si="2"/>
        <v>70360.5</v>
      </c>
      <c r="G7" s="141">
        <f>F7-E7</f>
        <v>309.19999999999709</v>
      </c>
      <c r="H7" s="106">
        <f>(F7/E7)*100</f>
        <v>100.4413908093069</v>
      </c>
      <c r="J7" s="129">
        <v>15638.8</v>
      </c>
      <c r="K7" s="129">
        <f t="shared" ref="K7" si="3">K8+K11+K23</f>
        <v>15878.099999999999</v>
      </c>
      <c r="L7" s="129">
        <v>19347.400000000001</v>
      </c>
      <c r="M7" s="129">
        <v>19496.2</v>
      </c>
    </row>
    <row r="8" spans="1:13" ht="20.100000000000001" customHeight="1">
      <c r="A8" s="7" t="s">
        <v>391</v>
      </c>
      <c r="B8" s="8">
        <v>3010</v>
      </c>
      <c r="C8" s="121">
        <v>63574.8</v>
      </c>
      <c r="D8" s="121">
        <f>F8</f>
        <v>69794</v>
      </c>
      <c r="E8" s="121">
        <v>69520.7</v>
      </c>
      <c r="F8" s="121">
        <f>J8+K8+L8+M8</f>
        <v>69794</v>
      </c>
      <c r="G8" s="121">
        <f t="shared" ref="G8:G93" si="4">F8-E8</f>
        <v>273.30000000000291</v>
      </c>
      <c r="H8" s="105">
        <f t="shared" ref="H8:H93" si="5">(F8/E8)*100</f>
        <v>100.39312032243635</v>
      </c>
      <c r="J8" s="121">
        <v>15562.9</v>
      </c>
      <c r="K8" s="121">
        <v>15709.9</v>
      </c>
      <c r="L8" s="121">
        <v>19277.7</v>
      </c>
      <c r="M8" s="274">
        <v>19243.5</v>
      </c>
    </row>
    <row r="9" spans="1:13" ht="20.100000000000001" customHeight="1">
      <c r="A9" s="7" t="s">
        <v>276</v>
      </c>
      <c r="B9" s="8">
        <v>3020</v>
      </c>
      <c r="C9" s="121">
        <v>0</v>
      </c>
      <c r="D9" s="121">
        <f>F9+J9+K9</f>
        <v>0</v>
      </c>
      <c r="E9" s="121">
        <v>0</v>
      </c>
      <c r="F9" s="121">
        <v>0</v>
      </c>
      <c r="G9" s="121">
        <f t="shared" si="4"/>
        <v>0</v>
      </c>
      <c r="H9" s="105"/>
      <c r="J9" s="121">
        <v>0</v>
      </c>
      <c r="K9" s="121">
        <v>0</v>
      </c>
      <c r="L9" s="121">
        <v>0</v>
      </c>
      <c r="M9" s="121">
        <v>0</v>
      </c>
    </row>
    <row r="10" spans="1:13" ht="20.100000000000001" customHeight="1">
      <c r="A10" s="7" t="s">
        <v>277</v>
      </c>
      <c r="B10" s="8">
        <v>3021</v>
      </c>
      <c r="C10" s="121">
        <v>0</v>
      </c>
      <c r="D10" s="121">
        <f>F10+J10+K10</f>
        <v>0</v>
      </c>
      <c r="E10" s="121">
        <v>0</v>
      </c>
      <c r="F10" s="121">
        <v>0</v>
      </c>
      <c r="G10" s="121">
        <f t="shared" si="4"/>
        <v>0</v>
      </c>
      <c r="H10" s="105"/>
      <c r="J10" s="121">
        <v>0</v>
      </c>
      <c r="K10" s="121">
        <v>0</v>
      </c>
      <c r="L10" s="121">
        <v>0</v>
      </c>
      <c r="M10" s="121">
        <v>0</v>
      </c>
    </row>
    <row r="11" spans="1:13" s="4" customFormat="1" ht="20.100000000000001" customHeight="1">
      <c r="A11" s="9" t="s">
        <v>390</v>
      </c>
      <c r="B11" s="10">
        <v>3030</v>
      </c>
      <c r="C11" s="141">
        <v>21</v>
      </c>
      <c r="D11" s="141">
        <f>F11</f>
        <v>24.6</v>
      </c>
      <c r="E11" s="141">
        <v>30.6</v>
      </c>
      <c r="F11" s="141">
        <f>J11+K11+L11+M11</f>
        <v>24.6</v>
      </c>
      <c r="G11" s="141">
        <f t="shared" si="4"/>
        <v>-6</v>
      </c>
      <c r="H11" s="105">
        <f t="shared" si="5"/>
        <v>80.392156862745097</v>
      </c>
      <c r="J11" s="141">
        <v>3.5</v>
      </c>
      <c r="K11" s="141">
        <v>5.3</v>
      </c>
      <c r="L11" s="141">
        <v>6.3</v>
      </c>
      <c r="M11" s="141">
        <v>9.5</v>
      </c>
    </row>
    <row r="12" spans="1:13" ht="20.100000000000001" hidden="1" customHeight="1">
      <c r="A12" s="19" t="s">
        <v>469</v>
      </c>
      <c r="B12" s="165"/>
      <c r="C12" s="113">
        <v>271.60000000000002</v>
      </c>
      <c r="D12" s="113">
        <v>271.60000000000002</v>
      </c>
      <c r="E12" s="113">
        <v>403.5</v>
      </c>
      <c r="F12" s="113">
        <v>271.60000000000002</v>
      </c>
      <c r="G12" s="113">
        <f t="shared" si="4"/>
        <v>-131.89999999999998</v>
      </c>
      <c r="H12" s="105">
        <f t="shared" si="5"/>
        <v>67.311028500619585</v>
      </c>
      <c r="J12" s="113">
        <v>271.60000000000002</v>
      </c>
      <c r="K12" s="113">
        <v>271.60000000000002</v>
      </c>
      <c r="L12" s="113">
        <v>271.60000000000002</v>
      </c>
      <c r="M12" s="113">
        <v>271.60000000000002</v>
      </c>
    </row>
    <row r="13" spans="1:13" ht="20.100000000000001" hidden="1" customHeight="1">
      <c r="A13" s="134" t="s">
        <v>470</v>
      </c>
      <c r="B13" s="165"/>
      <c r="C13" s="113">
        <v>2332.4</v>
      </c>
      <c r="D13" s="113">
        <v>2332.4</v>
      </c>
      <c r="E13" s="113">
        <v>2602.9</v>
      </c>
      <c r="F13" s="113">
        <v>2332.4</v>
      </c>
      <c r="G13" s="113">
        <f t="shared" si="4"/>
        <v>-270.5</v>
      </c>
      <c r="H13" s="105">
        <f t="shared" si="5"/>
        <v>89.60774520726882</v>
      </c>
      <c r="J13" s="113">
        <v>2332.4</v>
      </c>
      <c r="K13" s="113">
        <v>2332.4</v>
      </c>
      <c r="L13" s="113">
        <v>2332.4</v>
      </c>
      <c r="M13" s="113">
        <v>2332.4</v>
      </c>
    </row>
    <row r="14" spans="1:13" ht="20.100000000000001" hidden="1" customHeight="1">
      <c r="A14" s="134" t="s">
        <v>249</v>
      </c>
      <c r="B14" s="165"/>
      <c r="C14" s="113">
        <v>918.8</v>
      </c>
      <c r="D14" s="113">
        <v>918.8</v>
      </c>
      <c r="E14" s="113">
        <v>0</v>
      </c>
      <c r="F14" s="113">
        <v>918.8</v>
      </c>
      <c r="G14" s="113">
        <f t="shared" si="4"/>
        <v>918.8</v>
      </c>
      <c r="H14" s="105"/>
      <c r="J14" s="113">
        <v>918.8</v>
      </c>
      <c r="K14" s="113">
        <v>918.8</v>
      </c>
      <c r="L14" s="113">
        <v>918.8</v>
      </c>
      <c r="M14" s="113">
        <v>918.8</v>
      </c>
    </row>
    <row r="15" spans="1:13" ht="20.100000000000001" hidden="1" customHeight="1">
      <c r="A15" s="134" t="s">
        <v>471</v>
      </c>
      <c r="B15" s="165"/>
      <c r="C15" s="113">
        <v>0</v>
      </c>
      <c r="D15" s="113">
        <v>0</v>
      </c>
      <c r="E15" s="113">
        <v>0</v>
      </c>
      <c r="F15" s="113">
        <v>0</v>
      </c>
      <c r="G15" s="113">
        <f t="shared" si="4"/>
        <v>0</v>
      </c>
      <c r="H15" s="105"/>
      <c r="J15" s="113">
        <v>0</v>
      </c>
      <c r="K15" s="113">
        <v>0</v>
      </c>
      <c r="L15" s="113">
        <v>0</v>
      </c>
      <c r="M15" s="113">
        <v>0</v>
      </c>
    </row>
    <row r="16" spans="1:13" ht="20.100000000000001" hidden="1" customHeight="1">
      <c r="A16" s="134" t="s">
        <v>472</v>
      </c>
      <c r="B16" s="165"/>
      <c r="C16" s="113">
        <v>0</v>
      </c>
      <c r="D16" s="113">
        <v>0</v>
      </c>
      <c r="E16" s="113">
        <v>0</v>
      </c>
      <c r="F16" s="113">
        <v>0</v>
      </c>
      <c r="G16" s="113">
        <f t="shared" si="4"/>
        <v>0</v>
      </c>
      <c r="H16" s="105"/>
      <c r="J16" s="113">
        <v>0</v>
      </c>
      <c r="K16" s="113">
        <v>0</v>
      </c>
      <c r="L16" s="113">
        <v>0</v>
      </c>
      <c r="M16" s="113">
        <v>0</v>
      </c>
    </row>
    <row r="17" spans="1:13" ht="20.100000000000001" hidden="1" customHeight="1">
      <c r="A17" s="134" t="s">
        <v>473</v>
      </c>
      <c r="B17" s="165"/>
      <c r="C17" s="113">
        <v>53</v>
      </c>
      <c r="D17" s="113">
        <v>53</v>
      </c>
      <c r="E17" s="113">
        <v>25</v>
      </c>
      <c r="F17" s="113">
        <v>53</v>
      </c>
      <c r="G17" s="113">
        <f t="shared" si="4"/>
        <v>28</v>
      </c>
      <c r="H17" s="105">
        <f t="shared" si="5"/>
        <v>212</v>
      </c>
      <c r="J17" s="113">
        <v>53</v>
      </c>
      <c r="K17" s="113">
        <v>53</v>
      </c>
      <c r="L17" s="113">
        <v>53</v>
      </c>
      <c r="M17" s="113">
        <v>53</v>
      </c>
    </row>
    <row r="18" spans="1:13" ht="20.100000000000001" customHeight="1">
      <c r="A18" s="7" t="s">
        <v>257</v>
      </c>
      <c r="B18" s="8">
        <v>3040</v>
      </c>
      <c r="C18" s="121"/>
      <c r="D18" s="121"/>
      <c r="E18" s="121"/>
      <c r="F18" s="121"/>
      <c r="G18" s="121">
        <f t="shared" si="4"/>
        <v>0</v>
      </c>
      <c r="H18" s="105"/>
      <c r="J18" s="121"/>
      <c r="K18" s="121"/>
      <c r="L18" s="121"/>
      <c r="M18" s="121"/>
    </row>
    <row r="19" spans="1:13" ht="20.100000000000001" customHeight="1">
      <c r="A19" s="7" t="s">
        <v>80</v>
      </c>
      <c r="B19" s="8">
        <v>3050</v>
      </c>
      <c r="C19" s="115">
        <f>SUM(C20:C22)</f>
        <v>0</v>
      </c>
      <c r="D19" s="115">
        <f>SUM(D20:D22)</f>
        <v>0</v>
      </c>
      <c r="E19" s="115">
        <f>SUM(E20:E22)</f>
        <v>0</v>
      </c>
      <c r="F19" s="115">
        <f>SUM(F20:F22)</f>
        <v>0</v>
      </c>
      <c r="G19" s="121">
        <f t="shared" si="4"/>
        <v>0</v>
      </c>
      <c r="H19" s="105"/>
      <c r="J19" s="115">
        <v>0</v>
      </c>
      <c r="K19" s="115">
        <f>SUM(K20:K22)</f>
        <v>0</v>
      </c>
      <c r="L19" s="115">
        <v>0</v>
      </c>
      <c r="M19" s="115">
        <v>0</v>
      </c>
    </row>
    <row r="20" spans="1:13" ht="18.75" customHeight="1">
      <c r="A20" s="7" t="s">
        <v>78</v>
      </c>
      <c r="B20" s="5">
        <v>3051</v>
      </c>
      <c r="C20" s="121"/>
      <c r="D20" s="121"/>
      <c r="E20" s="121"/>
      <c r="F20" s="121"/>
      <c r="G20" s="121">
        <f t="shared" si="4"/>
        <v>0</v>
      </c>
      <c r="H20" s="105"/>
      <c r="J20" s="121"/>
      <c r="K20" s="121"/>
      <c r="L20" s="121"/>
      <c r="M20" s="121"/>
    </row>
    <row r="21" spans="1:13" ht="20.25" customHeight="1">
      <c r="A21" s="7" t="s">
        <v>81</v>
      </c>
      <c r="B21" s="5">
        <v>3052</v>
      </c>
      <c r="C21" s="121"/>
      <c r="D21" s="121"/>
      <c r="E21" s="121"/>
      <c r="F21" s="121"/>
      <c r="G21" s="121">
        <f t="shared" si="4"/>
        <v>0</v>
      </c>
      <c r="H21" s="105"/>
      <c r="J21" s="121"/>
      <c r="K21" s="121"/>
      <c r="L21" s="121"/>
      <c r="M21" s="121"/>
    </row>
    <row r="22" spans="1:13" ht="16.5" customHeight="1">
      <c r="A22" s="7" t="s">
        <v>101</v>
      </c>
      <c r="B22" s="5">
        <v>3053</v>
      </c>
      <c r="C22" s="121"/>
      <c r="D22" s="121"/>
      <c r="E22" s="121"/>
      <c r="F22" s="121"/>
      <c r="G22" s="121">
        <f t="shared" si="4"/>
        <v>0</v>
      </c>
      <c r="H22" s="105"/>
      <c r="J22" s="121"/>
      <c r="K22" s="121"/>
      <c r="L22" s="121"/>
      <c r="M22" s="121"/>
    </row>
    <row r="23" spans="1:13" ht="20.100000000000001" customHeight="1">
      <c r="A23" s="7" t="s">
        <v>392</v>
      </c>
      <c r="B23" s="8">
        <v>3060</v>
      </c>
      <c r="C23" s="121">
        <v>472.7</v>
      </c>
      <c r="D23" s="121">
        <f>F23</f>
        <v>541.9</v>
      </c>
      <c r="E23" s="121">
        <v>500</v>
      </c>
      <c r="F23" s="121">
        <f>J23+K23+L23+M23</f>
        <v>541.9</v>
      </c>
      <c r="G23" s="121">
        <f t="shared" si="4"/>
        <v>41.899999999999977</v>
      </c>
      <c r="H23" s="105">
        <f t="shared" si="5"/>
        <v>108.37999999999998</v>
      </c>
      <c r="J23" s="121">
        <v>72.399999999999991</v>
      </c>
      <c r="K23" s="121">
        <f>6+148.9+5.8+2.2</f>
        <v>162.9</v>
      </c>
      <c r="L23" s="121">
        <v>63.4</v>
      </c>
      <c r="M23" s="121">
        <v>243.2</v>
      </c>
    </row>
    <row r="24" spans="1:13" ht="20.100000000000001" customHeight="1">
      <c r="A24" s="9" t="s">
        <v>270</v>
      </c>
      <c r="B24" s="10">
        <v>3100</v>
      </c>
      <c r="C24" s="129">
        <f>SUM(C25:C28,C32,C49,C50)</f>
        <v>63091.700000000004</v>
      </c>
      <c r="D24" s="129">
        <f>SUM(D25:D28,D32,D49,D50)</f>
        <v>67130.700000000012</v>
      </c>
      <c r="E24" s="129">
        <f>SUM(E25:E28,E32,E49,E50)</f>
        <v>68364.7</v>
      </c>
      <c r="F24" s="129">
        <f>SUM(F25:F28,F32,F49,F50)</f>
        <v>67130.700000000012</v>
      </c>
      <c r="G24" s="141">
        <f t="shared" si="4"/>
        <v>-1233.9999999999854</v>
      </c>
      <c r="H24" s="106">
        <f t="shared" si="5"/>
        <v>98.194974892013008</v>
      </c>
      <c r="J24" s="129">
        <v>15280.999999999998</v>
      </c>
      <c r="K24" s="129">
        <f>SUM(K25:K28,K32,K49,K50)</f>
        <v>15506.3</v>
      </c>
      <c r="L24" s="129">
        <v>18114.199999999997</v>
      </c>
      <c r="M24" s="129">
        <v>18229.199999999997</v>
      </c>
    </row>
    <row r="25" spans="1:13" ht="19.5" customHeight="1">
      <c r="A25" s="7" t="s">
        <v>260</v>
      </c>
      <c r="B25" s="8">
        <v>3110</v>
      </c>
      <c r="C25" s="121">
        <v>26247.5</v>
      </c>
      <c r="D25" s="121">
        <f>F25</f>
        <v>26725.699999999997</v>
      </c>
      <c r="E25" s="121">
        <v>26009.9</v>
      </c>
      <c r="F25" s="121">
        <f t="shared" ref="F25:F27" si="6">J25+K25+L25+M25</f>
        <v>26725.699999999997</v>
      </c>
      <c r="G25" s="121">
        <f t="shared" si="4"/>
        <v>715.79999999999563</v>
      </c>
      <c r="H25" s="105">
        <f t="shared" si="5"/>
        <v>102.75202903509815</v>
      </c>
      <c r="J25" s="121">
        <v>5906.7</v>
      </c>
      <c r="K25" s="121">
        <f>6006.5-K61</f>
        <v>5671.7</v>
      </c>
      <c r="L25" s="121">
        <v>8124.2999999999993</v>
      </c>
      <c r="M25" s="121">
        <v>7022.9999999999991</v>
      </c>
    </row>
    <row r="26" spans="1:13" ht="19.5" customHeight="1">
      <c r="A26" s="7" t="s">
        <v>261</v>
      </c>
      <c r="B26" s="8">
        <v>3120</v>
      </c>
      <c r="C26" s="121">
        <v>17726.8</v>
      </c>
      <c r="D26" s="121">
        <f t="shared" ref="D26:D27" si="7">F26</f>
        <v>19824.3</v>
      </c>
      <c r="E26" s="121">
        <v>21196.6</v>
      </c>
      <c r="F26" s="121">
        <f t="shared" si="6"/>
        <v>19824.3</v>
      </c>
      <c r="G26" s="121">
        <f t="shared" si="4"/>
        <v>-1372.2999999999993</v>
      </c>
      <c r="H26" s="105">
        <f t="shared" si="5"/>
        <v>93.525848485134418</v>
      </c>
      <c r="J26" s="121">
        <v>4629.2</v>
      </c>
      <c r="K26" s="121">
        <v>4672.6000000000004</v>
      </c>
      <c r="L26" s="121">
        <v>5170.3999999999996</v>
      </c>
      <c r="M26" s="121">
        <v>5352.1</v>
      </c>
    </row>
    <row r="27" spans="1:13" ht="19.5" customHeight="1">
      <c r="A27" s="7" t="s">
        <v>6</v>
      </c>
      <c r="B27" s="8">
        <v>3130</v>
      </c>
      <c r="C27" s="121">
        <v>4788.8</v>
      </c>
      <c r="D27" s="121">
        <f t="shared" si="7"/>
        <v>5444.9</v>
      </c>
      <c r="E27" s="121">
        <v>5810.4</v>
      </c>
      <c r="F27" s="121">
        <f t="shared" si="6"/>
        <v>5444.9</v>
      </c>
      <c r="G27" s="121">
        <f t="shared" ref="G27" si="8">F27-E27</f>
        <v>-365.5</v>
      </c>
      <c r="H27" s="105">
        <f t="shared" ref="H27" si="9">(F27/E27)*100</f>
        <v>93.709555280187246</v>
      </c>
      <c r="J27" s="121">
        <v>1264.8</v>
      </c>
      <c r="K27" s="121">
        <f>'ІІ. Розр. з бюджетом'!K39</f>
        <v>1293.0999999999999</v>
      </c>
      <c r="L27" s="121">
        <v>1431.9</v>
      </c>
      <c r="M27" s="121">
        <v>1455.1</v>
      </c>
    </row>
    <row r="28" spans="1:13" ht="19.5" customHeight="1">
      <c r="A28" s="7" t="s">
        <v>79</v>
      </c>
      <c r="B28" s="8">
        <v>3140</v>
      </c>
      <c r="C28" s="115"/>
      <c r="D28" s="115"/>
      <c r="E28" s="115">
        <f>SUM(E29:E31)</f>
        <v>0</v>
      </c>
      <c r="F28" s="115"/>
      <c r="G28" s="121">
        <f t="shared" si="4"/>
        <v>0</v>
      </c>
      <c r="H28" s="105"/>
      <c r="J28" s="115"/>
      <c r="K28" s="115"/>
      <c r="L28" s="115"/>
      <c r="M28" s="115"/>
    </row>
    <row r="29" spans="1:13" ht="19.5" customHeight="1">
      <c r="A29" s="7" t="s">
        <v>78</v>
      </c>
      <c r="B29" s="5">
        <v>3141</v>
      </c>
      <c r="C29" s="121">
        <v>0</v>
      </c>
      <c r="D29" s="121">
        <f>F29+J29+K29</f>
        <v>0</v>
      </c>
      <c r="E29" s="121">
        <v>0</v>
      </c>
      <c r="F29" s="121">
        <v>0</v>
      </c>
      <c r="G29" s="121">
        <f t="shared" si="4"/>
        <v>0</v>
      </c>
      <c r="H29" s="105"/>
      <c r="J29" s="121">
        <v>0</v>
      </c>
      <c r="K29" s="121">
        <v>0</v>
      </c>
      <c r="L29" s="121">
        <v>0</v>
      </c>
      <c r="M29" s="121">
        <v>0</v>
      </c>
    </row>
    <row r="30" spans="1:13" ht="19.5" customHeight="1">
      <c r="A30" s="7" t="s">
        <v>81</v>
      </c>
      <c r="B30" s="5">
        <v>3142</v>
      </c>
      <c r="C30" s="121">
        <v>0</v>
      </c>
      <c r="D30" s="121">
        <f>F30+J30+K30</f>
        <v>0</v>
      </c>
      <c r="E30" s="121">
        <v>0</v>
      </c>
      <c r="F30" s="121">
        <v>0</v>
      </c>
      <c r="G30" s="121">
        <f t="shared" si="4"/>
        <v>0</v>
      </c>
      <c r="H30" s="105"/>
      <c r="J30" s="121">
        <v>0</v>
      </c>
      <c r="K30" s="121">
        <v>0</v>
      </c>
      <c r="L30" s="121">
        <v>0</v>
      </c>
      <c r="M30" s="121">
        <v>0</v>
      </c>
    </row>
    <row r="31" spans="1:13" ht="19.5" customHeight="1">
      <c r="A31" s="7" t="s">
        <v>101</v>
      </c>
      <c r="B31" s="5">
        <v>3143</v>
      </c>
      <c r="C31" s="121">
        <v>0</v>
      </c>
      <c r="D31" s="121">
        <f>F31+J31+K31</f>
        <v>0</v>
      </c>
      <c r="E31" s="121">
        <v>0</v>
      </c>
      <c r="F31" s="121">
        <v>0</v>
      </c>
      <c r="G31" s="121">
        <f t="shared" si="4"/>
        <v>0</v>
      </c>
      <c r="H31" s="105"/>
      <c r="J31" s="121">
        <v>0</v>
      </c>
      <c r="K31" s="121">
        <v>0</v>
      </c>
      <c r="L31" s="121">
        <v>0</v>
      </c>
      <c r="M31" s="121">
        <v>0</v>
      </c>
    </row>
    <row r="32" spans="1:13" ht="30" customHeight="1">
      <c r="A32" s="7" t="s">
        <v>278</v>
      </c>
      <c r="B32" s="8">
        <v>3150</v>
      </c>
      <c r="C32" s="115">
        <f>SUM(C33:C38,C43)</f>
        <v>13457</v>
      </c>
      <c r="D32" s="115">
        <f>SUM(D33:D38,D43)</f>
        <v>14196.199999999999</v>
      </c>
      <c r="E32" s="115">
        <f>SUM(E33:E38,E43)</f>
        <v>14467.599999999999</v>
      </c>
      <c r="F32" s="115">
        <f>SUM(F33:F38,F43)</f>
        <v>14196.199999999999</v>
      </c>
      <c r="G32" s="121">
        <f t="shared" si="4"/>
        <v>-271.39999999999964</v>
      </c>
      <c r="H32" s="105">
        <f t="shared" si="5"/>
        <v>98.124084160468911</v>
      </c>
      <c r="J32" s="115">
        <v>3409.7</v>
      </c>
      <c r="K32" s="115">
        <f>SUM(K33:K38,K43)</f>
        <v>3605.4</v>
      </c>
      <c r="L32" s="115">
        <v>3197.6000000000004</v>
      </c>
      <c r="M32" s="115">
        <v>3983.5</v>
      </c>
    </row>
    <row r="33" spans="1:13" ht="19.5" customHeight="1">
      <c r="A33" s="7" t="s">
        <v>262</v>
      </c>
      <c r="B33" s="5">
        <v>3151</v>
      </c>
      <c r="C33" s="121">
        <v>185.3</v>
      </c>
      <c r="D33" s="121">
        <f>F33</f>
        <v>493.3</v>
      </c>
      <c r="E33" s="121">
        <v>686.3</v>
      </c>
      <c r="F33" s="121">
        <f t="shared" ref="F33:F37" si="10">J33+K33+L33+M33</f>
        <v>493.3</v>
      </c>
      <c r="G33" s="121">
        <f t="shared" si="4"/>
        <v>-192.99999999999994</v>
      </c>
      <c r="H33" s="105">
        <f t="shared" si="5"/>
        <v>71.878187381611554</v>
      </c>
      <c r="J33" s="121">
        <v>0</v>
      </c>
      <c r="K33" s="121">
        <v>0</v>
      </c>
      <c r="L33" s="121">
        <v>0</v>
      </c>
      <c r="M33" s="121">
        <v>493.3</v>
      </c>
    </row>
    <row r="34" spans="1:13" ht="19.5" customHeight="1">
      <c r="A34" s="7" t="s">
        <v>263</v>
      </c>
      <c r="B34" s="5">
        <v>3152</v>
      </c>
      <c r="C34" s="121">
        <v>7088.8</v>
      </c>
      <c r="D34" s="121">
        <f t="shared" ref="D34:D37" si="11">F34</f>
        <v>7638.0999999999995</v>
      </c>
      <c r="E34" s="121">
        <v>7706</v>
      </c>
      <c r="F34" s="121">
        <f t="shared" si="10"/>
        <v>7638.0999999999995</v>
      </c>
      <c r="G34" s="121">
        <f t="shared" si="4"/>
        <v>-67.900000000000546</v>
      </c>
      <c r="H34" s="105">
        <f t="shared" si="5"/>
        <v>99.118868414222675</v>
      </c>
      <c r="J34" s="121">
        <v>1758</v>
      </c>
      <c r="K34" s="121">
        <f>'ІІ. Розр. з бюджетом'!K23</f>
        <v>1941.6</v>
      </c>
      <c r="L34" s="121">
        <v>1849.8</v>
      </c>
      <c r="M34" s="121">
        <v>2088.6999999999998</v>
      </c>
    </row>
    <row r="35" spans="1:13" ht="19.5" customHeight="1">
      <c r="A35" s="7" t="s">
        <v>72</v>
      </c>
      <c r="B35" s="5">
        <v>3153</v>
      </c>
      <c r="C35" s="121">
        <v>0</v>
      </c>
      <c r="D35" s="121">
        <f t="shared" si="11"/>
        <v>0</v>
      </c>
      <c r="E35" s="121">
        <v>0</v>
      </c>
      <c r="F35" s="121">
        <f t="shared" si="10"/>
        <v>0</v>
      </c>
      <c r="G35" s="121">
        <f t="shared" si="4"/>
        <v>0</v>
      </c>
      <c r="H35" s="105"/>
      <c r="J35" s="121">
        <v>0</v>
      </c>
      <c r="K35" s="121">
        <v>0</v>
      </c>
      <c r="L35" s="121">
        <v>0</v>
      </c>
      <c r="M35" s="121">
        <v>0</v>
      </c>
    </row>
    <row r="36" spans="1:13" ht="20.100000000000001" customHeight="1">
      <c r="A36" s="7" t="s">
        <v>264</v>
      </c>
      <c r="B36" s="5">
        <v>3154</v>
      </c>
      <c r="C36" s="121">
        <v>0</v>
      </c>
      <c r="D36" s="121">
        <f t="shared" si="11"/>
        <v>0</v>
      </c>
      <c r="E36" s="121">
        <v>0</v>
      </c>
      <c r="F36" s="121">
        <f t="shared" si="10"/>
        <v>0</v>
      </c>
      <c r="G36" s="121">
        <f t="shared" si="4"/>
        <v>0</v>
      </c>
      <c r="H36" s="105"/>
      <c r="J36" s="121">
        <v>0</v>
      </c>
      <c r="K36" s="121">
        <v>0</v>
      </c>
      <c r="L36" s="121">
        <v>0</v>
      </c>
      <c r="M36" s="121">
        <v>0</v>
      </c>
    </row>
    <row r="37" spans="1:13" ht="20.100000000000001" customHeight="1">
      <c r="A37" s="7" t="s">
        <v>71</v>
      </c>
      <c r="B37" s="5">
        <v>3155</v>
      </c>
      <c r="C37" s="121">
        <v>4038.4</v>
      </c>
      <c r="D37" s="121">
        <f t="shared" si="11"/>
        <v>4619.5</v>
      </c>
      <c r="E37" s="121">
        <v>4753.8999999999996</v>
      </c>
      <c r="F37" s="121">
        <f t="shared" si="10"/>
        <v>4619.5</v>
      </c>
      <c r="G37" s="121">
        <f t="shared" si="4"/>
        <v>-134.39999999999964</v>
      </c>
      <c r="H37" s="105">
        <f t="shared" si="5"/>
        <v>97.172847556742894</v>
      </c>
      <c r="J37" s="121">
        <v>1076.5999999999999</v>
      </c>
      <c r="K37" s="121">
        <f>'ІІ. Розр. з бюджетом'!K32</f>
        <v>1087.7</v>
      </c>
      <c r="L37" s="121">
        <v>1202</v>
      </c>
      <c r="M37" s="121">
        <v>1253.2</v>
      </c>
    </row>
    <row r="38" spans="1:13" ht="20.100000000000001" customHeight="1">
      <c r="A38" s="7" t="s">
        <v>268</v>
      </c>
      <c r="B38" s="5">
        <v>3156</v>
      </c>
      <c r="C38" s="115">
        <f t="shared" ref="C38" si="12">C39+C41+C42</f>
        <v>2144.5</v>
      </c>
      <c r="D38" s="115">
        <f t="shared" ref="D38" si="13">D39+D41+D42</f>
        <v>1445.3</v>
      </c>
      <c r="E38" s="115">
        <f t="shared" ref="E38:G38" si="14">E39+E41+E42</f>
        <v>1321.4</v>
      </c>
      <c r="F38" s="115">
        <f t="shared" si="14"/>
        <v>1445.3</v>
      </c>
      <c r="G38" s="115">
        <f t="shared" si="14"/>
        <v>123.89999999999992</v>
      </c>
      <c r="H38" s="105">
        <f t="shared" si="5"/>
        <v>109.37641894959891</v>
      </c>
      <c r="J38" s="115">
        <v>575.1</v>
      </c>
      <c r="K38" s="115">
        <f t="shared" ref="K38" si="15">K39+K41+K42</f>
        <v>576.1</v>
      </c>
      <c r="L38" s="115">
        <v>145.80000000000001</v>
      </c>
      <c r="M38" s="115">
        <v>148.30000000000001</v>
      </c>
    </row>
    <row r="39" spans="1:13" s="19" customFormat="1" ht="40.35" customHeight="1">
      <c r="A39" s="7" t="s">
        <v>520</v>
      </c>
      <c r="B39" s="135" t="s">
        <v>518</v>
      </c>
      <c r="C39" s="113">
        <v>0</v>
      </c>
      <c r="D39" s="113">
        <v>0</v>
      </c>
      <c r="E39" s="113">
        <v>0</v>
      </c>
      <c r="F39" s="113">
        <v>0</v>
      </c>
      <c r="G39" s="113">
        <f t="shared" si="4"/>
        <v>0</v>
      </c>
      <c r="H39" s="105"/>
      <c r="J39" s="113">
        <v>0</v>
      </c>
      <c r="K39" s="113">
        <v>0</v>
      </c>
      <c r="L39" s="113">
        <v>0</v>
      </c>
      <c r="M39" s="113">
        <v>0</v>
      </c>
    </row>
    <row r="40" spans="1:13" s="19" customFormat="1" ht="45.75" customHeight="1">
      <c r="A40" s="215" t="s">
        <v>551</v>
      </c>
      <c r="B40" s="135" t="s">
        <v>519</v>
      </c>
      <c r="C40" s="113">
        <v>0</v>
      </c>
      <c r="D40" s="113">
        <v>0</v>
      </c>
      <c r="E40" s="113">
        <v>0</v>
      </c>
      <c r="F40" s="113">
        <v>0</v>
      </c>
      <c r="G40" s="113">
        <v>0</v>
      </c>
      <c r="H40" s="105"/>
      <c r="J40" s="113">
        <v>0</v>
      </c>
      <c r="K40" s="113">
        <v>0</v>
      </c>
      <c r="L40" s="113">
        <v>0</v>
      </c>
      <c r="M40" s="113">
        <v>0</v>
      </c>
    </row>
    <row r="41" spans="1:13" s="19" customFormat="1" ht="20.100000000000001" customHeight="1">
      <c r="A41" s="134" t="s">
        <v>362</v>
      </c>
      <c r="B41" s="135" t="s">
        <v>521</v>
      </c>
      <c r="C41" s="113">
        <v>1807</v>
      </c>
      <c r="D41" s="113">
        <f>F41</f>
        <v>1059.5999999999999</v>
      </c>
      <c r="E41" s="113">
        <v>925.1</v>
      </c>
      <c r="F41" s="113">
        <f t="shared" ref="F41:F42" si="16">J41+K41+L41+M41</f>
        <v>1059.5999999999999</v>
      </c>
      <c r="G41" s="113">
        <f t="shared" si="4"/>
        <v>134.49999999999989</v>
      </c>
      <c r="H41" s="105">
        <f t="shared" si="5"/>
        <v>114.53896876013403</v>
      </c>
      <c r="J41" s="113">
        <v>485.4</v>
      </c>
      <c r="K41" s="113">
        <f>'ІІ. Розр. з бюджетом'!K33</f>
        <v>485.2</v>
      </c>
      <c r="L41" s="113">
        <v>44.5</v>
      </c>
      <c r="M41" s="113">
        <v>44.5</v>
      </c>
    </row>
    <row r="42" spans="1:13" s="19" customFormat="1" ht="20.100000000000001" customHeight="1">
      <c r="A42" s="134" t="s">
        <v>474</v>
      </c>
      <c r="B42" s="135" t="s">
        <v>522</v>
      </c>
      <c r="C42" s="113">
        <v>337.5</v>
      </c>
      <c r="D42" s="113">
        <f>F42</f>
        <v>385.70000000000005</v>
      </c>
      <c r="E42" s="113">
        <v>396.3</v>
      </c>
      <c r="F42" s="113">
        <f t="shared" si="16"/>
        <v>385.70000000000005</v>
      </c>
      <c r="G42" s="113">
        <f t="shared" si="4"/>
        <v>-10.599999999999966</v>
      </c>
      <c r="H42" s="105">
        <f t="shared" si="5"/>
        <v>97.325258642442606</v>
      </c>
      <c r="J42" s="113">
        <v>89.7</v>
      </c>
      <c r="K42" s="113">
        <f>'ІІ. Розр. з бюджетом'!K30</f>
        <v>90.9</v>
      </c>
      <c r="L42" s="113">
        <v>101.3</v>
      </c>
      <c r="M42" s="113">
        <v>103.8</v>
      </c>
    </row>
    <row r="43" spans="1:13" ht="19.95" customHeight="1">
      <c r="A43" s="7" t="s">
        <v>76</v>
      </c>
      <c r="B43" s="5">
        <v>3157</v>
      </c>
      <c r="C43" s="121"/>
      <c r="D43" s="121">
        <f>F43</f>
        <v>0</v>
      </c>
      <c r="E43" s="121" t="s">
        <v>226</v>
      </c>
      <c r="F43" s="121"/>
      <c r="G43" s="121"/>
      <c r="H43" s="105"/>
      <c r="J43" s="121"/>
      <c r="K43" s="121"/>
      <c r="L43" s="121"/>
      <c r="M43" s="121"/>
    </row>
    <row r="44" spans="1:13" s="19" customFormat="1" ht="20.100000000000001" hidden="1" customHeight="1">
      <c r="A44" s="134" t="s">
        <v>475</v>
      </c>
      <c r="B44" s="135"/>
      <c r="C44" s="113"/>
      <c r="D44" s="113"/>
      <c r="E44" s="113"/>
      <c r="F44" s="113"/>
      <c r="G44" s="121"/>
      <c r="H44" s="105"/>
      <c r="J44" s="113"/>
      <c r="K44" s="113"/>
      <c r="L44" s="113"/>
      <c r="M44" s="113"/>
    </row>
    <row r="45" spans="1:13" s="19" customFormat="1" ht="20.100000000000001" hidden="1" customHeight="1">
      <c r="A45" s="134" t="s">
        <v>476</v>
      </c>
      <c r="B45" s="135"/>
      <c r="C45" s="113"/>
      <c r="D45" s="113"/>
      <c r="E45" s="113"/>
      <c r="F45" s="113"/>
      <c r="G45" s="121"/>
      <c r="H45" s="105"/>
      <c r="J45" s="113"/>
      <c r="K45" s="113"/>
      <c r="L45" s="113"/>
      <c r="M45" s="113"/>
    </row>
    <row r="46" spans="1:13" s="19" customFormat="1" ht="20.100000000000001" hidden="1" customHeight="1">
      <c r="A46" s="134" t="s">
        <v>477</v>
      </c>
      <c r="B46" s="135"/>
      <c r="C46" s="113"/>
      <c r="D46" s="113"/>
      <c r="E46" s="113"/>
      <c r="F46" s="113"/>
      <c r="G46" s="121"/>
      <c r="H46" s="105"/>
      <c r="J46" s="113"/>
      <c r="K46" s="113"/>
      <c r="L46" s="113"/>
      <c r="M46" s="113"/>
    </row>
    <row r="47" spans="1:13" s="19" customFormat="1" ht="20.100000000000001" hidden="1" customHeight="1">
      <c r="A47" s="134" t="s">
        <v>478</v>
      </c>
      <c r="B47" s="135"/>
      <c r="C47" s="113"/>
      <c r="D47" s="113"/>
      <c r="E47" s="113"/>
      <c r="F47" s="113"/>
      <c r="G47" s="121"/>
      <c r="H47" s="105"/>
      <c r="J47" s="113"/>
      <c r="K47" s="113"/>
      <c r="L47" s="113"/>
      <c r="M47" s="113"/>
    </row>
    <row r="48" spans="1:13" s="19" customFormat="1" ht="20.100000000000001" hidden="1" customHeight="1">
      <c r="A48" s="134" t="s">
        <v>479</v>
      </c>
      <c r="B48" s="135"/>
      <c r="C48" s="113"/>
      <c r="D48" s="113"/>
      <c r="E48" s="113"/>
      <c r="F48" s="113"/>
      <c r="G48" s="121"/>
      <c r="H48" s="105"/>
      <c r="J48" s="113"/>
      <c r="K48" s="113"/>
      <c r="L48" s="113"/>
      <c r="M48" s="113"/>
    </row>
    <row r="49" spans="1:13" ht="20.100000000000001" customHeight="1">
      <c r="A49" s="7" t="s">
        <v>265</v>
      </c>
      <c r="B49" s="8">
        <v>3160</v>
      </c>
      <c r="C49" s="121" t="s">
        <v>226</v>
      </c>
      <c r="D49" s="121" t="s">
        <v>226</v>
      </c>
      <c r="E49" s="121" t="s">
        <v>226</v>
      </c>
      <c r="F49" s="121" t="s">
        <v>226</v>
      </c>
      <c r="G49" s="121"/>
      <c r="H49" s="105"/>
      <c r="J49" s="121" t="s">
        <v>226</v>
      </c>
      <c r="K49" s="121" t="s">
        <v>226</v>
      </c>
      <c r="L49" s="121" t="s">
        <v>226</v>
      </c>
      <c r="M49" s="121" t="s">
        <v>226</v>
      </c>
    </row>
    <row r="50" spans="1:13" ht="20.100000000000001" customHeight="1">
      <c r="A50" s="7" t="s">
        <v>523</v>
      </c>
      <c r="B50" s="8">
        <v>3170</v>
      </c>
      <c r="C50" s="121">
        <v>871.6</v>
      </c>
      <c r="D50" s="121">
        <f>F50</f>
        <v>939.59999999999991</v>
      </c>
      <c r="E50" s="121">
        <v>880.2</v>
      </c>
      <c r="F50" s="121">
        <f t="shared" ref="F50" si="17">J50+K50+L50+M50</f>
        <v>939.59999999999991</v>
      </c>
      <c r="G50" s="113">
        <f t="shared" ref="G50" si="18">F50-E50</f>
        <v>59.399999999999864</v>
      </c>
      <c r="H50" s="105">
        <f t="shared" ref="H50" si="19">(F50/E50)*100</f>
        <v>106.7484662576687</v>
      </c>
      <c r="J50" s="121">
        <v>70.599999999999994</v>
      </c>
      <c r="K50" s="121">
        <f>9.2+157.6+28.1+17+21.4+23.8+6.4</f>
        <v>263.49999999999994</v>
      </c>
      <c r="L50" s="121">
        <v>190</v>
      </c>
      <c r="M50" s="121">
        <v>415.49999999999994</v>
      </c>
    </row>
    <row r="51" spans="1:13" ht="20.100000000000001" customHeight="1">
      <c r="A51" s="103" t="s">
        <v>281</v>
      </c>
      <c r="B51" s="96">
        <v>3195</v>
      </c>
      <c r="C51" s="129">
        <f>C7-C24</f>
        <v>976.79999999999563</v>
      </c>
      <c r="D51" s="129">
        <f>D7-D24</f>
        <v>3229.7999999999884</v>
      </c>
      <c r="E51" s="129">
        <f>E7-E24</f>
        <v>1686.6000000000058</v>
      </c>
      <c r="F51" s="129">
        <f>F7-F24</f>
        <v>3229.7999999999884</v>
      </c>
      <c r="G51" s="141">
        <f t="shared" si="4"/>
        <v>1543.1999999999825</v>
      </c>
      <c r="H51" s="106">
        <f t="shared" si="5"/>
        <v>191.49768765563721</v>
      </c>
      <c r="J51" s="129">
        <v>357.80000000000109</v>
      </c>
      <c r="K51" s="129">
        <f>K7-K24</f>
        <v>371.79999999999927</v>
      </c>
      <c r="L51" s="129">
        <v>1233.2000000000044</v>
      </c>
      <c r="M51" s="129">
        <v>1267.0000000000036</v>
      </c>
    </row>
    <row r="52" spans="1:13" ht="20.100000000000001" customHeight="1">
      <c r="A52" s="111" t="s">
        <v>285</v>
      </c>
      <c r="B52" s="94"/>
      <c r="C52" s="153"/>
      <c r="D52" s="153"/>
      <c r="E52" s="153"/>
      <c r="F52" s="153"/>
      <c r="G52" s="121"/>
      <c r="H52" s="105"/>
      <c r="J52" s="153"/>
      <c r="K52" s="153"/>
      <c r="L52" s="153"/>
      <c r="M52" s="153"/>
    </row>
    <row r="53" spans="1:13" ht="20.100000000000001" customHeight="1">
      <c r="A53" s="102" t="s">
        <v>258</v>
      </c>
      <c r="B53" s="93">
        <v>3200</v>
      </c>
      <c r="C53" s="129">
        <f>SUM(C54:C60)</f>
        <v>0</v>
      </c>
      <c r="D53" s="129">
        <f>SUM(D54:D60)</f>
        <v>0</v>
      </c>
      <c r="E53" s="129">
        <f>SUM(E54:E60)</f>
        <v>0</v>
      </c>
      <c r="F53" s="129">
        <f>SUM(F54:F60)</f>
        <v>0</v>
      </c>
      <c r="G53" s="141">
        <f t="shared" si="4"/>
        <v>0</v>
      </c>
      <c r="H53" s="106"/>
      <c r="J53" s="129">
        <v>0</v>
      </c>
      <c r="K53" s="129">
        <f>SUM(K54:K60)</f>
        <v>0</v>
      </c>
      <c r="L53" s="129">
        <v>0</v>
      </c>
      <c r="M53" s="129">
        <v>0</v>
      </c>
    </row>
    <row r="54" spans="1:13" ht="20.100000000000001" customHeight="1">
      <c r="A54" s="7" t="s">
        <v>524</v>
      </c>
      <c r="B54" s="5">
        <v>3210</v>
      </c>
      <c r="C54" s="121"/>
      <c r="D54" s="121"/>
      <c r="E54" s="121"/>
      <c r="F54" s="121"/>
      <c r="G54" s="121"/>
      <c r="H54" s="105"/>
      <c r="J54" s="121"/>
      <c r="K54" s="121"/>
      <c r="L54" s="121"/>
      <c r="M54" s="121"/>
    </row>
    <row r="55" spans="1:13" ht="20.100000000000001" customHeight="1">
      <c r="A55" s="7" t="s">
        <v>525</v>
      </c>
      <c r="B55" s="8">
        <v>3215</v>
      </c>
      <c r="C55" s="121"/>
      <c r="D55" s="121"/>
      <c r="E55" s="121"/>
      <c r="F55" s="121"/>
      <c r="G55" s="121"/>
      <c r="H55" s="105"/>
      <c r="J55" s="121"/>
      <c r="K55" s="121"/>
      <c r="L55" s="121"/>
      <c r="M55" s="121"/>
    </row>
    <row r="56" spans="1:13" ht="20.100000000000001" customHeight="1">
      <c r="A56" s="7" t="s">
        <v>526</v>
      </c>
      <c r="B56" s="8">
        <v>3220</v>
      </c>
      <c r="C56" s="121"/>
      <c r="D56" s="121"/>
      <c r="E56" s="121"/>
      <c r="F56" s="121"/>
      <c r="G56" s="121"/>
      <c r="H56" s="105"/>
      <c r="J56" s="121"/>
      <c r="K56" s="121"/>
      <c r="L56" s="121"/>
      <c r="M56" s="121"/>
    </row>
    <row r="57" spans="1:13" ht="20.100000000000001" customHeight="1">
      <c r="A57" s="7" t="s">
        <v>527</v>
      </c>
      <c r="B57" s="8">
        <v>3225</v>
      </c>
      <c r="C57" s="121"/>
      <c r="D57" s="121"/>
      <c r="E57" s="121"/>
      <c r="F57" s="121"/>
      <c r="G57" s="121"/>
      <c r="H57" s="105"/>
      <c r="J57" s="121"/>
      <c r="K57" s="121"/>
      <c r="L57" s="121"/>
      <c r="M57" s="121"/>
    </row>
    <row r="58" spans="1:13" ht="20.100000000000001" customHeight="1">
      <c r="A58" s="7" t="s">
        <v>528</v>
      </c>
      <c r="B58" s="8">
        <v>3230</v>
      </c>
      <c r="C58" s="121"/>
      <c r="D58" s="121"/>
      <c r="E58" s="121"/>
      <c r="F58" s="121"/>
      <c r="G58" s="121"/>
      <c r="H58" s="105"/>
      <c r="J58" s="121"/>
      <c r="K58" s="121"/>
      <c r="L58" s="121"/>
      <c r="M58" s="121"/>
    </row>
    <row r="59" spans="1:13" ht="20.100000000000001" customHeight="1">
      <c r="A59" s="7" t="s">
        <v>529</v>
      </c>
      <c r="B59" s="8">
        <v>3235</v>
      </c>
      <c r="C59" s="121"/>
      <c r="D59" s="121"/>
      <c r="E59" s="121"/>
      <c r="F59" s="121"/>
      <c r="G59" s="121"/>
      <c r="H59" s="105"/>
      <c r="J59" s="121"/>
      <c r="K59" s="121"/>
      <c r="L59" s="121"/>
      <c r="M59" s="121"/>
    </row>
    <row r="60" spans="1:13" ht="20.100000000000001" customHeight="1">
      <c r="A60" s="7" t="s">
        <v>393</v>
      </c>
      <c r="B60" s="8">
        <v>3240</v>
      </c>
      <c r="C60" s="121"/>
      <c r="D60" s="121"/>
      <c r="E60" s="121"/>
      <c r="F60" s="121"/>
      <c r="G60" s="121"/>
      <c r="H60" s="105"/>
      <c r="J60" s="121"/>
      <c r="K60" s="121"/>
      <c r="L60" s="121"/>
      <c r="M60" s="121"/>
    </row>
    <row r="61" spans="1:13" ht="20.100000000000001" customHeight="1">
      <c r="A61" s="9" t="s">
        <v>530</v>
      </c>
      <c r="B61" s="10">
        <v>3255</v>
      </c>
      <c r="C61" s="129">
        <f>C64+C67</f>
        <v>1439.4</v>
      </c>
      <c r="D61" s="129">
        <f>D64+D67</f>
        <v>1736.1999999999998</v>
      </c>
      <c r="E61" s="129">
        <f>E64+E69+E67</f>
        <v>1043.5</v>
      </c>
      <c r="F61" s="129">
        <f>F64+F67</f>
        <v>1736.1999999999998</v>
      </c>
      <c r="G61" s="141">
        <f t="shared" si="4"/>
        <v>692.69999999999982</v>
      </c>
      <c r="H61" s="106">
        <f t="shared" si="5"/>
        <v>166.38236703402012</v>
      </c>
      <c r="J61" s="129">
        <v>470.2</v>
      </c>
      <c r="K61" s="129">
        <f>K64+K67</f>
        <v>334.8</v>
      </c>
      <c r="L61" s="129">
        <v>345.59999999999997</v>
      </c>
      <c r="M61" s="129">
        <v>585.6</v>
      </c>
    </row>
    <row r="62" spans="1:13" ht="20.100000000000001" customHeight="1">
      <c r="A62" s="7" t="s">
        <v>531</v>
      </c>
      <c r="B62" s="8">
        <v>3260</v>
      </c>
      <c r="C62" s="129"/>
      <c r="D62" s="129"/>
      <c r="E62" s="129"/>
      <c r="F62" s="129"/>
      <c r="G62" s="141"/>
      <c r="H62" s="106"/>
      <c r="J62" s="129"/>
      <c r="K62" s="129"/>
      <c r="L62" s="129"/>
      <c r="M62" s="129"/>
    </row>
    <row r="63" spans="1:13" ht="20.100000000000001" customHeight="1">
      <c r="A63" s="7" t="s">
        <v>532</v>
      </c>
      <c r="B63" s="8">
        <v>3265</v>
      </c>
      <c r="C63" s="121"/>
      <c r="D63" s="121"/>
      <c r="E63" s="121"/>
      <c r="F63" s="121"/>
      <c r="G63" s="121"/>
      <c r="H63" s="105"/>
      <c r="J63" s="121"/>
      <c r="K63" s="121"/>
      <c r="L63" s="121"/>
      <c r="M63" s="121"/>
    </row>
    <row r="64" spans="1:13" ht="20.100000000000001" customHeight="1">
      <c r="A64" s="7" t="s">
        <v>533</v>
      </c>
      <c r="B64" s="8">
        <v>3270</v>
      </c>
      <c r="C64" s="121">
        <v>1430.4</v>
      </c>
      <c r="D64" s="121">
        <f>F64</f>
        <v>1699.1999999999998</v>
      </c>
      <c r="E64" s="121">
        <v>1026.5</v>
      </c>
      <c r="F64" s="121">
        <f t="shared" ref="F64" si="20">J64+K64+L64+M64</f>
        <v>1699.1999999999998</v>
      </c>
      <c r="G64" s="121"/>
      <c r="H64" s="105"/>
      <c r="J64" s="121">
        <v>463.2</v>
      </c>
      <c r="K64" s="121">
        <f>'IV. Кап. інвестиції'!K8*1.2+'IV. Кап. інвестиції'!K9*1.2</f>
        <v>334.8</v>
      </c>
      <c r="L64" s="121">
        <v>321.59999999999997</v>
      </c>
      <c r="M64" s="121">
        <v>579.6</v>
      </c>
    </row>
    <row r="65" spans="1:13" ht="20.100000000000001" customHeight="1">
      <c r="A65" s="7" t="s">
        <v>534</v>
      </c>
      <c r="B65" s="8" t="s">
        <v>535</v>
      </c>
      <c r="C65" s="121"/>
      <c r="D65" s="121">
        <f t="shared" ref="D65:D66" si="21">F65+J65+K65+L65</f>
        <v>0</v>
      </c>
      <c r="E65" s="121"/>
      <c r="F65" s="121"/>
      <c r="G65" s="121">
        <f t="shared" si="4"/>
        <v>0</v>
      </c>
      <c r="H65" s="105"/>
      <c r="J65" s="121"/>
      <c r="K65" s="121"/>
      <c r="L65" s="121"/>
      <c r="M65" s="121"/>
    </row>
    <row r="66" spans="1:13" ht="20.100000000000001" customHeight="1">
      <c r="A66" s="7" t="s">
        <v>536</v>
      </c>
      <c r="B66" s="8" t="s">
        <v>537</v>
      </c>
      <c r="C66" s="121"/>
      <c r="D66" s="121">
        <f t="shared" si="21"/>
        <v>0</v>
      </c>
      <c r="E66" s="121"/>
      <c r="F66" s="121"/>
      <c r="G66" s="121"/>
      <c r="H66" s="105"/>
      <c r="J66" s="121"/>
      <c r="K66" s="121"/>
      <c r="L66" s="121"/>
      <c r="M66" s="121"/>
    </row>
    <row r="67" spans="1:13" ht="20.100000000000001" customHeight="1">
      <c r="A67" s="7" t="s">
        <v>538</v>
      </c>
      <c r="B67" s="8" t="s">
        <v>539</v>
      </c>
      <c r="C67" s="121">
        <v>9</v>
      </c>
      <c r="D67" s="121">
        <f>F67</f>
        <v>37</v>
      </c>
      <c r="E67" s="121">
        <v>17</v>
      </c>
      <c r="F67" s="121">
        <f t="shared" ref="F67" si="22">J67+K67+L67+M67</f>
        <v>37</v>
      </c>
      <c r="G67" s="121"/>
      <c r="H67" s="105"/>
      <c r="J67" s="121">
        <v>7</v>
      </c>
      <c r="K67" s="121">
        <f>'IV. Кап. інвестиції'!K10</f>
        <v>0</v>
      </c>
      <c r="L67" s="121">
        <v>24</v>
      </c>
      <c r="M67" s="121">
        <v>6</v>
      </c>
    </row>
    <row r="68" spans="1:13">
      <c r="A68" s="7" t="s">
        <v>540</v>
      </c>
      <c r="B68" s="3">
        <v>3280</v>
      </c>
    </row>
    <row r="69" spans="1:13" ht="20.100000000000001" customHeight="1">
      <c r="A69" s="7" t="s">
        <v>541</v>
      </c>
      <c r="B69" s="8">
        <v>3290</v>
      </c>
      <c r="C69" s="121"/>
      <c r="D69" s="121"/>
      <c r="E69" s="121"/>
      <c r="F69" s="121"/>
      <c r="G69" s="121">
        <f t="shared" si="4"/>
        <v>0</v>
      </c>
      <c r="H69" s="105"/>
      <c r="J69" s="121"/>
      <c r="K69" s="121"/>
      <c r="L69" s="121"/>
      <c r="M69" s="121"/>
    </row>
    <row r="70" spans="1:13" ht="20.100000000000001" customHeight="1">
      <c r="A70" s="104" t="s">
        <v>118</v>
      </c>
      <c r="B70" s="96">
        <v>3295</v>
      </c>
      <c r="C70" s="129">
        <f>C53-C61</f>
        <v>-1439.4</v>
      </c>
      <c r="D70" s="129">
        <f>D53-D61</f>
        <v>-1736.1999999999998</v>
      </c>
      <c r="E70" s="129">
        <f>E53-E61</f>
        <v>-1043.5</v>
      </c>
      <c r="F70" s="129">
        <f>F53-F61</f>
        <v>-1736.1999999999998</v>
      </c>
      <c r="G70" s="141">
        <f t="shared" si="4"/>
        <v>-692.69999999999982</v>
      </c>
      <c r="H70" s="106">
        <f t="shared" si="5"/>
        <v>166.38236703402012</v>
      </c>
      <c r="J70" s="129">
        <v>-470.2</v>
      </c>
      <c r="K70" s="129">
        <f>K53-K61</f>
        <v>-334.8</v>
      </c>
      <c r="L70" s="129">
        <v>-345.59999999999997</v>
      </c>
      <c r="M70" s="129">
        <v>-585.6</v>
      </c>
    </row>
    <row r="71" spans="1:13" ht="20.100000000000001" customHeight="1">
      <c r="A71" s="111" t="s">
        <v>286</v>
      </c>
      <c r="B71" s="94"/>
      <c r="C71" s="153"/>
      <c r="D71" s="153"/>
      <c r="E71" s="153"/>
      <c r="F71" s="153"/>
      <c r="G71" s="121">
        <f t="shared" si="4"/>
        <v>0</v>
      </c>
      <c r="H71" s="105"/>
      <c r="J71" s="153"/>
      <c r="K71" s="153"/>
      <c r="L71" s="153"/>
      <c r="M71" s="153"/>
    </row>
    <row r="72" spans="1:13" ht="20.100000000000001" customHeight="1">
      <c r="A72" s="9" t="s">
        <v>259</v>
      </c>
      <c r="B72" s="10">
        <v>3300</v>
      </c>
      <c r="C72" s="129">
        <f>SUM(C73,C74,C78)</f>
        <v>0</v>
      </c>
      <c r="D72" s="129">
        <f>SUM(D73,D74,D78)</f>
        <v>0</v>
      </c>
      <c r="E72" s="129">
        <f>SUM(E73,E74,E78)</f>
        <v>0</v>
      </c>
      <c r="F72" s="129">
        <f>SUM(F73,F74,F78)</f>
        <v>0</v>
      </c>
      <c r="G72" s="141">
        <f t="shared" si="4"/>
        <v>0</v>
      </c>
      <c r="H72" s="106"/>
      <c r="J72" s="129">
        <v>0</v>
      </c>
      <c r="K72" s="129">
        <f>SUM(K73,K74,K78)</f>
        <v>0</v>
      </c>
      <c r="L72" s="129">
        <v>0</v>
      </c>
      <c r="M72" s="129">
        <v>0</v>
      </c>
    </row>
    <row r="73" spans="1:13" ht="20.100000000000001" customHeight="1">
      <c r="A73" s="7" t="s">
        <v>279</v>
      </c>
      <c r="B73" s="8">
        <v>3305</v>
      </c>
      <c r="C73" s="121"/>
      <c r="D73" s="121"/>
      <c r="E73" s="121"/>
      <c r="F73" s="121"/>
      <c r="G73" s="121">
        <f t="shared" si="4"/>
        <v>0</v>
      </c>
      <c r="H73" s="105"/>
      <c r="J73" s="121"/>
      <c r="K73" s="121"/>
      <c r="L73" s="121"/>
      <c r="M73" s="121"/>
    </row>
    <row r="74" spans="1:13" ht="20.100000000000001" customHeight="1">
      <c r="A74" s="7" t="s">
        <v>267</v>
      </c>
      <c r="B74" s="8">
        <v>3310</v>
      </c>
      <c r="C74" s="115">
        <f>SUM(C75:C77)</f>
        <v>0</v>
      </c>
      <c r="D74" s="115">
        <f>SUM(D75:D77)</f>
        <v>0</v>
      </c>
      <c r="E74" s="115">
        <f>SUM(E75:E77)</f>
        <v>0</v>
      </c>
      <c r="F74" s="115">
        <f>SUM(F75:F77)</f>
        <v>0</v>
      </c>
      <c r="G74" s="121">
        <f t="shared" si="4"/>
        <v>0</v>
      </c>
      <c r="H74" s="105"/>
      <c r="J74" s="115">
        <v>0</v>
      </c>
      <c r="K74" s="115">
        <f>SUM(K75:K77)</f>
        <v>0</v>
      </c>
      <c r="L74" s="115">
        <v>0</v>
      </c>
      <c r="M74" s="115">
        <v>0</v>
      </c>
    </row>
    <row r="75" spans="1:13" ht="20.100000000000001" customHeight="1">
      <c r="A75" s="7" t="s">
        <v>78</v>
      </c>
      <c r="B75" s="5">
        <v>3311</v>
      </c>
      <c r="C75" s="121"/>
      <c r="D75" s="121"/>
      <c r="E75" s="121"/>
      <c r="F75" s="121"/>
      <c r="G75" s="121">
        <f t="shared" si="4"/>
        <v>0</v>
      </c>
      <c r="H75" s="105"/>
      <c r="J75" s="121"/>
      <c r="K75" s="121"/>
      <c r="L75" s="121"/>
      <c r="M75" s="121"/>
    </row>
    <row r="76" spans="1:13" ht="20.100000000000001" customHeight="1">
      <c r="A76" s="7" t="s">
        <v>81</v>
      </c>
      <c r="B76" s="5">
        <v>3312</v>
      </c>
      <c r="C76" s="121"/>
      <c r="D76" s="121"/>
      <c r="E76" s="121"/>
      <c r="F76" s="121"/>
      <c r="G76" s="121">
        <f t="shared" si="4"/>
        <v>0</v>
      </c>
      <c r="H76" s="105"/>
      <c r="J76" s="121"/>
      <c r="K76" s="121"/>
      <c r="L76" s="121"/>
      <c r="M76" s="121"/>
    </row>
    <row r="77" spans="1:13" ht="20.100000000000001" customHeight="1">
      <c r="A77" s="7" t="s">
        <v>101</v>
      </c>
      <c r="B77" s="5">
        <v>3313</v>
      </c>
      <c r="C77" s="121"/>
      <c r="D77" s="121"/>
      <c r="E77" s="121"/>
      <c r="F77" s="121"/>
      <c r="G77" s="121">
        <f t="shared" si="4"/>
        <v>0</v>
      </c>
      <c r="H77" s="105"/>
      <c r="J77" s="121"/>
      <c r="K77" s="121"/>
      <c r="L77" s="121"/>
      <c r="M77" s="121"/>
    </row>
    <row r="78" spans="1:13" ht="20.100000000000001" customHeight="1">
      <c r="A78" s="7" t="s">
        <v>393</v>
      </c>
      <c r="B78" s="8">
        <v>3320</v>
      </c>
      <c r="C78" s="121"/>
      <c r="D78" s="121"/>
      <c r="E78" s="121"/>
      <c r="F78" s="121"/>
      <c r="G78" s="121">
        <f t="shared" si="4"/>
        <v>0</v>
      </c>
      <c r="H78" s="105"/>
      <c r="J78" s="121"/>
      <c r="K78" s="121"/>
      <c r="L78" s="121"/>
      <c r="M78" s="121"/>
    </row>
    <row r="79" spans="1:13" ht="20.100000000000001" customHeight="1">
      <c r="A79" s="9" t="s">
        <v>271</v>
      </c>
      <c r="B79" s="10">
        <v>3330</v>
      </c>
      <c r="C79" s="129">
        <f>SUM(C80,C81,C85,C88)</f>
        <v>0</v>
      </c>
      <c r="D79" s="129">
        <f>SUM(D80,D81,D85,D88)</f>
        <v>0</v>
      </c>
      <c r="E79" s="129">
        <f>SUM(E80,E81,E85,E88)</f>
        <v>0</v>
      </c>
      <c r="F79" s="129">
        <f>SUM(F80,F81,F85,F88)</f>
        <v>0</v>
      </c>
      <c r="G79" s="141">
        <f t="shared" si="4"/>
        <v>0</v>
      </c>
      <c r="H79" s="106"/>
      <c r="J79" s="129">
        <v>0</v>
      </c>
      <c r="K79" s="129">
        <f>SUM(K80,K81,K85,K88)</f>
        <v>0</v>
      </c>
      <c r="L79" s="129">
        <v>0</v>
      </c>
      <c r="M79" s="129">
        <v>0</v>
      </c>
    </row>
    <row r="80" spans="1:13" ht="20.100000000000001" customHeight="1">
      <c r="A80" s="7" t="s">
        <v>280</v>
      </c>
      <c r="B80" s="8">
        <v>3335</v>
      </c>
      <c r="C80" s="121" t="s">
        <v>226</v>
      </c>
      <c r="D80" s="121" t="s">
        <v>226</v>
      </c>
      <c r="E80" s="121" t="s">
        <v>226</v>
      </c>
      <c r="F80" s="121" t="s">
        <v>226</v>
      </c>
      <c r="G80" s="121"/>
      <c r="H80" s="105"/>
      <c r="J80" s="121" t="s">
        <v>226</v>
      </c>
      <c r="K80" s="121" t="s">
        <v>226</v>
      </c>
      <c r="L80" s="121" t="s">
        <v>226</v>
      </c>
      <c r="M80" s="121" t="s">
        <v>226</v>
      </c>
    </row>
    <row r="81" spans="1:13" ht="20.100000000000001" customHeight="1">
      <c r="A81" s="7" t="s">
        <v>269</v>
      </c>
      <c r="B81" s="5">
        <v>3340</v>
      </c>
      <c r="C81" s="115">
        <f>SUM(C82:C84)</f>
        <v>0</v>
      </c>
      <c r="D81" s="115">
        <f>SUM(D82:D84)</f>
        <v>0</v>
      </c>
      <c r="E81" s="115">
        <f>SUM(E82:E84)</f>
        <v>0</v>
      </c>
      <c r="F81" s="115">
        <f>SUM(F82:F84)</f>
        <v>0</v>
      </c>
      <c r="G81" s="121"/>
      <c r="H81" s="105"/>
      <c r="J81" s="115">
        <v>0</v>
      </c>
      <c r="K81" s="115">
        <f>SUM(K82:K84)</f>
        <v>0</v>
      </c>
      <c r="L81" s="115">
        <v>0</v>
      </c>
      <c r="M81" s="115">
        <v>0</v>
      </c>
    </row>
    <row r="82" spans="1:13" ht="15.6" customHeight="1">
      <c r="A82" s="7" t="s">
        <v>78</v>
      </c>
      <c r="B82" s="5">
        <v>3341</v>
      </c>
      <c r="C82" s="121" t="s">
        <v>226</v>
      </c>
      <c r="D82" s="121" t="s">
        <v>226</v>
      </c>
      <c r="E82" s="121" t="s">
        <v>226</v>
      </c>
      <c r="F82" s="121" t="s">
        <v>226</v>
      </c>
      <c r="G82" s="121"/>
      <c r="H82" s="105"/>
      <c r="J82" s="121" t="s">
        <v>226</v>
      </c>
      <c r="K82" s="121" t="s">
        <v>226</v>
      </c>
      <c r="L82" s="121" t="s">
        <v>226</v>
      </c>
      <c r="M82" s="121" t="s">
        <v>226</v>
      </c>
    </row>
    <row r="83" spans="1:13" ht="17.7" customHeight="1">
      <c r="A83" s="7" t="s">
        <v>81</v>
      </c>
      <c r="B83" s="5">
        <v>3342</v>
      </c>
      <c r="C83" s="121" t="s">
        <v>226</v>
      </c>
      <c r="D83" s="121" t="s">
        <v>226</v>
      </c>
      <c r="E83" s="121" t="s">
        <v>226</v>
      </c>
      <c r="F83" s="121" t="s">
        <v>226</v>
      </c>
      <c r="G83" s="121"/>
      <c r="H83" s="105"/>
      <c r="J83" s="121" t="s">
        <v>226</v>
      </c>
      <c r="K83" s="121" t="s">
        <v>226</v>
      </c>
      <c r="L83" s="121" t="s">
        <v>226</v>
      </c>
      <c r="M83" s="121" t="s">
        <v>226</v>
      </c>
    </row>
    <row r="84" spans="1:13" ht="14.7" customHeight="1">
      <c r="A84" s="7" t="s">
        <v>101</v>
      </c>
      <c r="B84" s="5">
        <v>3343</v>
      </c>
      <c r="C84" s="121" t="s">
        <v>226</v>
      </c>
      <c r="D84" s="121" t="s">
        <v>226</v>
      </c>
      <c r="E84" s="121" t="s">
        <v>226</v>
      </c>
      <c r="F84" s="121" t="s">
        <v>226</v>
      </c>
      <c r="G84" s="121"/>
      <c r="H84" s="105"/>
      <c r="J84" s="121" t="s">
        <v>226</v>
      </c>
      <c r="K84" s="121" t="s">
        <v>226</v>
      </c>
      <c r="L84" s="121" t="s">
        <v>226</v>
      </c>
      <c r="M84" s="121" t="s">
        <v>226</v>
      </c>
    </row>
    <row r="85" spans="1:13" ht="20.100000000000001" customHeight="1">
      <c r="A85" s="7" t="s">
        <v>266</v>
      </c>
      <c r="B85" s="5">
        <v>3350</v>
      </c>
      <c r="C85" s="121" t="s">
        <v>226</v>
      </c>
      <c r="D85" s="121" t="s">
        <v>226</v>
      </c>
      <c r="E85" s="121" t="s">
        <v>226</v>
      </c>
      <c r="F85" s="121" t="s">
        <v>226</v>
      </c>
      <c r="G85" s="121"/>
      <c r="H85" s="105"/>
      <c r="J85" s="121" t="s">
        <v>226</v>
      </c>
      <c r="K85" s="121" t="s">
        <v>226</v>
      </c>
      <c r="L85" s="121" t="s">
        <v>226</v>
      </c>
      <c r="M85" s="121" t="s">
        <v>226</v>
      </c>
    </row>
    <row r="86" spans="1:13" ht="20.100000000000001" customHeight="1">
      <c r="A86" s="7" t="s">
        <v>542</v>
      </c>
      <c r="B86" s="5">
        <v>3360</v>
      </c>
      <c r="C86" s="121"/>
      <c r="D86" s="121"/>
      <c r="E86" s="121"/>
      <c r="F86" s="121"/>
      <c r="G86" s="121"/>
      <c r="H86" s="105"/>
      <c r="J86" s="121"/>
      <c r="K86" s="121"/>
      <c r="L86" s="121"/>
      <c r="M86" s="121"/>
    </row>
    <row r="87" spans="1:13" ht="20.100000000000001" customHeight="1">
      <c r="A87" s="7" t="s">
        <v>543</v>
      </c>
      <c r="B87" s="5">
        <v>3370</v>
      </c>
      <c r="C87" s="121"/>
      <c r="D87" s="121"/>
      <c r="E87" s="121"/>
      <c r="F87" s="121"/>
      <c r="G87" s="121"/>
      <c r="H87" s="105"/>
      <c r="J87" s="121"/>
      <c r="K87" s="121"/>
      <c r="L87" s="121"/>
      <c r="M87" s="121"/>
    </row>
    <row r="88" spans="1:13" ht="20.100000000000001" customHeight="1">
      <c r="A88" s="7" t="s">
        <v>541</v>
      </c>
      <c r="B88" s="8">
        <v>3380</v>
      </c>
      <c r="C88" s="121"/>
      <c r="D88" s="121" t="s">
        <v>226</v>
      </c>
      <c r="E88" s="121" t="s">
        <v>226</v>
      </c>
      <c r="F88" s="121"/>
      <c r="G88" s="121"/>
      <c r="H88" s="105"/>
      <c r="J88" s="121"/>
      <c r="K88" s="121"/>
      <c r="L88" s="121"/>
      <c r="M88" s="121"/>
    </row>
    <row r="89" spans="1:13" ht="20.100000000000001" customHeight="1">
      <c r="A89" s="9" t="s">
        <v>119</v>
      </c>
      <c r="B89" s="10">
        <v>3395</v>
      </c>
      <c r="C89" s="129">
        <f>SUM(C72,C79)</f>
        <v>0</v>
      </c>
      <c r="D89" s="129">
        <f>SUM(D72,D79)</f>
        <v>0</v>
      </c>
      <c r="E89" s="129">
        <f>SUM(E72,E79)</f>
        <v>0</v>
      </c>
      <c r="F89" s="129">
        <f>SUM(F72,F79)</f>
        <v>0</v>
      </c>
      <c r="G89" s="141"/>
      <c r="H89" s="106"/>
      <c r="J89" s="129">
        <v>0</v>
      </c>
      <c r="K89" s="129">
        <f>SUM(K72,K79)</f>
        <v>0</v>
      </c>
      <c r="L89" s="129">
        <v>0</v>
      </c>
      <c r="M89" s="129">
        <v>0</v>
      </c>
    </row>
    <row r="90" spans="1:13" ht="20.100000000000001" customHeight="1">
      <c r="A90" s="112" t="s">
        <v>544</v>
      </c>
      <c r="B90" s="10">
        <v>3400</v>
      </c>
      <c r="C90" s="129">
        <f>C7-C24-C61</f>
        <v>-462.60000000000446</v>
      </c>
      <c r="D90" s="129">
        <f>F90</f>
        <v>1493.6999999999884</v>
      </c>
      <c r="E90" s="129">
        <f>E7-E24-E61</f>
        <v>643.10000000000582</v>
      </c>
      <c r="F90" s="129">
        <f>F7-F24-F61+0.1</f>
        <v>1493.6999999999884</v>
      </c>
      <c r="G90" s="141">
        <f t="shared" si="4"/>
        <v>850.59999999998263</v>
      </c>
      <c r="H90" s="106">
        <f t="shared" si="5"/>
        <v>232.26558855543072</v>
      </c>
      <c r="J90" s="129">
        <v>-112.3999999999989</v>
      </c>
      <c r="K90" s="129">
        <f>K7-K24-K61</f>
        <v>36.999999999999261</v>
      </c>
      <c r="L90" s="129">
        <v>887.60000000000446</v>
      </c>
      <c r="M90" s="129">
        <v>681.40000000000362</v>
      </c>
    </row>
    <row r="91" spans="1:13" ht="20.100000000000001" customHeight="1">
      <c r="A91" s="7" t="s">
        <v>287</v>
      </c>
      <c r="B91" s="8">
        <v>3405</v>
      </c>
      <c r="C91" s="121">
        <v>995</v>
      </c>
      <c r="D91" s="121">
        <f>J91</f>
        <v>532.4</v>
      </c>
      <c r="E91" s="284">
        <v>475.45</v>
      </c>
      <c r="F91" s="121">
        <f>J91</f>
        <v>532.4</v>
      </c>
      <c r="G91" s="121">
        <f t="shared" si="4"/>
        <v>56.949999999999989</v>
      </c>
      <c r="H91" s="105">
        <f t="shared" si="5"/>
        <v>111.97812598590808</v>
      </c>
      <c r="J91" s="121">
        <v>532.4</v>
      </c>
      <c r="K91" s="121">
        <v>420</v>
      </c>
      <c r="L91" s="121">
        <v>457.1</v>
      </c>
      <c r="M91" s="121">
        <v>1344.7</v>
      </c>
    </row>
    <row r="92" spans="1:13" ht="20.100000000000001" customHeight="1">
      <c r="A92" s="69" t="s">
        <v>121</v>
      </c>
      <c r="B92" s="8">
        <v>3410</v>
      </c>
      <c r="C92" s="121"/>
      <c r="D92" s="121"/>
      <c r="E92" s="121"/>
      <c r="F92" s="121"/>
      <c r="G92" s="121"/>
      <c r="H92" s="105"/>
      <c r="J92" s="121"/>
      <c r="K92" s="121"/>
      <c r="L92" s="121"/>
      <c r="M92" s="121"/>
    </row>
    <row r="93" spans="1:13" ht="20.100000000000001" customHeight="1">
      <c r="A93" s="7" t="s">
        <v>288</v>
      </c>
      <c r="B93" s="8">
        <v>3415</v>
      </c>
      <c r="C93" s="129">
        <f>SUM(C91,C90,C92)</f>
        <v>532.39999999999554</v>
      </c>
      <c r="D93" s="129">
        <f>SUM(D91,D90,D92)</f>
        <v>2026.0999999999885</v>
      </c>
      <c r="E93" s="129">
        <f>SUM(E91,E90,E92)</f>
        <v>1118.5500000000059</v>
      </c>
      <c r="F93" s="129">
        <f>SUM(F91,F90,F92)</f>
        <v>2026.0999999999885</v>
      </c>
      <c r="G93" s="121">
        <f t="shared" si="4"/>
        <v>907.54999999998267</v>
      </c>
      <c r="H93" s="106">
        <f t="shared" si="5"/>
        <v>181.13629252156613</v>
      </c>
      <c r="J93" s="129">
        <v>420.00000000000108</v>
      </c>
      <c r="K93" s="129">
        <f>SUM(K91,K90,K92)</f>
        <v>456.99999999999926</v>
      </c>
      <c r="L93" s="129">
        <v>1344.7000000000044</v>
      </c>
      <c r="M93" s="129">
        <v>2026.1000000000035</v>
      </c>
    </row>
    <row r="94" spans="1:13" s="4" customFormat="1" ht="24.15" customHeight="1">
      <c r="A94" s="2"/>
      <c r="B94" s="28"/>
      <c r="C94" s="154"/>
      <c r="D94" s="154"/>
      <c r="E94" s="154"/>
      <c r="F94" s="154"/>
      <c r="G94" s="154"/>
      <c r="H94" s="28"/>
      <c r="J94" s="154"/>
      <c r="K94" s="154"/>
      <c r="L94" s="154"/>
      <c r="M94" s="154"/>
    </row>
    <row r="95" spans="1:13" ht="27.75" customHeight="1">
      <c r="A95" s="46" t="s">
        <v>486</v>
      </c>
      <c r="B95" s="1"/>
      <c r="C95" s="340" t="s">
        <v>89</v>
      </c>
      <c r="D95" s="340"/>
      <c r="E95" s="62"/>
      <c r="F95" s="341" t="s">
        <v>487</v>
      </c>
      <c r="G95" s="341"/>
      <c r="H95" s="341"/>
      <c r="J95" s="2" t="s">
        <v>487</v>
      </c>
      <c r="K95" s="2"/>
      <c r="L95" s="2" t="s">
        <v>487</v>
      </c>
      <c r="M95" s="2" t="s">
        <v>487</v>
      </c>
    </row>
    <row r="96" spans="1:13">
      <c r="A96" s="23" t="s">
        <v>211</v>
      </c>
      <c r="C96" s="312" t="s">
        <v>210</v>
      </c>
      <c r="D96" s="312"/>
      <c r="F96" s="314" t="s">
        <v>85</v>
      </c>
      <c r="G96" s="314"/>
      <c r="H96" s="314"/>
      <c r="J96" s="2" t="s">
        <v>85</v>
      </c>
      <c r="K96" s="2"/>
      <c r="L96" s="2" t="s">
        <v>85</v>
      </c>
      <c r="M96" s="2" t="s">
        <v>85</v>
      </c>
    </row>
  </sheetData>
  <mergeCells count="9">
    <mergeCell ref="C96:D96"/>
    <mergeCell ref="A1:H1"/>
    <mergeCell ref="A3:A4"/>
    <mergeCell ref="B3:B4"/>
    <mergeCell ref="C3:D3"/>
    <mergeCell ref="E3:H3"/>
    <mergeCell ref="F96:H96"/>
    <mergeCell ref="C95:D95"/>
    <mergeCell ref="F95:H95"/>
  </mergeCells>
  <phoneticPr fontId="3" type="noConversion"/>
  <pageMargins left="1.1811023622047245" right="0.39370078740157483" top="0.39370078740157483" bottom="0.39370078740157483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23:H24 G51:H51 H7:H8 G25:H26 H38 G37:H37 G35:G36 G32:H32 G28:G31 G34:H34 G33 G53 G65 G70:H70 G90:H91 G71:G79 G93:H93 G61:H61 G6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183"/>
  <sheetViews>
    <sheetView topLeftCell="C1" zoomScale="75" zoomScaleNormal="75" zoomScaleSheetLayoutView="55" workbookViewId="0">
      <selection activeCell="U15" sqref="U15"/>
    </sheetView>
  </sheetViews>
  <sheetFormatPr defaultColWidth="9.109375" defaultRowHeight="18"/>
  <cols>
    <col min="1" max="1" width="82.33203125" style="2" customWidth="1"/>
    <col min="2" max="2" width="9.88671875" style="3" customWidth="1"/>
    <col min="3" max="7" width="25.6640625" style="3" customWidth="1"/>
    <col min="8" max="8" width="21.109375" style="3" customWidth="1"/>
    <col min="9" max="9" width="9.5546875" style="2" customWidth="1"/>
    <col min="10" max="13" width="25.6640625" style="3" hidden="1" customWidth="1"/>
    <col min="14" max="16384" width="9.109375" style="2"/>
  </cols>
  <sheetData>
    <row r="1" spans="1:15">
      <c r="A1" s="317" t="s">
        <v>144</v>
      </c>
      <c r="B1" s="317"/>
      <c r="C1" s="317"/>
      <c r="D1" s="317"/>
      <c r="E1" s="317"/>
      <c r="F1" s="317"/>
      <c r="G1" s="317"/>
      <c r="H1" s="317"/>
      <c r="J1" s="2"/>
      <c r="K1" s="2"/>
      <c r="L1" s="2"/>
      <c r="M1" s="2"/>
    </row>
    <row r="2" spans="1:15">
      <c r="A2" s="351"/>
      <c r="B2" s="351"/>
      <c r="C2" s="351"/>
      <c r="D2" s="351"/>
      <c r="E2" s="351"/>
      <c r="F2" s="351"/>
      <c r="G2" s="351"/>
      <c r="H2" s="351"/>
      <c r="J2" s="2"/>
      <c r="K2" s="2"/>
      <c r="L2" s="2"/>
      <c r="M2" s="2"/>
    </row>
    <row r="3" spans="1:15" ht="43.5" customHeight="1">
      <c r="A3" s="349" t="s">
        <v>191</v>
      </c>
      <c r="B3" s="332" t="s">
        <v>18</v>
      </c>
      <c r="C3" s="332" t="s">
        <v>155</v>
      </c>
      <c r="D3" s="332"/>
      <c r="E3" s="331" t="s">
        <v>579</v>
      </c>
      <c r="F3" s="331"/>
      <c r="G3" s="331"/>
      <c r="H3" s="331"/>
      <c r="J3" s="182" t="s">
        <v>558</v>
      </c>
      <c r="K3" s="182" t="s">
        <v>559</v>
      </c>
      <c r="L3" s="182" t="s">
        <v>560</v>
      </c>
      <c r="M3" s="182" t="s">
        <v>561</v>
      </c>
    </row>
    <row r="4" spans="1:15" ht="56.25" customHeight="1">
      <c r="A4" s="350"/>
      <c r="B4" s="332"/>
      <c r="C4" s="6" t="s">
        <v>178</v>
      </c>
      <c r="D4" s="6" t="s">
        <v>179</v>
      </c>
      <c r="E4" s="6" t="s">
        <v>180</v>
      </c>
      <c r="F4" s="6" t="s">
        <v>167</v>
      </c>
      <c r="G4" s="55" t="s">
        <v>186</v>
      </c>
      <c r="H4" s="55" t="s">
        <v>187</v>
      </c>
      <c r="J4" s="6" t="s">
        <v>167</v>
      </c>
      <c r="K4" s="6" t="s">
        <v>167</v>
      </c>
      <c r="L4" s="6" t="s">
        <v>167</v>
      </c>
      <c r="M4" s="6" t="s">
        <v>167</v>
      </c>
    </row>
    <row r="5" spans="1:15" ht="15.75" customHeight="1">
      <c r="A5" s="5">
        <v>1</v>
      </c>
      <c r="B5" s="6">
        <v>2</v>
      </c>
      <c r="C5" s="6">
        <v>6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J5" s="6">
        <v>6</v>
      </c>
      <c r="K5" s="6">
        <v>6</v>
      </c>
      <c r="L5" s="6">
        <v>6</v>
      </c>
      <c r="M5" s="6">
        <v>6</v>
      </c>
    </row>
    <row r="6" spans="1:15" s="4" customFormat="1" ht="34.799999999999997">
      <c r="A6" s="9" t="s">
        <v>70</v>
      </c>
      <c r="B6" s="8">
        <v>4000</v>
      </c>
      <c r="C6" s="141">
        <f>SUM(C7:C12)</f>
        <v>1201</v>
      </c>
      <c r="D6" s="141">
        <f>SUM(D7:D12)</f>
        <v>1422</v>
      </c>
      <c r="E6" s="141">
        <f>SUM(E7:E12)</f>
        <v>1163</v>
      </c>
      <c r="F6" s="141">
        <f>SUM(F7:F12)</f>
        <v>1422</v>
      </c>
      <c r="G6" s="141">
        <f>F6-E6</f>
        <v>259</v>
      </c>
      <c r="H6" s="310">
        <f>(F6/E6)*100</f>
        <v>122.26999140154773</v>
      </c>
      <c r="J6" s="141">
        <v>393</v>
      </c>
      <c r="K6" s="141">
        <f>SUM(K7:K12)</f>
        <v>279</v>
      </c>
      <c r="L6" s="141">
        <v>292</v>
      </c>
      <c r="M6" s="141">
        <f>M8+M9+M10</f>
        <v>458</v>
      </c>
    </row>
    <row r="7" spans="1:15" ht="20.100000000000001" customHeight="1">
      <c r="A7" s="7" t="s">
        <v>1</v>
      </c>
      <c r="B7" s="5" t="s">
        <v>149</v>
      </c>
      <c r="C7" s="121">
        <v>0</v>
      </c>
      <c r="D7" s="121">
        <f>F7</f>
        <v>0</v>
      </c>
      <c r="E7" s="121">
        <v>0</v>
      </c>
      <c r="F7" s="121">
        <v>0</v>
      </c>
      <c r="G7" s="121">
        <f t="shared" ref="G7:G12" si="0">F7-E7</f>
        <v>0</v>
      </c>
      <c r="H7" s="311"/>
      <c r="J7" s="121">
        <v>0</v>
      </c>
      <c r="K7" s="121">
        <v>0</v>
      </c>
      <c r="L7" s="121">
        <v>0</v>
      </c>
      <c r="M7" s="121">
        <v>0</v>
      </c>
    </row>
    <row r="8" spans="1:15" ht="20.100000000000001" customHeight="1">
      <c r="A8" s="7" t="s">
        <v>2</v>
      </c>
      <c r="B8" s="8">
        <v>4020</v>
      </c>
      <c r="C8" s="121">
        <v>326</v>
      </c>
      <c r="D8" s="121">
        <f t="shared" ref="D8:D12" si="1">F8</f>
        <v>352.59999999999997</v>
      </c>
      <c r="E8" s="121">
        <v>345</v>
      </c>
      <c r="F8" s="121">
        <f>J8+K8+L8+M8</f>
        <v>352.59999999999997</v>
      </c>
      <c r="G8" s="121">
        <f t="shared" si="0"/>
        <v>7.5999999999999659</v>
      </c>
      <c r="H8" s="311">
        <f t="shared" ref="H8:H10" si="2">(F8/E8)*100</f>
        <v>102.20289855072463</v>
      </c>
      <c r="J8" s="121">
        <v>263.8</v>
      </c>
      <c r="K8" s="121">
        <v>33</v>
      </c>
      <c r="L8" s="121">
        <v>33.9</v>
      </c>
      <c r="M8" s="121">
        <v>21.9</v>
      </c>
      <c r="O8" s="19"/>
    </row>
    <row r="9" spans="1:15" ht="19.5" customHeight="1">
      <c r="A9" s="7" t="s">
        <v>30</v>
      </c>
      <c r="B9" s="5">
        <v>4030</v>
      </c>
      <c r="C9" s="121">
        <v>866</v>
      </c>
      <c r="D9" s="121">
        <f t="shared" si="1"/>
        <v>1032.4000000000001</v>
      </c>
      <c r="E9" s="121">
        <v>801</v>
      </c>
      <c r="F9" s="121">
        <f t="shared" ref="F9:F10" si="3">J9+K9+L9+M9</f>
        <v>1032.4000000000001</v>
      </c>
      <c r="G9" s="121">
        <f t="shared" si="0"/>
        <v>231.40000000000009</v>
      </c>
      <c r="H9" s="311">
        <f t="shared" si="2"/>
        <v>128.88888888888889</v>
      </c>
      <c r="J9" s="121">
        <v>122.2</v>
      </c>
      <c r="K9" s="121">
        <v>246</v>
      </c>
      <c r="L9" s="121">
        <v>234.1</v>
      </c>
      <c r="M9" s="121">
        <f>461.1-31</f>
        <v>430.1</v>
      </c>
      <c r="N9" s="19"/>
    </row>
    <row r="10" spans="1:15" ht="20.100000000000001" customHeight="1">
      <c r="A10" s="7" t="s">
        <v>3</v>
      </c>
      <c r="B10" s="8">
        <v>4040</v>
      </c>
      <c r="C10" s="121">
        <v>9</v>
      </c>
      <c r="D10" s="121">
        <f t="shared" si="1"/>
        <v>37</v>
      </c>
      <c r="E10" s="121">
        <v>17</v>
      </c>
      <c r="F10" s="121">
        <f t="shared" si="3"/>
        <v>37</v>
      </c>
      <c r="G10" s="121">
        <f t="shared" si="0"/>
        <v>20</v>
      </c>
      <c r="H10" s="311">
        <f t="shared" si="2"/>
        <v>217.64705882352939</v>
      </c>
      <c r="J10" s="121">
        <v>7</v>
      </c>
      <c r="K10" s="121">
        <v>0</v>
      </c>
      <c r="L10" s="121">
        <v>24</v>
      </c>
      <c r="M10" s="121">
        <v>6</v>
      </c>
    </row>
    <row r="11" spans="1:15" ht="36">
      <c r="A11" s="7" t="s">
        <v>61</v>
      </c>
      <c r="B11" s="5">
        <v>4050</v>
      </c>
      <c r="C11" s="121">
        <v>0</v>
      </c>
      <c r="D11" s="121">
        <f t="shared" si="1"/>
        <v>0</v>
      </c>
      <c r="E11" s="121">
        <v>0</v>
      </c>
      <c r="F11" s="121">
        <v>0</v>
      </c>
      <c r="G11" s="121">
        <f t="shared" si="0"/>
        <v>0</v>
      </c>
      <c r="H11" s="105"/>
      <c r="J11" s="121">
        <v>0</v>
      </c>
      <c r="K11" s="121">
        <v>0</v>
      </c>
      <c r="L11" s="121">
        <v>0</v>
      </c>
      <c r="M11" s="121">
        <v>0</v>
      </c>
    </row>
    <row r="12" spans="1:15">
      <c r="A12" s="7" t="s">
        <v>249</v>
      </c>
      <c r="B12" s="5">
        <v>4060</v>
      </c>
      <c r="C12" s="121">
        <v>0</v>
      </c>
      <c r="D12" s="121">
        <f t="shared" si="1"/>
        <v>0</v>
      </c>
      <c r="E12" s="121">
        <v>0</v>
      </c>
      <c r="F12" s="121">
        <v>0</v>
      </c>
      <c r="G12" s="121">
        <f t="shared" si="0"/>
        <v>0</v>
      </c>
      <c r="H12" s="105"/>
      <c r="J12" s="121">
        <v>0</v>
      </c>
      <c r="K12" s="121">
        <v>0</v>
      </c>
      <c r="L12" s="121">
        <v>0</v>
      </c>
      <c r="M12" s="121">
        <v>0</v>
      </c>
    </row>
    <row r="13" spans="1:15"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</row>
    <row r="14" spans="1:15"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</row>
    <row r="15" spans="1:15" ht="19.5" customHeight="1">
      <c r="A15" s="3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</row>
    <row r="16" spans="1:15" ht="27.75" customHeight="1">
      <c r="A16" s="46" t="s">
        <v>486</v>
      </c>
      <c r="B16" s="1"/>
      <c r="C16" s="340" t="s">
        <v>89</v>
      </c>
      <c r="D16" s="340"/>
      <c r="E16" s="62"/>
      <c r="F16" s="341" t="s">
        <v>487</v>
      </c>
      <c r="G16" s="341"/>
      <c r="H16" s="341"/>
      <c r="J16" s="2"/>
      <c r="K16" s="2"/>
      <c r="L16" s="2" t="s">
        <v>487</v>
      </c>
      <c r="M16" s="2" t="s">
        <v>487</v>
      </c>
    </row>
    <row r="17" spans="1:13">
      <c r="A17" s="23" t="s">
        <v>211</v>
      </c>
      <c r="B17" s="2"/>
      <c r="C17" s="312" t="s">
        <v>210</v>
      </c>
      <c r="D17" s="312"/>
      <c r="E17" s="25"/>
      <c r="F17" s="314" t="s">
        <v>85</v>
      </c>
      <c r="G17" s="314"/>
      <c r="H17" s="314"/>
      <c r="J17" s="2"/>
      <c r="K17" s="2"/>
      <c r="L17" s="2" t="s">
        <v>85</v>
      </c>
      <c r="M17" s="2" t="s">
        <v>85</v>
      </c>
    </row>
    <row r="18" spans="1:13">
      <c r="A18" s="41"/>
    </row>
    <row r="19" spans="1:13">
      <c r="A19" s="41"/>
    </row>
    <row r="20" spans="1:13">
      <c r="A20" s="41"/>
    </row>
    <row r="21" spans="1:13">
      <c r="A21" s="41"/>
    </row>
    <row r="22" spans="1:13">
      <c r="A22" s="41"/>
    </row>
    <row r="23" spans="1:13">
      <c r="A23" s="41"/>
    </row>
    <row r="24" spans="1:13">
      <c r="A24" s="41"/>
    </row>
    <row r="25" spans="1:13">
      <c r="A25" s="41"/>
    </row>
    <row r="26" spans="1:13">
      <c r="A26" s="41"/>
    </row>
    <row r="27" spans="1:13">
      <c r="A27" s="41"/>
    </row>
    <row r="28" spans="1:13">
      <c r="A28" s="41"/>
    </row>
    <row r="29" spans="1:13">
      <c r="A29" s="41"/>
    </row>
    <row r="30" spans="1:13">
      <c r="A30" s="41"/>
    </row>
    <row r="31" spans="1:13">
      <c r="A31" s="41"/>
    </row>
    <row r="32" spans="1:13">
      <c r="A32" s="41"/>
    </row>
    <row r="33" spans="1:1">
      <c r="A33" s="41"/>
    </row>
    <row r="34" spans="1:1">
      <c r="A34" s="41"/>
    </row>
    <row r="35" spans="1:1">
      <c r="A35" s="41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  <row r="40" spans="1:1">
      <c r="A40" s="41"/>
    </row>
    <row r="41" spans="1:1">
      <c r="A41" s="41"/>
    </row>
    <row r="42" spans="1:1">
      <c r="A42" s="41"/>
    </row>
    <row r="43" spans="1:1">
      <c r="A43" s="41"/>
    </row>
    <row r="44" spans="1:1">
      <c r="A44" s="41"/>
    </row>
    <row r="45" spans="1:1">
      <c r="A45" s="41"/>
    </row>
    <row r="46" spans="1:1">
      <c r="A46" s="41"/>
    </row>
    <row r="47" spans="1:1">
      <c r="A47" s="41"/>
    </row>
    <row r="48" spans="1:1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8"/>
  <sheetViews>
    <sheetView zoomScale="50" zoomScaleNormal="50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6" sqref="O16"/>
    </sheetView>
  </sheetViews>
  <sheetFormatPr defaultColWidth="9.109375" defaultRowHeight="13.2"/>
  <cols>
    <col min="1" max="1" width="95" style="27" customWidth="1"/>
    <col min="2" max="2" width="19.44140625" style="27" customWidth="1"/>
    <col min="3" max="7" width="26" style="27" customWidth="1"/>
    <col min="8" max="8" width="81.5546875" style="27" customWidth="1"/>
    <col min="9" max="9" width="9.5546875" style="27" customWidth="1"/>
    <col min="10" max="10" width="9.109375" style="27" customWidth="1"/>
    <col min="11" max="11" width="27.109375" style="27" customWidth="1"/>
    <col min="12" max="16384" width="9.109375" style="27"/>
  </cols>
  <sheetData>
    <row r="1" spans="1:8" ht="19.5" customHeight="1">
      <c r="A1" s="352" t="s">
        <v>145</v>
      </c>
      <c r="B1" s="352"/>
      <c r="C1" s="352"/>
      <c r="D1" s="352"/>
      <c r="E1" s="352"/>
      <c r="F1" s="352"/>
      <c r="G1" s="352"/>
      <c r="H1" s="352"/>
    </row>
    <row r="2" spans="1:8" ht="16.5" customHeight="1"/>
    <row r="3" spans="1:8" ht="49.65" customHeight="1">
      <c r="A3" s="353" t="s">
        <v>191</v>
      </c>
      <c r="B3" s="353" t="s">
        <v>0</v>
      </c>
      <c r="C3" s="353" t="s">
        <v>84</v>
      </c>
      <c r="D3" s="332" t="s">
        <v>155</v>
      </c>
      <c r="E3" s="332"/>
      <c r="F3" s="355" t="s">
        <v>577</v>
      </c>
      <c r="G3" s="355"/>
      <c r="H3" s="353" t="s">
        <v>209</v>
      </c>
    </row>
    <row r="4" spans="1:8" ht="63" customHeight="1">
      <c r="A4" s="354"/>
      <c r="B4" s="354"/>
      <c r="C4" s="354"/>
      <c r="D4" s="6" t="s">
        <v>178</v>
      </c>
      <c r="E4" s="6" t="s">
        <v>179</v>
      </c>
      <c r="F4" s="6" t="s">
        <v>178</v>
      </c>
      <c r="G4" s="6" t="s">
        <v>179</v>
      </c>
      <c r="H4" s="354"/>
    </row>
    <row r="5" spans="1:8" s="50" customFormat="1" ht="29.25" customHeight="1">
      <c r="A5" s="34">
        <v>1</v>
      </c>
      <c r="B5" s="34">
        <v>2</v>
      </c>
      <c r="C5" s="34">
        <v>3</v>
      </c>
      <c r="D5" s="34">
        <v>7</v>
      </c>
      <c r="E5" s="34">
        <v>7</v>
      </c>
      <c r="F5" s="34">
        <v>6</v>
      </c>
      <c r="G5" s="34">
        <v>7</v>
      </c>
      <c r="H5" s="34">
        <v>8</v>
      </c>
    </row>
    <row r="6" spans="1:8" s="50" customFormat="1" ht="24.9" customHeight="1">
      <c r="A6" s="49" t="s">
        <v>129</v>
      </c>
      <c r="B6" s="49"/>
      <c r="C6" s="34"/>
      <c r="D6" s="34"/>
      <c r="E6" s="34"/>
      <c r="F6" s="34"/>
      <c r="G6" s="34"/>
      <c r="H6" s="34"/>
    </row>
    <row r="7" spans="1:8" ht="54">
      <c r="A7" s="7" t="s">
        <v>410</v>
      </c>
      <c r="B7" s="6">
        <v>5000</v>
      </c>
      <c r="C7" s="79" t="s">
        <v>218</v>
      </c>
      <c r="D7" s="71">
        <v>9.4</v>
      </c>
      <c r="E7" s="71">
        <f>('Осн. фін. пок.'!D36/'Осн. фін. пок.'!D34)*100</f>
        <v>16.397800335598333</v>
      </c>
      <c r="F7" s="71">
        <v>3.5</v>
      </c>
      <c r="G7" s="71">
        <f>('Осн. фін. пок.'!F36/'Осн. фін. пок.'!F34)*100</f>
        <v>16.397800335598333</v>
      </c>
      <c r="H7" s="72"/>
    </row>
    <row r="8" spans="1:8" ht="54">
      <c r="A8" s="7" t="s">
        <v>411</v>
      </c>
      <c r="B8" s="6">
        <v>5010</v>
      </c>
      <c r="C8" s="79" t="s">
        <v>218</v>
      </c>
      <c r="D8" s="71">
        <v>1.2</v>
      </c>
      <c r="E8" s="71">
        <f>('Осн. фін. пок.'!D51/'Осн. фін. пок.'!D34)*100</f>
        <v>8.9372165273878057</v>
      </c>
      <c r="F8" s="71">
        <v>-2.9</v>
      </c>
      <c r="G8" s="71">
        <f>('Осн. фін. пок.'!F51/'Осн. фін. пок.'!F34)*100</f>
        <v>8.9372165273878057</v>
      </c>
      <c r="H8" s="72"/>
    </row>
    <row r="9" spans="1:8" ht="42.75" customHeight="1">
      <c r="A9" s="26" t="s">
        <v>412</v>
      </c>
      <c r="B9" s="6">
        <v>5020</v>
      </c>
      <c r="C9" s="79" t="s">
        <v>218</v>
      </c>
      <c r="D9" s="205">
        <v>-0.51</v>
      </c>
      <c r="E9" s="205">
        <f>('Осн. фін. пок.'!D66/'Осн. фін. пок.'!D143)*100</f>
        <v>2.6698101185166254</v>
      </c>
      <c r="F9" s="205">
        <v>-0.46600000000000003</v>
      </c>
      <c r="G9" s="205">
        <f>('Осн. фін. пок.'!F66/'Осн. фін. пок.'!F143)*100</f>
        <v>2.6698101185166254</v>
      </c>
      <c r="H9" s="72" t="s">
        <v>219</v>
      </c>
    </row>
    <row r="10" spans="1:8" ht="42.75" customHeight="1">
      <c r="A10" s="26" t="s">
        <v>413</v>
      </c>
      <c r="B10" s="6">
        <v>5030</v>
      </c>
      <c r="C10" s="79" t="s">
        <v>218</v>
      </c>
      <c r="D10" s="205">
        <v>-0.54800000000000004</v>
      </c>
      <c r="E10" s="205">
        <f>('Осн. фін. пок.'!D66/'Осн. фін. пок.'!D149)*100</f>
        <v>2.8681440917258438</v>
      </c>
      <c r="F10" s="205">
        <v>-0.496</v>
      </c>
      <c r="G10" s="205">
        <f>('Осн. фін. пок.'!F66/'Осн. фін. пок.'!F149)*100</f>
        <v>2.8681440917258438</v>
      </c>
      <c r="H10" s="72"/>
    </row>
    <row r="11" spans="1:8" ht="54">
      <c r="A11" s="26" t="s">
        <v>414</v>
      </c>
      <c r="B11" s="6">
        <v>5040</v>
      </c>
      <c r="C11" s="79" t="s">
        <v>218</v>
      </c>
      <c r="D11" s="71">
        <v>-1.1000000000000001</v>
      </c>
      <c r="E11" s="71">
        <f>('Осн. фін. пок.'!D66/'Осн. фін. пок.'!D34)*100</f>
        <v>5.5689388779053237</v>
      </c>
      <c r="F11" s="71">
        <v>-4.2</v>
      </c>
      <c r="G11" s="71">
        <f>('Осн. фін. пок.'!F66/'Осн. фін. пок.'!F34)*100</f>
        <v>5.5689388779053237</v>
      </c>
      <c r="H11" s="72" t="s">
        <v>220</v>
      </c>
    </row>
    <row r="12" spans="1:8" ht="24.9" customHeight="1">
      <c r="A12" s="49" t="s">
        <v>131</v>
      </c>
      <c r="B12" s="6"/>
      <c r="C12" s="79"/>
      <c r="D12" s="71"/>
      <c r="E12" s="71"/>
      <c r="F12" s="71"/>
      <c r="G12" s="71"/>
      <c r="H12" s="72"/>
    </row>
    <row r="13" spans="1:8" ht="54">
      <c r="A13" s="72" t="s">
        <v>371</v>
      </c>
      <c r="B13" s="6">
        <v>5100</v>
      </c>
      <c r="C13" s="79"/>
      <c r="D13" s="71">
        <v>13.8</v>
      </c>
      <c r="E13" s="71">
        <f>('Осн. фін. пок.'!D144+'Осн. фін. пок.'!D145)/'Осн. фін. пок.'!D51</f>
        <v>1.6139346395508811</v>
      </c>
      <c r="F13" s="71">
        <v>-19.3</v>
      </c>
      <c r="G13" s="71">
        <f>('Осн. фін. пок.'!F144+'Осн. фін. пок.'!F145)/'Осн. фін. пок.'!F51</f>
        <v>1.6139346395508811</v>
      </c>
      <c r="H13" s="72"/>
    </row>
    <row r="14" spans="1:8" s="50" customFormat="1" ht="54">
      <c r="A14" s="72" t="s">
        <v>394</v>
      </c>
      <c r="B14" s="6">
        <v>5110</v>
      </c>
      <c r="C14" s="79" t="s">
        <v>126</v>
      </c>
      <c r="D14" s="71">
        <v>13.1</v>
      </c>
      <c r="E14" s="71">
        <f>'Осн. фін. пок.'!D149/('Осн. фін. пок.'!D144+'Осн. фін. пок.'!D145)</f>
        <v>13.461184058972586</v>
      </c>
      <c r="F14" s="71">
        <v>15.4</v>
      </c>
      <c r="G14" s="71">
        <f>'Осн. фін. пок.'!F149/('Осн. фін. пок.'!F144+'Осн. фін. пок.'!F145)</f>
        <v>13.461184058972586</v>
      </c>
      <c r="H14" s="72" t="s">
        <v>221</v>
      </c>
    </row>
    <row r="15" spans="1:8" s="50" customFormat="1" ht="54">
      <c r="A15" s="72" t="s">
        <v>395</v>
      </c>
      <c r="B15" s="6">
        <v>5120</v>
      </c>
      <c r="C15" s="79" t="s">
        <v>126</v>
      </c>
      <c r="D15" s="71">
        <v>1.8</v>
      </c>
      <c r="E15" s="71">
        <f>'Осн. фін. пок.'!D141/'Осн. фін. пок.'!D145</f>
        <v>2.1556093066113799</v>
      </c>
      <c r="F15" s="71">
        <v>2.1</v>
      </c>
      <c r="G15" s="71">
        <f>'Осн. фін. пок.'!F141/'Осн. фін. пок.'!F145</f>
        <v>2.1556093066113799</v>
      </c>
      <c r="H15" s="72" t="s">
        <v>223</v>
      </c>
    </row>
    <row r="16" spans="1:8" ht="24.9" customHeight="1">
      <c r="A16" s="49" t="s">
        <v>130</v>
      </c>
      <c r="B16" s="6"/>
      <c r="C16" s="79"/>
      <c r="D16" s="71"/>
      <c r="E16" s="71"/>
      <c r="F16" s="71"/>
      <c r="G16" s="71"/>
      <c r="H16" s="72"/>
    </row>
    <row r="17" spans="1:11" ht="42.75" customHeight="1">
      <c r="A17" s="72" t="s">
        <v>396</v>
      </c>
      <c r="B17" s="6">
        <v>5200</v>
      </c>
      <c r="C17" s="79"/>
      <c r="D17" s="205">
        <v>0.53710000000000002</v>
      </c>
      <c r="E17" s="206">
        <f>'Осн. фін. пок.'!D118/'Осн. фін. пок.'!D78</f>
        <v>0.56545252107523458</v>
      </c>
      <c r="F17" s="205">
        <v>0.67259999999999998</v>
      </c>
      <c r="G17" s="206">
        <f>'IV. Кап. інвестиції'!D6/'I. Фін результат'!D125</f>
        <v>0.56545252107523458</v>
      </c>
      <c r="H17" s="72"/>
    </row>
    <row r="18" spans="1:11" ht="72">
      <c r="A18" s="72" t="s">
        <v>397</v>
      </c>
      <c r="B18" s="6">
        <v>5210</v>
      </c>
      <c r="C18" s="79"/>
      <c r="D18" s="205">
        <v>2.1999999999999999E-2</v>
      </c>
      <c r="E18" s="205">
        <f>'Осн. фін. пок.'!D118/'Осн. фін. пок.'!D34</f>
        <v>2.3624794404479076E-2</v>
      </c>
      <c r="F18" s="205">
        <v>2.7E-2</v>
      </c>
      <c r="G18" s="205">
        <f>'IV. Кап. інвестиції'!D6/'I. Фін результат'!D7</f>
        <v>2.3624794404479076E-2</v>
      </c>
      <c r="H18" s="72"/>
    </row>
    <row r="19" spans="1:11" ht="36">
      <c r="A19" s="72" t="s">
        <v>398</v>
      </c>
      <c r="B19" s="6">
        <v>5220</v>
      </c>
      <c r="C19" s="79" t="s">
        <v>321</v>
      </c>
      <c r="D19" s="186">
        <v>0.46</v>
      </c>
      <c r="E19" s="186">
        <f>'Осн. фін. пок.'!D140/'Осн. фін. пок.'!D139</f>
        <v>0.4962302135554415</v>
      </c>
      <c r="F19" s="186">
        <v>0.44</v>
      </c>
      <c r="G19" s="186">
        <f>'Осн. фін. пок.'!F140/'Осн. фін. пок.'!F139</f>
        <v>0.4962302135554415</v>
      </c>
      <c r="H19" s="72" t="s">
        <v>222</v>
      </c>
    </row>
    <row r="20" spans="1:11" ht="24.9" customHeight="1">
      <c r="A20" s="49" t="s">
        <v>212</v>
      </c>
      <c r="B20" s="6"/>
      <c r="C20" s="79"/>
      <c r="D20" s="71"/>
      <c r="E20" s="71"/>
      <c r="F20" s="71"/>
      <c r="G20" s="71"/>
      <c r="H20" s="72"/>
    </row>
    <row r="21" spans="1:11" ht="72">
      <c r="A21" s="26" t="s">
        <v>225</v>
      </c>
      <c r="B21" s="6">
        <v>5300</v>
      </c>
      <c r="C21" s="79"/>
      <c r="D21" s="71"/>
      <c r="E21" s="71"/>
      <c r="F21" s="71"/>
      <c r="G21" s="71"/>
      <c r="H21" s="74"/>
    </row>
    <row r="26" spans="1:11" ht="20.399999999999999">
      <c r="K26" s="73"/>
    </row>
    <row r="27" spans="1:11" s="2" customFormat="1" ht="27.75" customHeight="1">
      <c r="A27" s="46" t="s">
        <v>486</v>
      </c>
      <c r="B27" s="1"/>
      <c r="C27" s="340" t="s">
        <v>89</v>
      </c>
      <c r="D27" s="340"/>
      <c r="E27" s="62"/>
      <c r="F27" s="341" t="s">
        <v>487</v>
      </c>
      <c r="G27" s="341"/>
      <c r="H27" s="341"/>
    </row>
    <row r="28" spans="1:11" s="2" customFormat="1" ht="18">
      <c r="A28" s="23" t="s">
        <v>211</v>
      </c>
      <c r="C28" s="312" t="s">
        <v>210</v>
      </c>
      <c r="D28" s="312"/>
      <c r="E28" s="25"/>
      <c r="F28" s="314" t="s">
        <v>85</v>
      </c>
      <c r="G28" s="314"/>
      <c r="H28" s="314"/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G11 G7:G8 G9 G10 G13 G14 G1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A84"/>
  <sheetViews>
    <sheetView topLeftCell="I1" zoomScale="75" zoomScaleNormal="75" zoomScaleSheetLayoutView="65" workbookViewId="0">
      <selection activeCell="AL11" sqref="AL11"/>
    </sheetView>
  </sheetViews>
  <sheetFormatPr defaultColWidth="9.109375" defaultRowHeight="18"/>
  <cols>
    <col min="1" max="1" width="44.88671875" style="2" customWidth="1"/>
    <col min="2" max="2" width="13.5546875" style="18" customWidth="1"/>
    <col min="3" max="3" width="18.554687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" width="20" style="2" hidden="1" customWidth="1"/>
    <col min="17" max="17" width="18.88671875" style="2" hidden="1" customWidth="1"/>
    <col min="18" max="18" width="9.109375" style="2"/>
    <col min="19" max="19" width="9.5546875" style="2" hidden="1" customWidth="1"/>
    <col min="20" max="20" width="11.5546875" style="2" hidden="1" customWidth="1"/>
    <col min="21" max="21" width="12.6640625" style="3" hidden="1" customWidth="1"/>
    <col min="22" max="24" width="13.6640625" style="3" hidden="1" customWidth="1"/>
    <col min="25" max="25" width="16" style="3" hidden="1" customWidth="1"/>
    <col min="26" max="26" width="18.88671875" style="2" hidden="1" customWidth="1"/>
    <col min="27" max="27" width="17.88671875" style="2" customWidth="1"/>
    <col min="28" max="16384" width="9.109375" style="2"/>
  </cols>
  <sheetData>
    <row r="1" spans="1:25">
      <c r="A1" s="317" t="s">
        <v>102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25">
      <c r="A2" s="317" t="s">
        <v>580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1:25">
      <c r="A3" s="411" t="s">
        <v>480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1:25">
      <c r="A4" s="412" t="s">
        <v>111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</row>
    <row r="5" spans="1:25" ht="24.9" customHeight="1">
      <c r="A5" s="390" t="s">
        <v>273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Y5" s="12">
        <v>12</v>
      </c>
    </row>
    <row r="6" spans="1:25" ht="3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74.25" customHeight="1">
      <c r="A7" s="413" t="s">
        <v>581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U7" s="5" t="s">
        <v>558</v>
      </c>
      <c r="V7" s="5" t="s">
        <v>559</v>
      </c>
      <c r="W7" s="5" t="s">
        <v>560</v>
      </c>
      <c r="X7" s="5" t="s">
        <v>561</v>
      </c>
      <c r="Y7" s="277" t="s">
        <v>562</v>
      </c>
    </row>
    <row r="8" spans="1:25" ht="18.75" customHeight="1">
      <c r="B8" s="2"/>
      <c r="C8" s="199"/>
      <c r="U8" s="5"/>
      <c r="V8" s="5"/>
      <c r="W8" s="5"/>
      <c r="X8" s="5"/>
      <c r="Y8" s="277"/>
    </row>
    <row r="9" spans="1:25" ht="54" customHeight="1">
      <c r="A9" s="332" t="s">
        <v>191</v>
      </c>
      <c r="B9" s="332"/>
      <c r="C9" s="332" t="s">
        <v>339</v>
      </c>
      <c r="D9" s="332"/>
      <c r="E9" s="332"/>
      <c r="F9" s="369" t="s">
        <v>340</v>
      </c>
      <c r="G9" s="370"/>
      <c r="H9" s="371"/>
      <c r="I9" s="332" t="s">
        <v>341</v>
      </c>
      <c r="J9" s="332"/>
      <c r="K9" s="332"/>
      <c r="L9" s="332" t="s">
        <v>337</v>
      </c>
      <c r="M9" s="332"/>
      <c r="N9" s="369" t="s">
        <v>338</v>
      </c>
      <c r="O9" s="371"/>
      <c r="U9" s="5"/>
      <c r="V9" s="5"/>
      <c r="W9" s="5"/>
      <c r="X9" s="5"/>
      <c r="Y9" s="277"/>
    </row>
    <row r="10" spans="1:25" ht="17.25" customHeight="1">
      <c r="A10" s="332">
        <v>1</v>
      </c>
      <c r="B10" s="332"/>
      <c r="C10" s="332">
        <v>4</v>
      </c>
      <c r="D10" s="332"/>
      <c r="E10" s="332"/>
      <c r="F10" s="369">
        <v>3</v>
      </c>
      <c r="G10" s="370"/>
      <c r="H10" s="371"/>
      <c r="I10" s="332">
        <v>4</v>
      </c>
      <c r="J10" s="332"/>
      <c r="K10" s="332"/>
      <c r="L10" s="369">
        <v>5</v>
      </c>
      <c r="M10" s="371"/>
      <c r="N10" s="332">
        <v>6</v>
      </c>
      <c r="O10" s="332"/>
      <c r="U10" s="5"/>
      <c r="V10" s="5"/>
      <c r="W10" s="5"/>
      <c r="X10" s="5"/>
      <c r="Y10" s="277"/>
    </row>
    <row r="11" spans="1:25" ht="80.099999999999994" customHeight="1">
      <c r="A11" s="399" t="s">
        <v>347</v>
      </c>
      <c r="B11" s="399"/>
      <c r="C11" s="397">
        <f>SUM(C14:C16)</f>
        <v>220</v>
      </c>
      <c r="D11" s="407"/>
      <c r="E11" s="398"/>
      <c r="F11" s="397">
        <f>SUM(F14:F16)</f>
        <v>220</v>
      </c>
      <c r="G11" s="407"/>
      <c r="H11" s="398"/>
      <c r="I11" s="397">
        <f>SUM(I14:I16)</f>
        <v>216.25</v>
      </c>
      <c r="J11" s="407"/>
      <c r="K11" s="398"/>
      <c r="L11" s="406">
        <f>I11-F11</f>
        <v>-3.75</v>
      </c>
      <c r="M11" s="406"/>
      <c r="N11" s="372">
        <f>(I11/F11)*100</f>
        <v>98.295454545454547</v>
      </c>
      <c r="O11" s="373"/>
      <c r="U11" s="211">
        <f>U14+U15+U16</f>
        <v>220</v>
      </c>
      <c r="V11" s="211">
        <f>V14+V15+V16</f>
        <v>220</v>
      </c>
      <c r="W11" s="211">
        <f t="shared" ref="W11:Y11" si="0">W14+W15+W16</f>
        <v>215</v>
      </c>
      <c r="X11" s="211">
        <f t="shared" si="0"/>
        <v>210</v>
      </c>
      <c r="Y11" s="278">
        <f t="shared" si="0"/>
        <v>216.25</v>
      </c>
    </row>
    <row r="12" spans="1:25" ht="24.15" customHeight="1">
      <c r="A12" s="420" t="s">
        <v>504</v>
      </c>
      <c r="B12" s="414"/>
      <c r="C12" s="189"/>
      <c r="D12" s="190"/>
      <c r="E12" s="191"/>
      <c r="F12" s="189"/>
      <c r="G12" s="190"/>
      <c r="H12" s="191"/>
      <c r="I12" s="189"/>
      <c r="J12" s="190"/>
      <c r="K12" s="191"/>
      <c r="L12" s="178"/>
      <c r="M12" s="178"/>
      <c r="N12" s="187"/>
      <c r="O12" s="188"/>
      <c r="U12" s="5"/>
      <c r="V12" s="5"/>
      <c r="W12" s="5"/>
      <c r="X12" s="5"/>
      <c r="Y12" s="277"/>
    </row>
    <row r="13" spans="1:25" ht="18.75" customHeight="1">
      <c r="A13" s="420" t="s">
        <v>505</v>
      </c>
      <c r="B13" s="414"/>
      <c r="C13" s="189"/>
      <c r="D13" s="190"/>
      <c r="E13" s="191"/>
      <c r="F13" s="189"/>
      <c r="G13" s="190"/>
      <c r="H13" s="191"/>
      <c r="I13" s="189"/>
      <c r="J13" s="190"/>
      <c r="K13" s="191"/>
      <c r="L13" s="178"/>
      <c r="M13" s="178"/>
      <c r="N13" s="187"/>
      <c r="O13" s="188"/>
      <c r="U13" s="5"/>
      <c r="V13" s="5"/>
      <c r="W13" s="5"/>
      <c r="X13" s="5"/>
      <c r="Y13" s="277"/>
    </row>
    <row r="14" spans="1:25" ht="18.75" customHeight="1">
      <c r="A14" s="388" t="s">
        <v>506</v>
      </c>
      <c r="B14" s="414"/>
      <c r="C14" s="393">
        <v>1</v>
      </c>
      <c r="D14" s="405"/>
      <c r="E14" s="394"/>
      <c r="F14" s="393">
        <v>1</v>
      </c>
      <c r="G14" s="405"/>
      <c r="H14" s="394"/>
      <c r="I14" s="393">
        <f>Y14</f>
        <v>1</v>
      </c>
      <c r="J14" s="405"/>
      <c r="K14" s="394"/>
      <c r="L14" s="379">
        <f t="shared" ref="L14:L37" si="1">I14-F14</f>
        <v>0</v>
      </c>
      <c r="M14" s="379"/>
      <c r="N14" s="374">
        <f t="shared" ref="N14:N37" si="2">(I14/F14)*100</f>
        <v>100</v>
      </c>
      <c r="O14" s="375"/>
      <c r="U14" s="135">
        <v>1</v>
      </c>
      <c r="V14" s="248">
        <v>1</v>
      </c>
      <c r="W14" s="135">
        <v>1</v>
      </c>
      <c r="X14" s="135">
        <v>1</v>
      </c>
      <c r="Y14" s="279">
        <f>AVERAGE(U14:X14)</f>
        <v>1</v>
      </c>
    </row>
    <row r="15" spans="1:25">
      <c r="A15" s="392" t="s">
        <v>194</v>
      </c>
      <c r="B15" s="392"/>
      <c r="C15" s="393">
        <v>45</v>
      </c>
      <c r="D15" s="405"/>
      <c r="E15" s="394"/>
      <c r="F15" s="393">
        <v>45</v>
      </c>
      <c r="G15" s="405"/>
      <c r="H15" s="394"/>
      <c r="I15" s="393">
        <f>Y15</f>
        <v>45.25</v>
      </c>
      <c r="J15" s="405"/>
      <c r="K15" s="394"/>
      <c r="L15" s="379">
        <f t="shared" si="1"/>
        <v>0.25</v>
      </c>
      <c r="M15" s="379"/>
      <c r="N15" s="374">
        <f t="shared" si="2"/>
        <v>100.55555555555556</v>
      </c>
      <c r="O15" s="375"/>
      <c r="U15" s="135">
        <v>46</v>
      </c>
      <c r="V15" s="248">
        <v>46</v>
      </c>
      <c r="W15" s="135">
        <v>45</v>
      </c>
      <c r="X15" s="135">
        <v>44</v>
      </c>
      <c r="Y15" s="280">
        <f t="shared" ref="Y15:Y16" si="3">AVERAGE(U15:X15)</f>
        <v>45.25</v>
      </c>
    </row>
    <row r="16" spans="1:25">
      <c r="A16" s="392" t="s">
        <v>195</v>
      </c>
      <c r="B16" s="392"/>
      <c r="C16" s="393">
        <v>174</v>
      </c>
      <c r="D16" s="405"/>
      <c r="E16" s="394"/>
      <c r="F16" s="393">
        <v>174</v>
      </c>
      <c r="G16" s="405"/>
      <c r="H16" s="394"/>
      <c r="I16" s="393">
        <f>Y16</f>
        <v>170</v>
      </c>
      <c r="J16" s="405"/>
      <c r="K16" s="394"/>
      <c r="L16" s="379">
        <f t="shared" si="1"/>
        <v>-4</v>
      </c>
      <c r="M16" s="379"/>
      <c r="N16" s="374">
        <f t="shared" si="2"/>
        <v>97.701149425287355</v>
      </c>
      <c r="O16" s="375"/>
      <c r="U16" s="135">
        <v>173</v>
      </c>
      <c r="V16" s="248">
        <v>173</v>
      </c>
      <c r="W16" s="135">
        <v>169</v>
      </c>
      <c r="X16" s="135">
        <v>165</v>
      </c>
      <c r="Y16" s="280">
        <f t="shared" si="3"/>
        <v>170</v>
      </c>
    </row>
    <row r="17" spans="1:27" ht="37.5" customHeight="1">
      <c r="A17" s="399" t="s">
        <v>399</v>
      </c>
      <c r="B17" s="399"/>
      <c r="C17" s="382">
        <f>C20+C21+C22</f>
        <v>21748.9</v>
      </c>
      <c r="D17" s="383"/>
      <c r="E17" s="384"/>
      <c r="F17" s="382">
        <f>SUM(F20:F22)</f>
        <v>26293.9</v>
      </c>
      <c r="G17" s="383"/>
      <c r="H17" s="384"/>
      <c r="I17" s="382">
        <f>I20+I21+I22</f>
        <v>25124.02</v>
      </c>
      <c r="J17" s="383"/>
      <c r="K17" s="384"/>
      <c r="L17" s="406">
        <f t="shared" si="1"/>
        <v>-1169.880000000001</v>
      </c>
      <c r="M17" s="406"/>
      <c r="N17" s="372">
        <f t="shared" si="2"/>
        <v>95.550755118107233</v>
      </c>
      <c r="O17" s="373"/>
      <c r="P17" s="2">
        <f>'I. Фін результат'!E123</f>
        <v>26293.9</v>
      </c>
      <c r="Q17" s="2">
        <f>'I. Фін результат'!F123</f>
        <v>25124</v>
      </c>
      <c r="S17" s="3">
        <f>'I. Фін результат'!E123</f>
        <v>26293.9</v>
      </c>
      <c r="T17" s="3">
        <f>'I. Фін результат'!F123</f>
        <v>25124</v>
      </c>
      <c r="U17" s="221">
        <f>U20+U21+U22</f>
        <v>6001.15</v>
      </c>
      <c r="V17" s="221">
        <f>V20+V21+V22</f>
        <v>5820.77</v>
      </c>
      <c r="W17" s="221">
        <f>W20+W21+W22</f>
        <v>6185.1</v>
      </c>
      <c r="X17" s="221">
        <f>X20+X21+X22</f>
        <v>7117</v>
      </c>
      <c r="Y17" s="271">
        <f>SUM(U17:X17)</f>
        <v>25124.02</v>
      </c>
      <c r="Z17" s="252">
        <f>'I. Фін результат'!D123</f>
        <v>25124</v>
      </c>
    </row>
    <row r="18" spans="1:27" ht="24.15" customHeight="1">
      <c r="A18" s="420" t="s">
        <v>504</v>
      </c>
      <c r="B18" s="414"/>
      <c r="C18" s="189"/>
      <c r="D18" s="190"/>
      <c r="E18" s="191"/>
      <c r="F18" s="189"/>
      <c r="G18" s="190"/>
      <c r="H18" s="191"/>
      <c r="I18" s="189"/>
      <c r="J18" s="190"/>
      <c r="K18" s="191"/>
      <c r="L18" s="178"/>
      <c r="M18" s="178"/>
      <c r="N18" s="187"/>
      <c r="O18" s="188"/>
      <c r="U18" s="217"/>
      <c r="V18" s="217"/>
      <c r="W18" s="217"/>
      <c r="X18" s="217"/>
      <c r="Y18" s="273"/>
    </row>
    <row r="19" spans="1:27" ht="18.75" customHeight="1">
      <c r="A19" s="420" t="s">
        <v>505</v>
      </c>
      <c r="B19" s="414"/>
      <c r="C19" s="189"/>
      <c r="D19" s="190"/>
      <c r="E19" s="191"/>
      <c r="F19" s="189"/>
      <c r="G19" s="190"/>
      <c r="H19" s="191"/>
      <c r="I19" s="189"/>
      <c r="J19" s="190"/>
      <c r="K19" s="191"/>
      <c r="L19" s="178"/>
      <c r="M19" s="178"/>
      <c r="N19" s="187"/>
      <c r="O19" s="188"/>
      <c r="U19" s="217"/>
      <c r="V19" s="217"/>
      <c r="W19" s="217"/>
      <c r="X19" s="217"/>
      <c r="Y19" s="273"/>
      <c r="Z19" s="23" t="s">
        <v>561</v>
      </c>
      <c r="AA19" s="23"/>
    </row>
    <row r="20" spans="1:27">
      <c r="A20" s="388" t="s">
        <v>506</v>
      </c>
      <c r="B20" s="414"/>
      <c r="C20" s="376">
        <v>236.5</v>
      </c>
      <c r="D20" s="377"/>
      <c r="E20" s="378"/>
      <c r="F20" s="408">
        <v>290</v>
      </c>
      <c r="G20" s="409"/>
      <c r="H20" s="410"/>
      <c r="I20" s="408">
        <f>Y20</f>
        <v>287.32</v>
      </c>
      <c r="J20" s="409"/>
      <c r="K20" s="410"/>
      <c r="L20" s="379">
        <f t="shared" si="1"/>
        <v>-2.6800000000000068</v>
      </c>
      <c r="M20" s="379"/>
      <c r="N20" s="374">
        <f t="shared" si="2"/>
        <v>99.07586206896552</v>
      </c>
      <c r="O20" s="375"/>
      <c r="U20" s="217">
        <v>81.25</v>
      </c>
      <c r="V20" s="217">
        <v>61.97</v>
      </c>
      <c r="W20" s="217">
        <v>72.099999999999994</v>
      </c>
      <c r="X20" s="217">
        <v>72</v>
      </c>
      <c r="Y20" s="273">
        <f>SUM(U20:X20)</f>
        <v>287.32</v>
      </c>
      <c r="Z20" s="272">
        <f>18*3+18</f>
        <v>72</v>
      </c>
      <c r="AA20" s="137"/>
    </row>
    <row r="21" spans="1:27">
      <c r="A21" s="392" t="s">
        <v>194</v>
      </c>
      <c r="B21" s="392"/>
      <c r="C21" s="376">
        <v>6086.1</v>
      </c>
      <c r="D21" s="377"/>
      <c r="E21" s="378"/>
      <c r="F21" s="376">
        <v>7541.2</v>
      </c>
      <c r="G21" s="377"/>
      <c r="H21" s="378"/>
      <c r="I21" s="376">
        <f>Y21</f>
        <v>7249.5</v>
      </c>
      <c r="J21" s="377"/>
      <c r="K21" s="378"/>
      <c r="L21" s="379">
        <f t="shared" si="1"/>
        <v>-291.69999999999982</v>
      </c>
      <c r="M21" s="379"/>
      <c r="N21" s="374">
        <f t="shared" si="2"/>
        <v>96.131915345037939</v>
      </c>
      <c r="O21" s="375"/>
      <c r="U21" s="217">
        <v>1619.7</v>
      </c>
      <c r="V21" s="217">
        <v>1708.8</v>
      </c>
      <c r="W21" s="217">
        <v>1756</v>
      </c>
      <c r="X21" s="217">
        <v>2165</v>
      </c>
      <c r="Y21" s="273">
        <f>SUM(U21:X21)</f>
        <v>7249.5</v>
      </c>
      <c r="Z21" s="137">
        <f>W21+120+150</f>
        <v>2026</v>
      </c>
      <c r="AA21" s="137"/>
    </row>
    <row r="22" spans="1:27">
      <c r="A22" s="392" t="s">
        <v>195</v>
      </c>
      <c r="B22" s="392"/>
      <c r="C22" s="376">
        <v>15426.3</v>
      </c>
      <c r="D22" s="377"/>
      <c r="E22" s="378"/>
      <c r="F22" s="376">
        <v>18462.7</v>
      </c>
      <c r="G22" s="377"/>
      <c r="H22" s="378"/>
      <c r="I22" s="376">
        <f>Y22</f>
        <v>17587.2</v>
      </c>
      <c r="J22" s="377"/>
      <c r="K22" s="378"/>
      <c r="L22" s="379">
        <f t="shared" si="1"/>
        <v>-875.5</v>
      </c>
      <c r="M22" s="379"/>
      <c r="N22" s="374">
        <f t="shared" si="2"/>
        <v>95.258006683746146</v>
      </c>
      <c r="O22" s="375"/>
      <c r="U22" s="217">
        <v>4300.2</v>
      </c>
      <c r="V22" s="217">
        <v>4050</v>
      </c>
      <c r="W22" s="217">
        <v>4357</v>
      </c>
      <c r="X22" s="217">
        <v>4880</v>
      </c>
      <c r="Y22" s="273">
        <f>SUM(U22:X22)</f>
        <v>17587.2</v>
      </c>
      <c r="Z22" s="137">
        <f>W22+250+184.5</f>
        <v>4791.5</v>
      </c>
      <c r="AA22" s="137"/>
    </row>
    <row r="23" spans="1:27" ht="36" customHeight="1">
      <c r="A23" s="399" t="s">
        <v>400</v>
      </c>
      <c r="B23" s="399"/>
      <c r="C23" s="382">
        <f>C26+C27+C28</f>
        <v>21748.9</v>
      </c>
      <c r="D23" s="383"/>
      <c r="E23" s="384"/>
      <c r="F23" s="382">
        <f>F26+F27+F28</f>
        <v>26293.9</v>
      </c>
      <c r="G23" s="383"/>
      <c r="H23" s="384"/>
      <c r="I23" s="382">
        <f>I26+I27+I28</f>
        <v>25124.02</v>
      </c>
      <c r="J23" s="383"/>
      <c r="K23" s="384"/>
      <c r="L23" s="406">
        <f t="shared" si="1"/>
        <v>-1169.880000000001</v>
      </c>
      <c r="M23" s="406"/>
      <c r="N23" s="372">
        <f t="shared" si="2"/>
        <v>95.550755118107233</v>
      </c>
      <c r="O23" s="373"/>
      <c r="U23" s="217"/>
      <c r="V23" s="217"/>
      <c r="W23" s="217"/>
      <c r="X23" s="217"/>
      <c r="Y23" s="273"/>
      <c r="AA23" s="25"/>
    </row>
    <row r="24" spans="1:27" ht="24.15" customHeight="1">
      <c r="A24" s="420" t="s">
        <v>504</v>
      </c>
      <c r="B24" s="414"/>
      <c r="C24" s="189"/>
      <c r="D24" s="190"/>
      <c r="E24" s="191"/>
      <c r="F24" s="189"/>
      <c r="G24" s="190"/>
      <c r="H24" s="191"/>
      <c r="I24" s="189"/>
      <c r="J24" s="190"/>
      <c r="K24" s="191"/>
      <c r="L24" s="178"/>
      <c r="M24" s="178"/>
      <c r="N24" s="187"/>
      <c r="O24" s="188"/>
      <c r="U24" s="217"/>
      <c r="V24" s="217"/>
      <c r="W24" s="217"/>
      <c r="X24" s="217"/>
      <c r="Y24" s="273"/>
    </row>
    <row r="25" spans="1:27" ht="18.75" customHeight="1">
      <c r="A25" s="420" t="s">
        <v>505</v>
      </c>
      <c r="B25" s="414"/>
      <c r="C25" s="189"/>
      <c r="D25" s="190"/>
      <c r="E25" s="191"/>
      <c r="F25" s="189"/>
      <c r="G25" s="190"/>
      <c r="H25" s="191"/>
      <c r="I25" s="189"/>
      <c r="J25" s="190"/>
      <c r="K25" s="191"/>
      <c r="L25" s="178"/>
      <c r="M25" s="178"/>
      <c r="N25" s="187"/>
      <c r="O25" s="188"/>
      <c r="U25" s="217"/>
      <c r="V25" s="217"/>
      <c r="W25" s="217"/>
      <c r="X25" s="217"/>
      <c r="Y25" s="273"/>
    </row>
    <row r="26" spans="1:27">
      <c r="A26" s="388" t="s">
        <v>506</v>
      </c>
      <c r="B26" s="414"/>
      <c r="C26" s="415">
        <v>236.5</v>
      </c>
      <c r="D26" s="416"/>
      <c r="E26" s="417"/>
      <c r="F26" s="376">
        <f>F20</f>
        <v>290</v>
      </c>
      <c r="G26" s="377"/>
      <c r="H26" s="378"/>
      <c r="I26" s="376">
        <f>I20</f>
        <v>287.32</v>
      </c>
      <c r="J26" s="377"/>
      <c r="K26" s="378"/>
      <c r="L26" s="379">
        <f t="shared" si="1"/>
        <v>-2.6800000000000068</v>
      </c>
      <c r="M26" s="379"/>
      <c r="N26" s="374">
        <f t="shared" si="2"/>
        <v>99.07586206896552</v>
      </c>
      <c r="O26" s="375"/>
      <c r="U26" s="217"/>
      <c r="V26" s="217"/>
      <c r="W26" s="217"/>
      <c r="X26" s="217"/>
      <c r="Y26" s="273"/>
    </row>
    <row r="27" spans="1:27">
      <c r="A27" s="392" t="s">
        <v>194</v>
      </c>
      <c r="B27" s="392"/>
      <c r="C27" s="376">
        <v>6086.1</v>
      </c>
      <c r="D27" s="377"/>
      <c r="E27" s="378"/>
      <c r="F27" s="376">
        <f>F21</f>
        <v>7541.2</v>
      </c>
      <c r="G27" s="377"/>
      <c r="H27" s="378"/>
      <c r="I27" s="376">
        <f>I21</f>
        <v>7249.5</v>
      </c>
      <c r="J27" s="377"/>
      <c r="K27" s="378"/>
      <c r="L27" s="379">
        <f t="shared" si="1"/>
        <v>-291.69999999999982</v>
      </c>
      <c r="M27" s="379"/>
      <c r="N27" s="374">
        <f t="shared" si="2"/>
        <v>96.131915345037939</v>
      </c>
      <c r="O27" s="375"/>
      <c r="U27" s="217"/>
      <c r="V27" s="217"/>
      <c r="W27" s="217"/>
      <c r="X27" s="217"/>
      <c r="Y27" s="273"/>
    </row>
    <row r="28" spans="1:27">
      <c r="A28" s="392" t="s">
        <v>195</v>
      </c>
      <c r="B28" s="392"/>
      <c r="C28" s="376">
        <v>15426.3</v>
      </c>
      <c r="D28" s="377"/>
      <c r="E28" s="378"/>
      <c r="F28" s="376">
        <f>F22</f>
        <v>18462.7</v>
      </c>
      <c r="G28" s="377"/>
      <c r="H28" s="378"/>
      <c r="I28" s="376">
        <f>I22</f>
        <v>17587.2</v>
      </c>
      <c r="J28" s="377"/>
      <c r="K28" s="378"/>
      <c r="L28" s="379">
        <f t="shared" si="1"/>
        <v>-875.5</v>
      </c>
      <c r="M28" s="379"/>
      <c r="N28" s="374">
        <f t="shared" si="2"/>
        <v>95.258006683746146</v>
      </c>
      <c r="O28" s="375"/>
      <c r="U28" s="217"/>
      <c r="V28" s="217"/>
      <c r="W28" s="217"/>
      <c r="X28" s="217"/>
      <c r="Y28" s="273"/>
    </row>
    <row r="29" spans="1:27" ht="56.25" customHeight="1">
      <c r="A29" s="399" t="s">
        <v>401</v>
      </c>
      <c r="B29" s="399"/>
      <c r="C29" s="382">
        <v>8228.9</v>
      </c>
      <c r="D29" s="383"/>
      <c r="E29" s="384"/>
      <c r="F29" s="382">
        <v>9959.7999999999993</v>
      </c>
      <c r="G29" s="383"/>
      <c r="H29" s="384"/>
      <c r="I29" s="382">
        <f>Y29</f>
        <v>9681.703275529866</v>
      </c>
      <c r="J29" s="383"/>
      <c r="K29" s="384"/>
      <c r="L29" s="406">
        <f t="shared" si="1"/>
        <v>-278.09672447013327</v>
      </c>
      <c r="M29" s="406"/>
      <c r="N29" s="372">
        <f t="shared" si="2"/>
        <v>97.207808144037699</v>
      </c>
      <c r="O29" s="373"/>
      <c r="U29" s="221">
        <f>U17/U11*1000/3</f>
        <v>9092.6515151515141</v>
      </c>
      <c r="V29" s="221">
        <f>V17/V11*1000/3</f>
        <v>8819.3484848484859</v>
      </c>
      <c r="W29" s="221">
        <f t="shared" ref="W29:X29" si="4">W17/W11*1000/3</f>
        <v>9589.3023255813969</v>
      </c>
      <c r="X29" s="221">
        <f t="shared" si="4"/>
        <v>11296.825396825398</v>
      </c>
      <c r="Y29" s="271">
        <f>Y17/Y11*1000/Y5</f>
        <v>9681.703275529866</v>
      </c>
    </row>
    <row r="30" spans="1:27" ht="17.7" customHeight="1">
      <c r="A30" s="420" t="s">
        <v>504</v>
      </c>
      <c r="B30" s="414"/>
      <c r="C30" s="189"/>
      <c r="D30" s="190"/>
      <c r="E30" s="191"/>
      <c r="F30" s="189"/>
      <c r="G30" s="190"/>
      <c r="H30" s="191"/>
      <c r="I30" s="189"/>
      <c r="J30" s="190"/>
      <c r="K30" s="191"/>
      <c r="L30" s="178"/>
      <c r="M30" s="178"/>
      <c r="N30" s="187"/>
      <c r="O30" s="188"/>
      <c r="U30" s="217"/>
      <c r="V30" s="217"/>
      <c r="W30" s="217"/>
      <c r="X30" s="217"/>
      <c r="Y30" s="273"/>
    </row>
    <row r="31" spans="1:27" ht="18.75" customHeight="1">
      <c r="A31" s="420" t="s">
        <v>505</v>
      </c>
      <c r="B31" s="414"/>
      <c r="C31" s="189"/>
      <c r="D31" s="190"/>
      <c r="E31" s="191"/>
      <c r="F31" s="189"/>
      <c r="G31" s="190"/>
      <c r="H31" s="191"/>
      <c r="I31" s="189"/>
      <c r="J31" s="190"/>
      <c r="K31" s="191"/>
      <c r="L31" s="178"/>
      <c r="M31" s="178"/>
      <c r="N31" s="187"/>
      <c r="O31" s="188"/>
      <c r="U31" s="217"/>
      <c r="V31" s="217"/>
      <c r="W31" s="217"/>
      <c r="X31" s="217"/>
      <c r="Y31" s="273"/>
    </row>
    <row r="32" spans="1:27">
      <c r="A32" s="388" t="s">
        <v>509</v>
      </c>
      <c r="B32" s="414"/>
      <c r="C32" s="376">
        <v>19708.3</v>
      </c>
      <c r="D32" s="377"/>
      <c r="E32" s="378"/>
      <c r="F32" s="376">
        <v>24166.7</v>
      </c>
      <c r="G32" s="377"/>
      <c r="H32" s="378"/>
      <c r="I32" s="376">
        <f>Y32</f>
        <v>23943.333333333332</v>
      </c>
      <c r="J32" s="377"/>
      <c r="K32" s="378"/>
      <c r="L32" s="379">
        <f t="shared" si="1"/>
        <v>-223.36666666666861</v>
      </c>
      <c r="M32" s="379"/>
      <c r="N32" s="374">
        <f t="shared" si="2"/>
        <v>99.075725412792522</v>
      </c>
      <c r="O32" s="375"/>
      <c r="U32" s="217">
        <f>U20/U14/3*1000</f>
        <v>27083.333333333332</v>
      </c>
      <c r="V32" s="217">
        <f>V20/V14/3*1000</f>
        <v>20656.666666666668</v>
      </c>
      <c r="W32" s="217">
        <f t="shared" ref="W32:X32" si="5">W20/W14/3*1000</f>
        <v>24033.333333333332</v>
      </c>
      <c r="X32" s="217">
        <f t="shared" si="5"/>
        <v>24000</v>
      </c>
      <c r="Y32" s="273">
        <f>Y20/Y14/Y5*1000</f>
        <v>23943.333333333332</v>
      </c>
    </row>
    <row r="33" spans="1:25" s="198" customFormat="1">
      <c r="A33" s="418" t="s">
        <v>510</v>
      </c>
      <c r="B33" s="419"/>
      <c r="C33" s="193"/>
      <c r="D33" s="194"/>
      <c r="E33" s="195">
        <v>14467.2</v>
      </c>
      <c r="F33" s="193"/>
      <c r="G33" s="194"/>
      <c r="H33" s="195">
        <v>16500</v>
      </c>
      <c r="I33" s="193"/>
      <c r="J33" s="194"/>
      <c r="K33" s="195">
        <f>Y33</f>
        <v>15287.15</v>
      </c>
      <c r="L33" s="379">
        <f>K33-H33</f>
        <v>-1212.8500000000004</v>
      </c>
      <c r="M33" s="379"/>
      <c r="N33" s="196"/>
      <c r="O33" s="197">
        <f>K33/H33*100</f>
        <v>92.649393939393946</v>
      </c>
      <c r="U33" s="247">
        <v>15000</v>
      </c>
      <c r="V33" s="247">
        <v>10115.299999999999</v>
      </c>
      <c r="W33" s="247">
        <v>18033.3</v>
      </c>
      <c r="X33" s="247">
        <v>18000</v>
      </c>
      <c r="Y33" s="281">
        <f>(U33+V33+W33+X33)/4</f>
        <v>15287.15</v>
      </c>
    </row>
    <row r="34" spans="1:25" s="198" customFormat="1">
      <c r="A34" s="418" t="s">
        <v>511</v>
      </c>
      <c r="B34" s="419"/>
      <c r="C34" s="193"/>
      <c r="D34" s="194"/>
      <c r="E34" s="195">
        <v>2500</v>
      </c>
      <c r="F34" s="193"/>
      <c r="G34" s="194"/>
      <c r="H34" s="195">
        <v>4424</v>
      </c>
      <c r="I34" s="193"/>
      <c r="J34" s="194"/>
      <c r="K34" s="195">
        <f>Y34</f>
        <v>7270.8249999999998</v>
      </c>
      <c r="L34" s="379">
        <f>K34-H34</f>
        <v>2846.8249999999998</v>
      </c>
      <c r="M34" s="379"/>
      <c r="N34" s="196"/>
      <c r="O34" s="197">
        <f t="shared" ref="O34" si="6">K34/H34*100</f>
        <v>164.34957052441231</v>
      </c>
      <c r="U34" s="247">
        <v>12083.3</v>
      </c>
      <c r="V34" s="247">
        <v>5000</v>
      </c>
      <c r="W34" s="247">
        <v>6000</v>
      </c>
      <c r="X34" s="247">
        <v>6000</v>
      </c>
      <c r="Y34" s="281">
        <f t="shared" ref="Y34:Y35" si="7">(U34+V34+W34+X34)/4</f>
        <v>7270.8249999999998</v>
      </c>
    </row>
    <row r="35" spans="1:25" s="198" customFormat="1">
      <c r="A35" s="418" t="s">
        <v>512</v>
      </c>
      <c r="B35" s="419"/>
      <c r="C35" s="193"/>
      <c r="D35" s="194"/>
      <c r="E35" s="195">
        <v>2741.1</v>
      </c>
      <c r="F35" s="193"/>
      <c r="G35" s="194"/>
      <c r="H35" s="195">
        <v>3242.7</v>
      </c>
      <c r="I35" s="193"/>
      <c r="J35" s="194"/>
      <c r="K35" s="195">
        <f>Y35</f>
        <v>1385.175</v>
      </c>
      <c r="L35" s="379">
        <f t="shared" ref="L35" si="8">K35-H35</f>
        <v>-1857.5249999999999</v>
      </c>
      <c r="M35" s="379"/>
      <c r="N35" s="196"/>
      <c r="O35" s="197"/>
      <c r="U35" s="247">
        <v>0</v>
      </c>
      <c r="V35" s="247">
        <v>5540.7</v>
      </c>
      <c r="W35" s="247">
        <v>0</v>
      </c>
      <c r="X35" s="247">
        <v>0</v>
      </c>
      <c r="Y35" s="281">
        <f t="shared" si="7"/>
        <v>1385.175</v>
      </c>
    </row>
    <row r="36" spans="1:25">
      <c r="A36" s="392" t="s">
        <v>194</v>
      </c>
      <c r="B36" s="392"/>
      <c r="C36" s="376">
        <v>11270.6</v>
      </c>
      <c r="D36" s="377"/>
      <c r="E36" s="378"/>
      <c r="F36" s="376">
        <v>13965.3</v>
      </c>
      <c r="G36" s="377"/>
      <c r="H36" s="378"/>
      <c r="I36" s="376">
        <f>Y36</f>
        <v>13350.828729281768</v>
      </c>
      <c r="J36" s="377"/>
      <c r="K36" s="378"/>
      <c r="L36" s="379">
        <f t="shared" si="1"/>
        <v>-614.47127071823161</v>
      </c>
      <c r="M36" s="379"/>
      <c r="N36" s="374">
        <f t="shared" si="2"/>
        <v>95.60001381482509</v>
      </c>
      <c r="O36" s="375"/>
      <c r="U36" s="217">
        <f>U21/U15/3*1000</f>
        <v>11736.956521739132</v>
      </c>
      <c r="V36" s="217">
        <f>V21/V15/3*1000</f>
        <v>12382.608695652174</v>
      </c>
      <c r="W36" s="217">
        <f t="shared" ref="W36:X36" si="9">W21/W15/3*1000</f>
        <v>13007.407407407409</v>
      </c>
      <c r="X36" s="217">
        <f t="shared" si="9"/>
        <v>16401.515151515152</v>
      </c>
      <c r="Y36" s="273">
        <f>Y21/Y15/Y5*1000</f>
        <v>13350.828729281768</v>
      </c>
    </row>
    <row r="37" spans="1:25">
      <c r="A37" s="392" t="s">
        <v>517</v>
      </c>
      <c r="B37" s="392"/>
      <c r="C37" s="376">
        <v>7377.5</v>
      </c>
      <c r="D37" s="377"/>
      <c r="E37" s="378"/>
      <c r="F37" s="376">
        <v>8842.2999999999993</v>
      </c>
      <c r="G37" s="377"/>
      <c r="H37" s="378"/>
      <c r="I37" s="376">
        <f>Y37</f>
        <v>8621.176470588236</v>
      </c>
      <c r="J37" s="377"/>
      <c r="K37" s="378"/>
      <c r="L37" s="379">
        <f t="shared" si="1"/>
        <v>-221.12352941176323</v>
      </c>
      <c r="M37" s="379"/>
      <c r="N37" s="374">
        <f t="shared" si="2"/>
        <v>97.499253255241698</v>
      </c>
      <c r="O37" s="375"/>
      <c r="U37" s="217">
        <f>U22/U16/3*1000</f>
        <v>8285.5491329479755</v>
      </c>
      <c r="V37" s="217">
        <f>V22/V16/3*1000</f>
        <v>7803.4682080924858</v>
      </c>
      <c r="W37" s="217">
        <f t="shared" ref="W37:X37" si="10">W22/W16/3*1000</f>
        <v>8593.6883629191325</v>
      </c>
      <c r="X37" s="217">
        <f t="shared" si="10"/>
        <v>9858.5858585858587</v>
      </c>
      <c r="Y37" s="273">
        <f>Y22/Y16/Y5*1000</f>
        <v>8621.176470588236</v>
      </c>
    </row>
    <row r="38" spans="1:25" ht="15.75" customHeight="1">
      <c r="A38" s="24"/>
      <c r="B38" s="24"/>
      <c r="C38" s="76"/>
      <c r="D38" s="76"/>
      <c r="E38" s="275">
        <f>E33+E34+E35</f>
        <v>19708.3</v>
      </c>
      <c r="F38" s="76"/>
      <c r="G38" s="76"/>
      <c r="H38" s="118">
        <f>H33+H34+H35</f>
        <v>24166.7</v>
      </c>
      <c r="I38" s="76"/>
      <c r="J38" s="76"/>
      <c r="K38" s="118">
        <f>K33+K34+K35</f>
        <v>23943.149999999998</v>
      </c>
      <c r="L38" s="76"/>
      <c r="M38" s="76"/>
      <c r="N38" s="118"/>
      <c r="O38" s="118"/>
    </row>
    <row r="39" spans="1:25">
      <c r="A39" s="391" t="s">
        <v>402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</row>
    <row r="40" spans="1:25" ht="24" customHeight="1">
      <c r="A40" s="21"/>
      <c r="B40" s="21"/>
      <c r="C40" s="21"/>
      <c r="D40" s="21"/>
      <c r="E40" s="21"/>
      <c r="F40" s="21"/>
      <c r="G40" s="21"/>
      <c r="H40" s="21"/>
      <c r="I40" s="21"/>
    </row>
    <row r="41" spans="1:25" ht="15.6" customHeight="1">
      <c r="A41" s="390" t="s">
        <v>196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25" ht="6.75" customHeight="1"/>
    <row r="43" spans="1:25" ht="24.9" customHeight="1">
      <c r="A43" s="176" t="s">
        <v>112</v>
      </c>
      <c r="B43" s="380" t="s">
        <v>213</v>
      </c>
      <c r="C43" s="381"/>
      <c r="D43" s="381"/>
      <c r="E43" s="381"/>
      <c r="F43" s="333" t="s">
        <v>73</v>
      </c>
      <c r="G43" s="333"/>
      <c r="H43" s="333"/>
      <c r="I43" s="333"/>
      <c r="J43" s="333"/>
      <c r="K43" s="333"/>
      <c r="L43" s="333"/>
      <c r="M43" s="333"/>
      <c r="N43" s="333"/>
      <c r="O43" s="333"/>
    </row>
    <row r="44" spans="1:25" ht="13.5" customHeight="1">
      <c r="A44" s="176"/>
      <c r="B44" s="380"/>
      <c r="C44" s="381"/>
      <c r="D44" s="381"/>
      <c r="E44" s="381"/>
      <c r="F44" s="333"/>
      <c r="G44" s="333"/>
      <c r="H44" s="333"/>
      <c r="I44" s="333"/>
      <c r="J44" s="333"/>
      <c r="K44" s="333"/>
      <c r="L44" s="333"/>
      <c r="M44" s="333"/>
      <c r="N44" s="333"/>
      <c r="O44" s="333"/>
    </row>
    <row r="45" spans="1:25">
      <c r="A45" s="390" t="s">
        <v>169</v>
      </c>
      <c r="B45" s="390"/>
      <c r="C45" s="390"/>
      <c r="D45" s="390"/>
      <c r="E45" s="390"/>
      <c r="F45" s="390"/>
      <c r="G45" s="390"/>
      <c r="H45" s="390"/>
      <c r="I45" s="390"/>
      <c r="J45" s="390"/>
    </row>
    <row r="46" spans="1:25">
      <c r="A46" s="308"/>
    </row>
    <row r="47" spans="1:25" ht="52.5" customHeight="1">
      <c r="A47" s="360" t="s">
        <v>272</v>
      </c>
      <c r="B47" s="361"/>
      <c r="C47" s="362"/>
      <c r="D47" s="332" t="s">
        <v>161</v>
      </c>
      <c r="E47" s="332"/>
      <c r="F47" s="332"/>
      <c r="G47" s="332" t="s">
        <v>156</v>
      </c>
      <c r="H47" s="332"/>
      <c r="I47" s="332"/>
      <c r="J47" s="332" t="s">
        <v>192</v>
      </c>
      <c r="K47" s="332"/>
      <c r="L47" s="332"/>
      <c r="M47" s="369" t="s">
        <v>193</v>
      </c>
      <c r="N47" s="370"/>
      <c r="O47" s="371"/>
    </row>
    <row r="48" spans="1:25" ht="155.25" customHeight="1">
      <c r="A48" s="363"/>
      <c r="B48" s="364"/>
      <c r="C48" s="365"/>
      <c r="D48" s="6" t="s">
        <v>403</v>
      </c>
      <c r="E48" s="6" t="s">
        <v>208</v>
      </c>
      <c r="F48" s="6" t="s">
        <v>404</v>
      </c>
      <c r="G48" s="6" t="s">
        <v>403</v>
      </c>
      <c r="H48" s="6" t="s">
        <v>208</v>
      </c>
      <c r="I48" s="6" t="s">
        <v>404</v>
      </c>
      <c r="J48" s="6" t="s">
        <v>403</v>
      </c>
      <c r="K48" s="6" t="s">
        <v>208</v>
      </c>
      <c r="L48" s="6" t="s">
        <v>404</v>
      </c>
      <c r="M48" s="80" t="s">
        <v>162</v>
      </c>
      <c r="N48" s="80" t="s">
        <v>163</v>
      </c>
      <c r="O48" s="80" t="s">
        <v>227</v>
      </c>
    </row>
    <row r="49" spans="1:15">
      <c r="A49" s="369">
        <v>1</v>
      </c>
      <c r="B49" s="370"/>
      <c r="C49" s="371"/>
      <c r="D49" s="6">
        <v>2</v>
      </c>
      <c r="E49" s="6">
        <v>3</v>
      </c>
      <c r="F49" s="6">
        <v>4</v>
      </c>
      <c r="G49" s="6">
        <v>5</v>
      </c>
      <c r="H49" s="5">
        <v>6</v>
      </c>
      <c r="I49" s="5">
        <v>7</v>
      </c>
      <c r="J49" s="5">
        <v>8</v>
      </c>
      <c r="K49" s="5">
        <v>9</v>
      </c>
      <c r="L49" s="5">
        <v>10</v>
      </c>
      <c r="M49" s="5">
        <v>11</v>
      </c>
      <c r="N49" s="5">
        <v>12</v>
      </c>
      <c r="O49" s="5">
        <v>13</v>
      </c>
    </row>
    <row r="50" spans="1:15">
      <c r="A50" s="388" t="s">
        <v>481</v>
      </c>
      <c r="B50" s="315"/>
      <c r="C50" s="389"/>
      <c r="D50" s="174">
        <v>57336</v>
      </c>
      <c r="E50" s="179" t="s">
        <v>549</v>
      </c>
      <c r="F50" s="214">
        <v>4.694</v>
      </c>
      <c r="G50" s="174">
        <v>57355.5</v>
      </c>
      <c r="H50" s="179" t="s">
        <v>549</v>
      </c>
      <c r="I50" s="214">
        <v>4.6959999999999997</v>
      </c>
      <c r="J50" s="174">
        <f t="shared" ref="J50:L53" si="11">G50-D50</f>
        <v>19.5</v>
      </c>
      <c r="K50" s="179"/>
      <c r="L50" s="214">
        <f>I50-F50</f>
        <v>1.9999999999997797E-3</v>
      </c>
      <c r="M50" s="101">
        <f t="shared" ref="M50:M54" si="12">(G50/D50)*100</f>
        <v>100.03401004604437</v>
      </c>
      <c r="N50" s="174">
        <v>100</v>
      </c>
      <c r="O50" s="174"/>
    </row>
    <row r="51" spans="1:15">
      <c r="A51" s="388" t="s">
        <v>489</v>
      </c>
      <c r="B51" s="315"/>
      <c r="C51" s="389"/>
      <c r="D51" s="174">
        <v>2764</v>
      </c>
      <c r="E51" s="179" t="s">
        <v>490</v>
      </c>
      <c r="F51" s="246"/>
      <c r="G51" s="174">
        <v>2835.5</v>
      </c>
      <c r="H51" s="179" t="s">
        <v>490</v>
      </c>
      <c r="I51" s="174"/>
      <c r="J51" s="174">
        <f t="shared" si="11"/>
        <v>71.5</v>
      </c>
      <c r="K51" s="179"/>
      <c r="L51" s="174">
        <f t="shared" si="11"/>
        <v>0</v>
      </c>
      <c r="M51" s="101">
        <f t="shared" si="12"/>
        <v>102.58683068017366</v>
      </c>
      <c r="N51" s="179"/>
      <c r="O51" s="174"/>
    </row>
    <row r="52" spans="1:15" ht="20.100000000000001" customHeight="1">
      <c r="A52" s="388"/>
      <c r="B52" s="315"/>
      <c r="C52" s="389"/>
      <c r="D52" s="174"/>
      <c r="E52" s="179"/>
      <c r="F52" s="174"/>
      <c r="G52" s="174"/>
      <c r="H52" s="179"/>
      <c r="I52" s="174"/>
      <c r="J52" s="179">
        <f t="shared" si="11"/>
        <v>0</v>
      </c>
      <c r="K52" s="179">
        <f t="shared" si="11"/>
        <v>0</v>
      </c>
      <c r="L52" s="174">
        <f t="shared" si="11"/>
        <v>0</v>
      </c>
      <c r="M52" s="101"/>
      <c r="N52" s="179"/>
      <c r="O52" s="174"/>
    </row>
    <row r="53" spans="1:15" ht="20.100000000000001" customHeight="1">
      <c r="A53" s="388"/>
      <c r="B53" s="315"/>
      <c r="C53" s="389"/>
      <c r="D53" s="174"/>
      <c r="E53" s="179"/>
      <c r="F53" s="174"/>
      <c r="G53" s="174"/>
      <c r="H53" s="179"/>
      <c r="I53" s="174"/>
      <c r="J53" s="179">
        <f t="shared" si="11"/>
        <v>0</v>
      </c>
      <c r="K53" s="179">
        <f t="shared" si="11"/>
        <v>0</v>
      </c>
      <c r="L53" s="174">
        <f t="shared" si="11"/>
        <v>0</v>
      </c>
      <c r="M53" s="101"/>
      <c r="N53" s="179"/>
      <c r="O53" s="174"/>
    </row>
    <row r="54" spans="1:15" ht="24.9" customHeight="1">
      <c r="A54" s="385" t="s">
        <v>50</v>
      </c>
      <c r="B54" s="386"/>
      <c r="C54" s="387"/>
      <c r="D54" s="178">
        <f>SUM(D50:D53)</f>
        <v>60100</v>
      </c>
      <c r="E54" s="119"/>
      <c r="F54" s="178"/>
      <c r="G54" s="178">
        <f>SUM(G50:G53)</f>
        <v>60191</v>
      </c>
      <c r="H54" s="119"/>
      <c r="I54" s="178"/>
      <c r="J54" s="119"/>
      <c r="K54" s="119"/>
      <c r="L54" s="178"/>
      <c r="M54" s="101">
        <f t="shared" si="12"/>
        <v>100.1514143094842</v>
      </c>
      <c r="N54" s="119"/>
      <c r="O54" s="178"/>
    </row>
    <row r="55" spans="1:15">
      <c r="A55" s="19"/>
      <c r="B55" s="20"/>
      <c r="C55" s="20"/>
      <c r="D55" s="185">
        <f>'I. Фін результат'!E7</f>
        <v>60100</v>
      </c>
      <c r="E55" s="20"/>
      <c r="F55" s="12"/>
      <c r="G55" s="184">
        <f>'I. Фін результат'!F7</f>
        <v>60191</v>
      </c>
      <c r="H55" s="12"/>
      <c r="I55" s="4"/>
      <c r="J55" s="4"/>
      <c r="K55" s="4"/>
      <c r="L55" s="4"/>
      <c r="M55" s="4"/>
      <c r="N55" s="4"/>
      <c r="O55" s="4"/>
    </row>
    <row r="56" spans="1:15">
      <c r="A56" s="19"/>
      <c r="B56" s="20"/>
      <c r="C56" s="20"/>
      <c r="D56" s="185"/>
      <c r="E56" s="20"/>
      <c r="F56" s="12"/>
      <c r="G56" s="184"/>
      <c r="H56" s="12"/>
      <c r="I56" s="4"/>
      <c r="J56" s="4"/>
      <c r="K56" s="4"/>
      <c r="L56" s="4"/>
      <c r="M56" s="4"/>
      <c r="N56" s="4"/>
      <c r="O56" s="4"/>
    </row>
    <row r="57" spans="1:15">
      <c r="A57" s="390" t="s">
        <v>65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</row>
    <row r="58" spans="1:15">
      <c r="A58" s="17"/>
    </row>
    <row r="59" spans="1:15" ht="56.25" customHeight="1">
      <c r="A59" s="6" t="s">
        <v>104</v>
      </c>
      <c r="B59" s="332" t="s">
        <v>64</v>
      </c>
      <c r="C59" s="332"/>
      <c r="D59" s="332" t="s">
        <v>59</v>
      </c>
      <c r="E59" s="332"/>
      <c r="F59" s="332" t="s">
        <v>60</v>
      </c>
      <c r="G59" s="332"/>
      <c r="H59" s="332" t="s">
        <v>77</v>
      </c>
      <c r="I59" s="332"/>
      <c r="J59" s="332"/>
      <c r="K59" s="369" t="s">
        <v>74</v>
      </c>
      <c r="L59" s="371"/>
      <c r="M59" s="369" t="s">
        <v>31</v>
      </c>
      <c r="N59" s="370"/>
      <c r="O59" s="371"/>
    </row>
    <row r="60" spans="1:15">
      <c r="A60" s="5">
        <v>1</v>
      </c>
      <c r="B60" s="333">
        <v>2</v>
      </c>
      <c r="C60" s="333"/>
      <c r="D60" s="333">
        <v>3</v>
      </c>
      <c r="E60" s="333"/>
      <c r="F60" s="333">
        <v>4</v>
      </c>
      <c r="G60" s="333"/>
      <c r="H60" s="333">
        <v>5</v>
      </c>
      <c r="I60" s="333"/>
      <c r="J60" s="333"/>
      <c r="K60" s="333">
        <v>6</v>
      </c>
      <c r="L60" s="333"/>
      <c r="M60" s="380">
        <v>7</v>
      </c>
      <c r="N60" s="381"/>
      <c r="O60" s="396"/>
    </row>
    <row r="61" spans="1:15">
      <c r="A61" s="175"/>
      <c r="B61" s="400"/>
      <c r="C61" s="400"/>
      <c r="D61" s="401"/>
      <c r="E61" s="401"/>
      <c r="F61" s="330" t="s">
        <v>174</v>
      </c>
      <c r="G61" s="330"/>
      <c r="H61" s="332"/>
      <c r="I61" s="332"/>
      <c r="J61" s="332"/>
      <c r="K61" s="393"/>
      <c r="L61" s="394"/>
      <c r="M61" s="401"/>
      <c r="N61" s="401"/>
      <c r="O61" s="401"/>
    </row>
    <row r="62" spans="1:15">
      <c r="A62" s="175"/>
      <c r="B62" s="402"/>
      <c r="C62" s="403"/>
      <c r="D62" s="358"/>
      <c r="E62" s="359"/>
      <c r="F62" s="367"/>
      <c r="G62" s="368"/>
      <c r="H62" s="369"/>
      <c r="I62" s="370"/>
      <c r="J62" s="371"/>
      <c r="K62" s="393"/>
      <c r="L62" s="394"/>
      <c r="M62" s="358"/>
      <c r="N62" s="366"/>
      <c r="O62" s="359"/>
    </row>
    <row r="63" spans="1:15">
      <c r="A63" s="175"/>
      <c r="B63" s="356"/>
      <c r="C63" s="357"/>
      <c r="D63" s="358"/>
      <c r="E63" s="359"/>
      <c r="F63" s="367"/>
      <c r="G63" s="368"/>
      <c r="H63" s="369"/>
      <c r="I63" s="370"/>
      <c r="J63" s="371"/>
      <c r="K63" s="393"/>
      <c r="L63" s="394"/>
      <c r="M63" s="358"/>
      <c r="N63" s="366"/>
      <c r="O63" s="359"/>
    </row>
    <row r="64" spans="1:15">
      <c r="A64" s="175"/>
      <c r="B64" s="400"/>
      <c r="C64" s="400"/>
      <c r="D64" s="401"/>
      <c r="E64" s="401"/>
      <c r="F64" s="330"/>
      <c r="G64" s="330"/>
      <c r="H64" s="332"/>
      <c r="I64" s="332"/>
      <c r="J64" s="332"/>
      <c r="K64" s="393"/>
      <c r="L64" s="394"/>
      <c r="M64" s="401"/>
      <c r="N64" s="401"/>
      <c r="O64" s="401"/>
    </row>
    <row r="65" spans="1:15">
      <c r="A65" s="173" t="s">
        <v>50</v>
      </c>
      <c r="B65" s="395" t="s">
        <v>32</v>
      </c>
      <c r="C65" s="395"/>
      <c r="D65" s="395" t="s">
        <v>32</v>
      </c>
      <c r="E65" s="395"/>
      <c r="F65" s="395" t="s">
        <v>32</v>
      </c>
      <c r="G65" s="395"/>
      <c r="H65" s="355"/>
      <c r="I65" s="355"/>
      <c r="J65" s="355"/>
      <c r="K65" s="397">
        <f>SUM(K61:L64)</f>
        <v>0</v>
      </c>
      <c r="L65" s="398"/>
      <c r="M65" s="404"/>
      <c r="N65" s="404"/>
      <c r="O65" s="404"/>
    </row>
    <row r="66" spans="1:15">
      <c r="A66" s="12"/>
      <c r="B66" s="3"/>
      <c r="C66" s="3"/>
      <c r="D66" s="3"/>
      <c r="E66" s="3"/>
      <c r="F66" s="3"/>
      <c r="G66" s="3"/>
      <c r="H66" s="3"/>
      <c r="I66" s="3"/>
      <c r="J66" s="3"/>
    </row>
    <row r="67" spans="1:15">
      <c r="A67" s="390" t="s">
        <v>66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</row>
    <row r="68" spans="1:15" ht="15" customHeight="1">
      <c r="A68" s="4"/>
      <c r="B68" s="15"/>
      <c r="C68" s="4"/>
      <c r="D68" s="4"/>
      <c r="E68" s="4"/>
      <c r="F68" s="4"/>
      <c r="G68" s="4"/>
      <c r="H68" s="4"/>
      <c r="I68" s="14"/>
    </row>
    <row r="69" spans="1:15" ht="42.75" customHeight="1">
      <c r="A69" s="332" t="s">
        <v>58</v>
      </c>
      <c r="B69" s="332"/>
      <c r="C69" s="332"/>
      <c r="D69" s="332" t="s">
        <v>164</v>
      </c>
      <c r="E69" s="332"/>
      <c r="F69" s="332" t="s">
        <v>165</v>
      </c>
      <c r="G69" s="332"/>
      <c r="H69" s="332"/>
      <c r="I69" s="332"/>
      <c r="J69" s="332" t="s">
        <v>326</v>
      </c>
      <c r="K69" s="332"/>
      <c r="L69" s="332"/>
      <c r="M69" s="332"/>
      <c r="N69" s="332" t="s">
        <v>168</v>
      </c>
      <c r="O69" s="332"/>
    </row>
    <row r="70" spans="1:15" ht="42.75" customHeight="1">
      <c r="A70" s="332"/>
      <c r="B70" s="332"/>
      <c r="C70" s="332"/>
      <c r="D70" s="332"/>
      <c r="E70" s="332"/>
      <c r="F70" s="333" t="s">
        <v>166</v>
      </c>
      <c r="G70" s="333"/>
      <c r="H70" s="332" t="s">
        <v>167</v>
      </c>
      <c r="I70" s="332"/>
      <c r="J70" s="333" t="s">
        <v>166</v>
      </c>
      <c r="K70" s="333"/>
      <c r="L70" s="332" t="s">
        <v>167</v>
      </c>
      <c r="M70" s="332"/>
      <c r="N70" s="332"/>
      <c r="O70" s="332"/>
    </row>
    <row r="71" spans="1:15">
      <c r="A71" s="332">
        <v>1</v>
      </c>
      <c r="B71" s="332"/>
      <c r="C71" s="332"/>
      <c r="D71" s="369">
        <v>2</v>
      </c>
      <c r="E71" s="371"/>
      <c r="F71" s="369">
        <v>3</v>
      </c>
      <c r="G71" s="371"/>
      <c r="H71" s="380">
        <v>4</v>
      </c>
      <c r="I71" s="396"/>
      <c r="J71" s="380">
        <v>5</v>
      </c>
      <c r="K71" s="396"/>
      <c r="L71" s="380">
        <v>6</v>
      </c>
      <c r="M71" s="396"/>
      <c r="N71" s="380">
        <v>7</v>
      </c>
      <c r="O71" s="396"/>
    </row>
    <row r="72" spans="1:15" ht="20.100000000000001" customHeight="1">
      <c r="A72" s="392" t="s">
        <v>205</v>
      </c>
      <c r="B72" s="392"/>
      <c r="C72" s="392"/>
      <c r="D72" s="393"/>
      <c r="E72" s="394"/>
      <c r="F72" s="393"/>
      <c r="G72" s="394"/>
      <c r="H72" s="393"/>
      <c r="I72" s="394"/>
      <c r="J72" s="393"/>
      <c r="K72" s="394"/>
      <c r="L72" s="393"/>
      <c r="M72" s="394"/>
      <c r="N72" s="393">
        <f>D72+H72-L72</f>
        <v>0</v>
      </c>
      <c r="O72" s="394"/>
    </row>
    <row r="73" spans="1:15" ht="20.100000000000001" customHeight="1">
      <c r="A73" s="392" t="s">
        <v>86</v>
      </c>
      <c r="B73" s="392"/>
      <c r="C73" s="392"/>
      <c r="D73" s="393"/>
      <c r="E73" s="394"/>
      <c r="F73" s="393"/>
      <c r="G73" s="394"/>
      <c r="H73" s="393"/>
      <c r="I73" s="394"/>
      <c r="J73" s="393"/>
      <c r="K73" s="394"/>
      <c r="L73" s="393"/>
      <c r="M73" s="394"/>
      <c r="N73" s="393"/>
      <c r="O73" s="394"/>
    </row>
    <row r="74" spans="1:15" ht="20.100000000000001" customHeight="1">
      <c r="A74" s="392"/>
      <c r="B74" s="392"/>
      <c r="C74" s="392"/>
      <c r="D74" s="393"/>
      <c r="E74" s="394"/>
      <c r="F74" s="393"/>
      <c r="G74" s="394"/>
      <c r="H74" s="393"/>
      <c r="I74" s="394"/>
      <c r="J74" s="393"/>
      <c r="K74" s="394"/>
      <c r="L74" s="393"/>
      <c r="M74" s="394"/>
      <c r="N74" s="393"/>
      <c r="O74" s="394"/>
    </row>
    <row r="75" spans="1:15" ht="20.100000000000001" customHeight="1">
      <c r="A75" s="392" t="s">
        <v>206</v>
      </c>
      <c r="B75" s="392"/>
      <c r="C75" s="392"/>
      <c r="D75" s="393"/>
      <c r="E75" s="394"/>
      <c r="F75" s="393"/>
      <c r="G75" s="394"/>
      <c r="H75" s="393"/>
      <c r="I75" s="394"/>
      <c r="J75" s="393"/>
      <c r="K75" s="394"/>
      <c r="L75" s="393"/>
      <c r="M75" s="394"/>
      <c r="N75" s="393">
        <f>D75+H75-L75</f>
        <v>0</v>
      </c>
      <c r="O75" s="394"/>
    </row>
    <row r="76" spans="1:15" ht="20.100000000000001" customHeight="1">
      <c r="A76" s="392" t="s">
        <v>87</v>
      </c>
      <c r="B76" s="392"/>
      <c r="C76" s="392"/>
      <c r="D76" s="393"/>
      <c r="E76" s="394"/>
      <c r="F76" s="393"/>
      <c r="G76" s="394"/>
      <c r="H76" s="393"/>
      <c r="I76" s="394"/>
      <c r="J76" s="393"/>
      <c r="K76" s="394"/>
      <c r="L76" s="393"/>
      <c r="M76" s="394"/>
      <c r="N76" s="393"/>
      <c r="O76" s="394"/>
    </row>
    <row r="77" spans="1:15" ht="20.100000000000001" customHeight="1">
      <c r="A77" s="392"/>
      <c r="B77" s="392"/>
      <c r="C77" s="392"/>
      <c r="D77" s="393"/>
      <c r="E77" s="394"/>
      <c r="F77" s="393"/>
      <c r="G77" s="394"/>
      <c r="H77" s="393"/>
      <c r="I77" s="394"/>
      <c r="J77" s="393"/>
      <c r="K77" s="394"/>
      <c r="L77" s="393"/>
      <c r="M77" s="394"/>
      <c r="N77" s="393"/>
      <c r="O77" s="394"/>
    </row>
    <row r="78" spans="1:15" ht="20.100000000000001" customHeight="1">
      <c r="A78" s="392" t="s">
        <v>207</v>
      </c>
      <c r="B78" s="392"/>
      <c r="C78" s="392"/>
      <c r="D78" s="393"/>
      <c r="E78" s="394"/>
      <c r="F78" s="393"/>
      <c r="G78" s="394"/>
      <c r="H78" s="393"/>
      <c r="I78" s="394"/>
      <c r="J78" s="393"/>
      <c r="K78" s="394"/>
      <c r="L78" s="393"/>
      <c r="M78" s="394"/>
      <c r="N78" s="393">
        <f>D78+H78-L78</f>
        <v>0</v>
      </c>
      <c r="O78" s="394"/>
    </row>
    <row r="79" spans="1:15" ht="20.100000000000001" customHeight="1">
      <c r="A79" s="392" t="s">
        <v>86</v>
      </c>
      <c r="B79" s="392"/>
      <c r="C79" s="392"/>
      <c r="D79" s="393"/>
      <c r="E79" s="394"/>
      <c r="F79" s="393"/>
      <c r="G79" s="394"/>
      <c r="H79" s="393"/>
      <c r="I79" s="394"/>
      <c r="J79" s="393"/>
      <c r="K79" s="394"/>
      <c r="L79" s="393"/>
      <c r="M79" s="394"/>
      <c r="N79" s="393"/>
      <c r="O79" s="394"/>
    </row>
    <row r="80" spans="1:15" ht="20.100000000000001" customHeight="1">
      <c r="A80" s="392"/>
      <c r="B80" s="392"/>
      <c r="C80" s="392"/>
      <c r="D80" s="393"/>
      <c r="E80" s="394"/>
      <c r="F80" s="393"/>
      <c r="G80" s="394"/>
      <c r="H80" s="393"/>
      <c r="I80" s="394"/>
      <c r="J80" s="393"/>
      <c r="K80" s="394"/>
      <c r="L80" s="393"/>
      <c r="M80" s="394"/>
      <c r="N80" s="393"/>
      <c r="O80" s="394"/>
    </row>
    <row r="81" spans="1:15" ht="24.9" customHeight="1">
      <c r="A81" s="399" t="s">
        <v>50</v>
      </c>
      <c r="B81" s="399"/>
      <c r="C81" s="399"/>
      <c r="D81" s="397">
        <f>SUM(D72,D75,D78)</f>
        <v>0</v>
      </c>
      <c r="E81" s="398"/>
      <c r="F81" s="397">
        <f>SUM(F72,F75,F78)</f>
        <v>0</v>
      </c>
      <c r="G81" s="398"/>
      <c r="H81" s="397">
        <f>SUM(H72,H75,H78)</f>
        <v>0</v>
      </c>
      <c r="I81" s="398"/>
      <c r="J81" s="397">
        <f>SUM(J72,J75,J78)</f>
        <v>0</v>
      </c>
      <c r="K81" s="398"/>
      <c r="L81" s="397">
        <f>SUM(L72,L75,L78)</f>
        <v>0</v>
      </c>
      <c r="M81" s="398"/>
      <c r="N81" s="397">
        <f>D81+H81-L81</f>
        <v>0</v>
      </c>
      <c r="O81" s="398"/>
    </row>
    <row r="82" spans="1:15">
      <c r="C82" s="25"/>
      <c r="D82" s="25"/>
      <c r="E82" s="25"/>
    </row>
    <row r="83" spans="1:15">
      <c r="C83" s="25"/>
      <c r="D83" s="25"/>
      <c r="E83" s="25"/>
    </row>
    <row r="84" spans="1:15">
      <c r="C84" s="25"/>
      <c r="D84" s="25"/>
      <c r="E84" s="25"/>
    </row>
  </sheetData>
  <mergeCells count="276">
    <mergeCell ref="A17:B17"/>
    <mergeCell ref="A20:B20"/>
    <mergeCell ref="A21:B21"/>
    <mergeCell ref="C17:E17"/>
    <mergeCell ref="C20:E20"/>
    <mergeCell ref="A34:B34"/>
    <mergeCell ref="A35:B35"/>
    <mergeCell ref="A12:B12"/>
    <mergeCell ref="A13:B13"/>
    <mergeCell ref="A18:B18"/>
    <mergeCell ref="A19:B19"/>
    <mergeCell ref="A24:B24"/>
    <mergeCell ref="A25:B25"/>
    <mergeCell ref="A30:B30"/>
    <mergeCell ref="A31:B31"/>
    <mergeCell ref="A33:B33"/>
    <mergeCell ref="L20:M20"/>
    <mergeCell ref="F17:H17"/>
    <mergeCell ref="F20:H20"/>
    <mergeCell ref="A15:B15"/>
    <mergeCell ref="A16:B16"/>
    <mergeCell ref="C15:E15"/>
    <mergeCell ref="C16:E16"/>
    <mergeCell ref="A36:B36"/>
    <mergeCell ref="A37:B37"/>
    <mergeCell ref="A22:B22"/>
    <mergeCell ref="A23:B23"/>
    <mergeCell ref="A26:B26"/>
    <mergeCell ref="A27:B27"/>
    <mergeCell ref="C23:E23"/>
    <mergeCell ref="C26:E26"/>
    <mergeCell ref="C27:E27"/>
    <mergeCell ref="C28:E28"/>
    <mergeCell ref="L23:M23"/>
    <mergeCell ref="C29:E29"/>
    <mergeCell ref="C32:E32"/>
    <mergeCell ref="C36:E36"/>
    <mergeCell ref="C37:E37"/>
    <mergeCell ref="A29:B29"/>
    <mergeCell ref="A32:B32"/>
    <mergeCell ref="A3:O3"/>
    <mergeCell ref="A4:O4"/>
    <mergeCell ref="A5:O5"/>
    <mergeCell ref="A7:O7"/>
    <mergeCell ref="L9:M9"/>
    <mergeCell ref="N9:O9"/>
    <mergeCell ref="I9:K9"/>
    <mergeCell ref="N16:O16"/>
    <mergeCell ref="L14:M14"/>
    <mergeCell ref="L16:M16"/>
    <mergeCell ref="N14:O14"/>
    <mergeCell ref="I15:K15"/>
    <mergeCell ref="I16:K16"/>
    <mergeCell ref="L11:M11"/>
    <mergeCell ref="N10:O10"/>
    <mergeCell ref="N11:O11"/>
    <mergeCell ref="L10:M10"/>
    <mergeCell ref="F9:H9"/>
    <mergeCell ref="F10:H10"/>
    <mergeCell ref="F11:H11"/>
    <mergeCell ref="F14:H14"/>
    <mergeCell ref="A10:B10"/>
    <mergeCell ref="A11:B11"/>
    <mergeCell ref="A14:B14"/>
    <mergeCell ref="N22:O22"/>
    <mergeCell ref="A9:B9"/>
    <mergeCell ref="N15:O15"/>
    <mergeCell ref="I10:K10"/>
    <mergeCell ref="I11:K11"/>
    <mergeCell ref="C9:E9"/>
    <mergeCell ref="C10:E10"/>
    <mergeCell ref="N17:O17"/>
    <mergeCell ref="L21:M21"/>
    <mergeCell ref="I21:K21"/>
    <mergeCell ref="I17:K17"/>
    <mergeCell ref="I20:K20"/>
    <mergeCell ref="C21:E21"/>
    <mergeCell ref="C22:E22"/>
    <mergeCell ref="L22:M22"/>
    <mergeCell ref="F15:H15"/>
    <mergeCell ref="F16:H16"/>
    <mergeCell ref="N20:O20"/>
    <mergeCell ref="N21:O21"/>
    <mergeCell ref="C11:E11"/>
    <mergeCell ref="C14:E14"/>
    <mergeCell ref="L15:M15"/>
    <mergeCell ref="F21:H21"/>
    <mergeCell ref="L17:M17"/>
    <mergeCell ref="A57:O57"/>
    <mergeCell ref="F59:G59"/>
    <mergeCell ref="H59:J59"/>
    <mergeCell ref="K59:L59"/>
    <mergeCell ref="M59:O59"/>
    <mergeCell ref="B59:C59"/>
    <mergeCell ref="A1:O1"/>
    <mergeCell ref="A2:O2"/>
    <mergeCell ref="F44:O44"/>
    <mergeCell ref="I14:K14"/>
    <mergeCell ref="F27:H27"/>
    <mergeCell ref="I22:K22"/>
    <mergeCell ref="I23:K23"/>
    <mergeCell ref="I26:K26"/>
    <mergeCell ref="I27:K27"/>
    <mergeCell ref="F22:H22"/>
    <mergeCell ref="L29:M29"/>
    <mergeCell ref="L32:M32"/>
    <mergeCell ref="N29:O29"/>
    <mergeCell ref="N32:O32"/>
    <mergeCell ref="F36:H36"/>
    <mergeCell ref="I28:K28"/>
    <mergeCell ref="I29:K29"/>
    <mergeCell ref="G47:I47"/>
    <mergeCell ref="K62:L62"/>
    <mergeCell ref="M62:O62"/>
    <mergeCell ref="D62:E62"/>
    <mergeCell ref="M64:O64"/>
    <mergeCell ref="K64:L64"/>
    <mergeCell ref="H65:J65"/>
    <mergeCell ref="K63:L63"/>
    <mergeCell ref="F61:G61"/>
    <mergeCell ref="D59:E59"/>
    <mergeCell ref="M60:O60"/>
    <mergeCell ref="H62:J62"/>
    <mergeCell ref="B60:C60"/>
    <mergeCell ref="F60:G60"/>
    <mergeCell ref="D61:E61"/>
    <mergeCell ref="D60:E60"/>
    <mergeCell ref="M61:O61"/>
    <mergeCell ref="K61:L61"/>
    <mergeCell ref="K60:L60"/>
    <mergeCell ref="B61:C61"/>
    <mergeCell ref="H61:J61"/>
    <mergeCell ref="H60:J60"/>
    <mergeCell ref="N71:O71"/>
    <mergeCell ref="F72:G72"/>
    <mergeCell ref="A72:C72"/>
    <mergeCell ref="A71:C71"/>
    <mergeCell ref="D71:E71"/>
    <mergeCell ref="F71:G71"/>
    <mergeCell ref="D72:E72"/>
    <mergeCell ref="N72:O72"/>
    <mergeCell ref="J74:K74"/>
    <mergeCell ref="B64:C64"/>
    <mergeCell ref="D64:E64"/>
    <mergeCell ref="F64:G64"/>
    <mergeCell ref="H64:J64"/>
    <mergeCell ref="B62:C62"/>
    <mergeCell ref="A73:C73"/>
    <mergeCell ref="L79:M79"/>
    <mergeCell ref="D79:E79"/>
    <mergeCell ref="D78:E78"/>
    <mergeCell ref="F78:G78"/>
    <mergeCell ref="H78:I78"/>
    <mergeCell ref="J78:K78"/>
    <mergeCell ref="L78:M78"/>
    <mergeCell ref="J77:K77"/>
    <mergeCell ref="L77:M77"/>
    <mergeCell ref="H77:I77"/>
    <mergeCell ref="H70:I70"/>
    <mergeCell ref="J72:K72"/>
    <mergeCell ref="F79:G79"/>
    <mergeCell ref="H79:I79"/>
    <mergeCell ref="A74:C74"/>
    <mergeCell ref="L75:M75"/>
    <mergeCell ref="D76:E76"/>
    <mergeCell ref="M65:O65"/>
    <mergeCell ref="A81:C81"/>
    <mergeCell ref="D74:E74"/>
    <mergeCell ref="F74:G74"/>
    <mergeCell ref="A79:C79"/>
    <mergeCell ref="D77:E77"/>
    <mergeCell ref="F77:G77"/>
    <mergeCell ref="A78:C78"/>
    <mergeCell ref="A77:C77"/>
    <mergeCell ref="A80:C80"/>
    <mergeCell ref="A75:C75"/>
    <mergeCell ref="D80:E80"/>
    <mergeCell ref="D81:E81"/>
    <mergeCell ref="A76:C76"/>
    <mergeCell ref="F76:G76"/>
    <mergeCell ref="D75:E75"/>
    <mergeCell ref="F75:G75"/>
    <mergeCell ref="N81:O81"/>
    <mergeCell ref="F80:G80"/>
    <mergeCell ref="H80:I80"/>
    <mergeCell ref="J80:K80"/>
    <mergeCell ref="L80:M80"/>
    <mergeCell ref="N80:O80"/>
    <mergeCell ref="F81:G81"/>
    <mergeCell ref="H81:I81"/>
    <mergeCell ref="N69:O70"/>
    <mergeCell ref="N79:O79"/>
    <mergeCell ref="N77:O77"/>
    <mergeCell ref="N78:O78"/>
    <mergeCell ref="N76:O76"/>
    <mergeCell ref="H76:I76"/>
    <mergeCell ref="N75:O75"/>
    <mergeCell ref="L73:M73"/>
    <mergeCell ref="N73:O73"/>
    <mergeCell ref="N74:O74"/>
    <mergeCell ref="J81:K81"/>
    <mergeCell ref="L81:M81"/>
    <mergeCell ref="L72:M72"/>
    <mergeCell ref="J79:K79"/>
    <mergeCell ref="J73:K73"/>
    <mergeCell ref="L74:M74"/>
    <mergeCell ref="L76:M76"/>
    <mergeCell ref="J76:K76"/>
    <mergeCell ref="B65:C65"/>
    <mergeCell ref="D65:E65"/>
    <mergeCell ref="F65:G65"/>
    <mergeCell ref="D69:E70"/>
    <mergeCell ref="A69:C70"/>
    <mergeCell ref="F69:I69"/>
    <mergeCell ref="F70:G70"/>
    <mergeCell ref="D73:E73"/>
    <mergeCell ref="F73:G73"/>
    <mergeCell ref="H75:I75"/>
    <mergeCell ref="J75:K75"/>
    <mergeCell ref="H73:I73"/>
    <mergeCell ref="H74:I74"/>
    <mergeCell ref="H71:I71"/>
    <mergeCell ref="K65:L65"/>
    <mergeCell ref="J71:K71"/>
    <mergeCell ref="J69:M69"/>
    <mergeCell ref="J70:K70"/>
    <mergeCell ref="L70:M70"/>
    <mergeCell ref="A67:O67"/>
    <mergeCell ref="H72:I72"/>
    <mergeCell ref="L71:M71"/>
    <mergeCell ref="F28:H28"/>
    <mergeCell ref="F29:H29"/>
    <mergeCell ref="F23:H23"/>
    <mergeCell ref="F26:H26"/>
    <mergeCell ref="A54:C54"/>
    <mergeCell ref="A49:C49"/>
    <mergeCell ref="A52:C52"/>
    <mergeCell ref="A53:C53"/>
    <mergeCell ref="A50:C50"/>
    <mergeCell ref="A51:C51"/>
    <mergeCell ref="A45:J45"/>
    <mergeCell ref="D47:F47"/>
    <mergeCell ref="J47:L47"/>
    <mergeCell ref="L26:M26"/>
    <mergeCell ref="L27:M27"/>
    <mergeCell ref="A41:O41"/>
    <mergeCell ref="A39:O39"/>
    <mergeCell ref="B44:E44"/>
    <mergeCell ref="A28:B28"/>
    <mergeCell ref="L33:M33"/>
    <mergeCell ref="L34:M34"/>
    <mergeCell ref="L35:M35"/>
    <mergeCell ref="B63:C63"/>
    <mergeCell ref="D63:E63"/>
    <mergeCell ref="A47:C48"/>
    <mergeCell ref="M63:O63"/>
    <mergeCell ref="F62:G62"/>
    <mergeCell ref="F63:G63"/>
    <mergeCell ref="H63:J63"/>
    <mergeCell ref="N23:O23"/>
    <mergeCell ref="N26:O26"/>
    <mergeCell ref="N27:O27"/>
    <mergeCell ref="F32:H32"/>
    <mergeCell ref="N36:O36"/>
    <mergeCell ref="N37:O37"/>
    <mergeCell ref="L37:M37"/>
    <mergeCell ref="I36:K36"/>
    <mergeCell ref="I37:K37"/>
    <mergeCell ref="I32:K32"/>
    <mergeCell ref="F37:H37"/>
    <mergeCell ref="N28:O28"/>
    <mergeCell ref="M47:O47"/>
    <mergeCell ref="L28:M28"/>
    <mergeCell ref="F43:O43"/>
    <mergeCell ref="B43:E43"/>
    <mergeCell ref="L36:M36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44" max="14" man="1"/>
  </rowBreaks>
  <ignoredErrors>
    <ignoredError sqref="L36:M37 O36:O37 G37:H37 O11 N36:N37 M50:M51 N11 N14:N17 O14:O17 N20:N23 O20:O23 N26:N29 G29:H29 O26:O29 L29:M29 N32 G32:H32 O32 L32:M32 G36:H36 J29:K29 J32:K32 J36:K36 J37:K37" evalError="1"/>
    <ignoredError sqref="D54:G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H75"/>
  <sheetViews>
    <sheetView view="pageBreakPreview" zoomScale="75" zoomScaleNormal="50" zoomScaleSheetLayoutView="75" workbookViewId="0">
      <selection activeCell="K22" sqref="K22"/>
    </sheetView>
  </sheetViews>
  <sheetFormatPr defaultColWidth="9.109375" defaultRowHeight="18"/>
  <cols>
    <col min="1" max="2" width="4.44140625" style="2" customWidth="1"/>
    <col min="3" max="3" width="28.6640625" style="2" customWidth="1"/>
    <col min="4" max="6" width="8.44140625" style="2" customWidth="1"/>
    <col min="7" max="9" width="11.33203125" style="2" customWidth="1"/>
    <col min="10" max="10" width="8.6640625" style="2" customWidth="1"/>
    <col min="11" max="11" width="7" style="2" customWidth="1"/>
    <col min="12" max="12" width="9" style="2" customWidth="1"/>
    <col min="13" max="14" width="9.5546875" style="2" customWidth="1"/>
    <col min="15" max="16" width="12.33203125" style="2" customWidth="1"/>
    <col min="17" max="17" width="9.33203125" style="2" customWidth="1"/>
    <col min="18" max="18" width="11" style="2" customWidth="1"/>
    <col min="19" max="19" width="14.5546875" style="2" customWidth="1"/>
    <col min="20" max="20" width="14" style="2" customWidth="1"/>
    <col min="21" max="21" width="12.5546875" style="2" customWidth="1"/>
    <col min="22" max="22" width="12.33203125" style="2" customWidth="1"/>
    <col min="23" max="23" width="14.88671875" style="2" customWidth="1"/>
    <col min="24" max="24" width="14" style="2" customWidth="1"/>
    <col min="25" max="25" width="9" style="2" customWidth="1"/>
    <col min="26" max="26" width="8.109375" style="2" customWidth="1"/>
    <col min="27" max="27" width="9.33203125" style="2" customWidth="1"/>
    <col min="28" max="28" width="9.6640625" style="2" customWidth="1"/>
    <col min="29" max="29" width="12.33203125" style="2" customWidth="1"/>
    <col min="30" max="30" width="12" style="2" customWidth="1"/>
    <col min="31" max="31" width="14.5546875" style="2" customWidth="1"/>
    <col min="32" max="32" width="14" style="2" customWidth="1"/>
    <col min="33" max="33" width="9.109375" style="2"/>
    <col min="34" max="34" width="11.6640625" style="2" hidden="1" customWidth="1"/>
    <col min="35" max="16384" width="9.109375" style="2"/>
  </cols>
  <sheetData>
    <row r="1" spans="1:32" ht="18.75" customHeight="1">
      <c r="C1" s="122" t="s">
        <v>312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45.75" customHeight="1">
      <c r="A3" s="427" t="s">
        <v>48</v>
      </c>
      <c r="B3" s="448" t="s">
        <v>135</v>
      </c>
      <c r="C3" s="450"/>
      <c r="D3" s="360" t="s">
        <v>136</v>
      </c>
      <c r="E3" s="361"/>
      <c r="F3" s="361"/>
      <c r="G3" s="360" t="s">
        <v>224</v>
      </c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80" t="s">
        <v>137</v>
      </c>
      <c r="S3" s="381"/>
      <c r="T3" s="381"/>
      <c r="U3" s="381"/>
      <c r="V3" s="381"/>
      <c r="W3" s="381"/>
      <c r="X3" s="381"/>
      <c r="Y3" s="381"/>
      <c r="Z3" s="396"/>
      <c r="AA3" s="332" t="s">
        <v>405</v>
      </c>
      <c r="AB3" s="333"/>
      <c r="AC3" s="333"/>
      <c r="AD3" s="332" t="s">
        <v>406</v>
      </c>
      <c r="AE3" s="333"/>
      <c r="AF3" s="333"/>
    </row>
    <row r="4" spans="1:32" ht="77.25" customHeight="1">
      <c r="A4" s="429"/>
      <c r="B4" s="454"/>
      <c r="C4" s="456"/>
      <c r="D4" s="363"/>
      <c r="E4" s="364"/>
      <c r="F4" s="364"/>
      <c r="G4" s="363"/>
      <c r="H4" s="364"/>
      <c r="I4" s="364"/>
      <c r="J4" s="364"/>
      <c r="K4" s="364"/>
      <c r="L4" s="364"/>
      <c r="M4" s="364"/>
      <c r="N4" s="364"/>
      <c r="O4" s="364"/>
      <c r="P4" s="364"/>
      <c r="Q4" s="365"/>
      <c r="R4" s="369" t="s">
        <v>343</v>
      </c>
      <c r="S4" s="370"/>
      <c r="T4" s="371"/>
      <c r="U4" s="369" t="s">
        <v>344</v>
      </c>
      <c r="V4" s="370"/>
      <c r="W4" s="371"/>
      <c r="X4" s="369" t="s">
        <v>345</v>
      </c>
      <c r="Y4" s="370"/>
      <c r="Z4" s="371"/>
      <c r="AA4" s="333"/>
      <c r="AB4" s="333"/>
      <c r="AC4" s="333"/>
      <c r="AD4" s="333"/>
      <c r="AE4" s="333"/>
      <c r="AF4" s="333"/>
    </row>
    <row r="5" spans="1:32" ht="18.75" customHeight="1">
      <c r="A5" s="51">
        <v>1</v>
      </c>
      <c r="B5" s="470">
        <v>2</v>
      </c>
      <c r="C5" s="471"/>
      <c r="D5" s="437">
        <v>3</v>
      </c>
      <c r="E5" s="438"/>
      <c r="F5" s="438"/>
      <c r="G5" s="437">
        <v>4</v>
      </c>
      <c r="H5" s="438"/>
      <c r="I5" s="438"/>
      <c r="J5" s="438"/>
      <c r="K5" s="438"/>
      <c r="L5" s="438"/>
      <c r="M5" s="438"/>
      <c r="N5" s="438"/>
      <c r="O5" s="438"/>
      <c r="P5" s="438"/>
      <c r="Q5" s="439"/>
      <c r="R5" s="437">
        <v>5</v>
      </c>
      <c r="S5" s="438"/>
      <c r="T5" s="439"/>
      <c r="U5" s="437">
        <v>6</v>
      </c>
      <c r="V5" s="438"/>
      <c r="W5" s="439"/>
      <c r="X5" s="467">
        <v>7</v>
      </c>
      <c r="Y5" s="468"/>
      <c r="Z5" s="469"/>
      <c r="AA5" s="467">
        <v>8</v>
      </c>
      <c r="AB5" s="468"/>
      <c r="AC5" s="469"/>
      <c r="AD5" s="467">
        <v>9</v>
      </c>
      <c r="AE5" s="468"/>
      <c r="AF5" s="469"/>
    </row>
    <row r="6" spans="1:32" ht="20.100000000000001" customHeight="1">
      <c r="A6" s="51" t="s">
        <v>482</v>
      </c>
      <c r="B6" s="463" t="s">
        <v>552</v>
      </c>
      <c r="C6" s="464"/>
      <c r="D6" s="437">
        <v>2020</v>
      </c>
      <c r="E6" s="438"/>
      <c r="F6" s="438"/>
      <c r="G6" s="437" t="s">
        <v>555</v>
      </c>
      <c r="H6" s="438"/>
      <c r="I6" s="438"/>
      <c r="J6" s="438"/>
      <c r="K6" s="438"/>
      <c r="L6" s="438"/>
      <c r="M6" s="438"/>
      <c r="N6" s="438"/>
      <c r="O6" s="438"/>
      <c r="P6" s="438"/>
      <c r="Q6" s="439"/>
      <c r="R6" s="376">
        <v>15.7</v>
      </c>
      <c r="S6" s="377"/>
      <c r="T6" s="378"/>
      <c r="U6" s="376">
        <f>'I. Фін результат'!E25</f>
        <v>90</v>
      </c>
      <c r="V6" s="377"/>
      <c r="W6" s="378"/>
      <c r="X6" s="376">
        <f>'I. Фін результат'!F25</f>
        <v>75.599999999999994</v>
      </c>
      <c r="Y6" s="377"/>
      <c r="Z6" s="378"/>
      <c r="AA6" s="376">
        <f>X6-U6</f>
        <v>-14.400000000000006</v>
      </c>
      <c r="AB6" s="377"/>
      <c r="AC6" s="378"/>
      <c r="AD6" s="376"/>
      <c r="AE6" s="377"/>
      <c r="AF6" s="378"/>
    </row>
    <row r="7" spans="1:32" ht="20.100000000000001" customHeight="1">
      <c r="A7" s="51"/>
      <c r="B7" s="472"/>
      <c r="C7" s="473"/>
      <c r="D7" s="437"/>
      <c r="E7" s="438"/>
      <c r="F7" s="438"/>
      <c r="G7" s="437"/>
      <c r="H7" s="438"/>
      <c r="I7" s="438"/>
      <c r="J7" s="438"/>
      <c r="K7" s="438"/>
      <c r="L7" s="438"/>
      <c r="M7" s="438"/>
      <c r="N7" s="438"/>
      <c r="O7" s="438"/>
      <c r="P7" s="438"/>
      <c r="Q7" s="439"/>
      <c r="R7" s="376"/>
      <c r="S7" s="377"/>
      <c r="T7" s="378"/>
      <c r="U7" s="376"/>
      <c r="V7" s="377"/>
      <c r="W7" s="378"/>
      <c r="X7" s="376"/>
      <c r="Y7" s="377"/>
      <c r="Z7" s="378"/>
      <c r="AA7" s="376">
        <f>X7-U7</f>
        <v>0</v>
      </c>
      <c r="AB7" s="377"/>
      <c r="AC7" s="378"/>
      <c r="AD7" s="376"/>
      <c r="AE7" s="377"/>
      <c r="AF7" s="378"/>
    </row>
    <row r="8" spans="1:32" ht="24.9" customHeight="1">
      <c r="A8" s="440" t="s">
        <v>50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382">
        <f>SUM(R6:R7)</f>
        <v>15.7</v>
      </c>
      <c r="S8" s="383"/>
      <c r="T8" s="384"/>
      <c r="U8" s="382">
        <f>SUM(U6:U7)</f>
        <v>90</v>
      </c>
      <c r="V8" s="383"/>
      <c r="W8" s="384"/>
      <c r="X8" s="382">
        <f>SUM(X6:X7)</f>
        <v>75.599999999999994</v>
      </c>
      <c r="Y8" s="383"/>
      <c r="Z8" s="384"/>
      <c r="AA8" s="382">
        <f>X8-U8</f>
        <v>-14.400000000000006</v>
      </c>
      <c r="AB8" s="383"/>
      <c r="AC8" s="384"/>
      <c r="AD8" s="382"/>
      <c r="AE8" s="383"/>
      <c r="AF8" s="384"/>
    </row>
    <row r="9" spans="1:32" ht="11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  <c r="AF9" s="77"/>
    </row>
    <row r="10" spans="1:32" ht="10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0"/>
      <c r="R10" s="44"/>
      <c r="S10" s="44"/>
      <c r="T10" s="44"/>
      <c r="U10" s="44"/>
      <c r="V10" s="44"/>
      <c r="W10" s="44"/>
      <c r="X10" s="45"/>
      <c r="Y10" s="45"/>
      <c r="Z10" s="45"/>
      <c r="AA10" s="45"/>
      <c r="AB10" s="45"/>
      <c r="AC10" s="45"/>
      <c r="AD10" s="45"/>
      <c r="AE10" s="78"/>
      <c r="AF10" s="78"/>
    </row>
    <row r="11" spans="1:32" s="122" customFormat="1" ht="18.75" customHeight="1">
      <c r="C11" s="122" t="s">
        <v>313</v>
      </c>
    </row>
    <row r="12" spans="1:32" s="122" customFormat="1" ht="18.75" customHeight="1"/>
    <row r="13" spans="1:32" ht="45.75" customHeight="1">
      <c r="A13" s="348" t="s">
        <v>48</v>
      </c>
      <c r="B13" s="448" t="s">
        <v>138</v>
      </c>
      <c r="C13" s="450"/>
      <c r="D13" s="332" t="s">
        <v>135</v>
      </c>
      <c r="E13" s="332"/>
      <c r="F13" s="332"/>
      <c r="G13" s="332"/>
      <c r="H13" s="360" t="s">
        <v>224</v>
      </c>
      <c r="I13" s="361"/>
      <c r="J13" s="361"/>
      <c r="K13" s="361"/>
      <c r="L13" s="361"/>
      <c r="M13" s="361"/>
      <c r="N13" s="361"/>
      <c r="O13" s="362"/>
      <c r="P13" s="360" t="s">
        <v>342</v>
      </c>
      <c r="Q13" s="362"/>
      <c r="R13" s="380" t="s">
        <v>137</v>
      </c>
      <c r="S13" s="381"/>
      <c r="T13" s="381"/>
      <c r="U13" s="381"/>
      <c r="V13" s="381"/>
      <c r="W13" s="381"/>
      <c r="X13" s="381"/>
      <c r="Y13" s="381"/>
      <c r="Z13" s="396"/>
      <c r="AA13" s="332" t="s">
        <v>405</v>
      </c>
      <c r="AB13" s="333"/>
      <c r="AC13" s="333"/>
      <c r="AD13" s="332" t="s">
        <v>406</v>
      </c>
      <c r="AE13" s="333"/>
      <c r="AF13" s="333"/>
    </row>
    <row r="14" spans="1:32" ht="24.9" customHeight="1">
      <c r="A14" s="348"/>
      <c r="B14" s="451"/>
      <c r="C14" s="453"/>
      <c r="D14" s="332"/>
      <c r="E14" s="332"/>
      <c r="F14" s="332"/>
      <c r="G14" s="332"/>
      <c r="H14" s="446"/>
      <c r="I14" s="489"/>
      <c r="J14" s="489"/>
      <c r="K14" s="489"/>
      <c r="L14" s="489"/>
      <c r="M14" s="489"/>
      <c r="N14" s="489"/>
      <c r="O14" s="447"/>
      <c r="P14" s="446"/>
      <c r="Q14" s="447"/>
      <c r="R14" s="360" t="s">
        <v>343</v>
      </c>
      <c r="S14" s="361"/>
      <c r="T14" s="362"/>
      <c r="U14" s="360" t="s">
        <v>344</v>
      </c>
      <c r="V14" s="361"/>
      <c r="W14" s="362"/>
      <c r="X14" s="360" t="s">
        <v>345</v>
      </c>
      <c r="Y14" s="475"/>
      <c r="Z14" s="476"/>
      <c r="AA14" s="333"/>
      <c r="AB14" s="333"/>
      <c r="AC14" s="333"/>
      <c r="AD14" s="333"/>
      <c r="AE14" s="333"/>
      <c r="AF14" s="333"/>
    </row>
    <row r="15" spans="1:32" ht="48" customHeight="1">
      <c r="A15" s="348"/>
      <c r="B15" s="454"/>
      <c r="C15" s="456"/>
      <c r="D15" s="332"/>
      <c r="E15" s="332"/>
      <c r="F15" s="332"/>
      <c r="G15" s="332"/>
      <c r="H15" s="363"/>
      <c r="I15" s="364"/>
      <c r="J15" s="364"/>
      <c r="K15" s="364"/>
      <c r="L15" s="364"/>
      <c r="M15" s="364"/>
      <c r="N15" s="364"/>
      <c r="O15" s="365"/>
      <c r="P15" s="363"/>
      <c r="Q15" s="365"/>
      <c r="R15" s="363"/>
      <c r="S15" s="364"/>
      <c r="T15" s="365"/>
      <c r="U15" s="363"/>
      <c r="V15" s="364"/>
      <c r="W15" s="365"/>
      <c r="X15" s="477"/>
      <c r="Y15" s="478"/>
      <c r="Z15" s="479"/>
      <c r="AA15" s="333"/>
      <c r="AB15" s="333"/>
      <c r="AC15" s="333"/>
      <c r="AD15" s="333"/>
      <c r="AE15" s="333"/>
      <c r="AF15" s="333"/>
    </row>
    <row r="16" spans="1:32" ht="18.75" customHeight="1">
      <c r="A16" s="51">
        <v>1</v>
      </c>
      <c r="B16" s="470">
        <v>2</v>
      </c>
      <c r="C16" s="471"/>
      <c r="D16" s="487">
        <v>3</v>
      </c>
      <c r="E16" s="487"/>
      <c r="F16" s="487"/>
      <c r="G16" s="487"/>
      <c r="H16" s="437">
        <v>4</v>
      </c>
      <c r="I16" s="438"/>
      <c r="J16" s="438"/>
      <c r="K16" s="438"/>
      <c r="L16" s="438"/>
      <c r="M16" s="438"/>
      <c r="N16" s="438"/>
      <c r="O16" s="439"/>
      <c r="P16" s="437">
        <v>5</v>
      </c>
      <c r="Q16" s="439"/>
      <c r="R16" s="437">
        <v>6</v>
      </c>
      <c r="S16" s="438"/>
      <c r="T16" s="439"/>
      <c r="U16" s="437">
        <v>7</v>
      </c>
      <c r="V16" s="438"/>
      <c r="W16" s="439"/>
      <c r="X16" s="437">
        <v>8</v>
      </c>
      <c r="Y16" s="438"/>
      <c r="Z16" s="439"/>
      <c r="AA16" s="437">
        <v>9</v>
      </c>
      <c r="AB16" s="438"/>
      <c r="AC16" s="439"/>
      <c r="AD16" s="437">
        <v>10</v>
      </c>
      <c r="AE16" s="438"/>
      <c r="AF16" s="439"/>
    </row>
    <row r="17" spans="1:34" ht="20.100000000000001" customHeight="1">
      <c r="A17" s="70"/>
      <c r="B17" s="463" t="s">
        <v>552</v>
      </c>
      <c r="C17" s="464"/>
      <c r="D17" s="487">
        <v>2019</v>
      </c>
      <c r="E17" s="487"/>
      <c r="F17" s="487"/>
      <c r="G17" s="487"/>
      <c r="H17" s="460" t="s">
        <v>582</v>
      </c>
      <c r="I17" s="461"/>
      <c r="J17" s="461"/>
      <c r="K17" s="461"/>
      <c r="L17" s="461"/>
      <c r="M17" s="461"/>
      <c r="N17" s="461"/>
      <c r="O17" s="462"/>
      <c r="P17" s="480" t="s">
        <v>583</v>
      </c>
      <c r="Q17" s="481"/>
      <c r="R17" s="376">
        <v>33.799999999999997</v>
      </c>
      <c r="S17" s="377"/>
      <c r="T17" s="378"/>
      <c r="U17" s="376"/>
      <c r="V17" s="377"/>
      <c r="W17" s="378"/>
      <c r="X17" s="376">
        <v>0</v>
      </c>
      <c r="Y17" s="377"/>
      <c r="Z17" s="378"/>
      <c r="AA17" s="393">
        <f>X17-U17</f>
        <v>0</v>
      </c>
      <c r="AB17" s="405"/>
      <c r="AC17" s="394"/>
      <c r="AD17" s="376"/>
      <c r="AE17" s="377"/>
      <c r="AF17" s="378"/>
    </row>
    <row r="18" spans="1:34" ht="20.100000000000001" customHeight="1">
      <c r="A18" s="70"/>
      <c r="B18" s="463"/>
      <c r="C18" s="464"/>
      <c r="D18" s="487"/>
      <c r="E18" s="487"/>
      <c r="F18" s="487"/>
      <c r="G18" s="487"/>
      <c r="H18" s="460"/>
      <c r="I18" s="461"/>
      <c r="J18" s="461"/>
      <c r="K18" s="461"/>
      <c r="L18" s="461"/>
      <c r="M18" s="461"/>
      <c r="N18" s="461"/>
      <c r="O18" s="462"/>
      <c r="P18" s="480"/>
      <c r="Q18" s="481"/>
      <c r="R18" s="376"/>
      <c r="S18" s="377"/>
      <c r="T18" s="378"/>
      <c r="U18" s="376"/>
      <c r="V18" s="377"/>
      <c r="W18" s="378"/>
      <c r="X18" s="376"/>
      <c r="Y18" s="377"/>
      <c r="Z18" s="378"/>
      <c r="AA18" s="393">
        <f>X18-U18</f>
        <v>0</v>
      </c>
      <c r="AB18" s="405"/>
      <c r="AC18" s="394"/>
      <c r="AD18" s="376"/>
      <c r="AE18" s="377"/>
      <c r="AF18" s="378"/>
    </row>
    <row r="19" spans="1:34" ht="20.100000000000001" customHeight="1">
      <c r="A19" s="70"/>
      <c r="B19" s="463"/>
      <c r="C19" s="464"/>
      <c r="D19" s="487"/>
      <c r="E19" s="487"/>
      <c r="F19" s="487"/>
      <c r="G19" s="487"/>
      <c r="H19" s="460"/>
      <c r="I19" s="461"/>
      <c r="J19" s="461"/>
      <c r="K19" s="461"/>
      <c r="L19" s="461"/>
      <c r="M19" s="461"/>
      <c r="N19" s="461"/>
      <c r="O19" s="462"/>
      <c r="P19" s="480"/>
      <c r="Q19" s="481"/>
      <c r="R19" s="376"/>
      <c r="S19" s="377"/>
      <c r="T19" s="378"/>
      <c r="U19" s="376"/>
      <c r="V19" s="377"/>
      <c r="W19" s="378"/>
      <c r="X19" s="376"/>
      <c r="Y19" s="377"/>
      <c r="Z19" s="378"/>
      <c r="AA19" s="393">
        <f>X19-U19</f>
        <v>0</v>
      </c>
      <c r="AB19" s="405"/>
      <c r="AC19" s="394"/>
      <c r="AD19" s="376"/>
      <c r="AE19" s="377"/>
      <c r="AF19" s="378"/>
    </row>
    <row r="20" spans="1:34" ht="20.100000000000001" customHeight="1">
      <c r="A20" s="70"/>
      <c r="B20" s="463"/>
      <c r="C20" s="464"/>
      <c r="D20" s="487"/>
      <c r="E20" s="487"/>
      <c r="F20" s="487"/>
      <c r="G20" s="487"/>
      <c r="H20" s="460"/>
      <c r="I20" s="461"/>
      <c r="J20" s="461"/>
      <c r="K20" s="461"/>
      <c r="L20" s="461"/>
      <c r="M20" s="461"/>
      <c r="N20" s="461"/>
      <c r="O20" s="462"/>
      <c r="P20" s="480"/>
      <c r="Q20" s="481"/>
      <c r="R20" s="376"/>
      <c r="S20" s="377"/>
      <c r="T20" s="378"/>
      <c r="U20" s="376"/>
      <c r="V20" s="377"/>
      <c r="W20" s="378"/>
      <c r="X20" s="376"/>
      <c r="Y20" s="377"/>
      <c r="Z20" s="378"/>
      <c r="AA20" s="393">
        <f>X20-U20</f>
        <v>0</v>
      </c>
      <c r="AB20" s="405"/>
      <c r="AC20" s="394"/>
      <c r="AD20" s="376"/>
      <c r="AE20" s="377"/>
      <c r="AF20" s="378"/>
    </row>
    <row r="21" spans="1:34" ht="24.9" customHeight="1">
      <c r="A21" s="44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  <c r="R21" s="382">
        <f>R8+R17</f>
        <v>49.5</v>
      </c>
      <c r="S21" s="383"/>
      <c r="T21" s="384"/>
      <c r="U21" s="382"/>
      <c r="V21" s="383"/>
      <c r="W21" s="384"/>
      <c r="X21" s="382">
        <f>SUM(X17:X20)</f>
        <v>0</v>
      </c>
      <c r="Y21" s="383"/>
      <c r="Z21" s="384"/>
      <c r="AA21" s="397">
        <f>X21-U21</f>
        <v>0</v>
      </c>
      <c r="AB21" s="407"/>
      <c r="AC21" s="398"/>
      <c r="AD21" s="382"/>
      <c r="AE21" s="383"/>
      <c r="AF21" s="384"/>
    </row>
    <row r="22" spans="1:3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19"/>
      <c r="S22" s="19"/>
      <c r="T22" s="19"/>
      <c r="U22" s="19"/>
      <c r="V22" s="19"/>
      <c r="AF22" s="19"/>
    </row>
    <row r="23" spans="1:34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R23" s="19"/>
      <c r="S23" s="19"/>
      <c r="T23" s="19"/>
      <c r="U23" s="19"/>
      <c r="V23" s="19"/>
      <c r="AF23" s="19"/>
    </row>
    <row r="24" spans="1:34" s="122" customFormat="1" ht="18.75" customHeight="1">
      <c r="C24" s="122" t="s">
        <v>146</v>
      </c>
    </row>
    <row r="25" spans="1:34">
      <c r="A25" s="22"/>
      <c r="B25" s="22"/>
      <c r="C25" s="22"/>
      <c r="D25" s="22"/>
      <c r="E25" s="22"/>
      <c r="F25" s="22"/>
      <c r="G25" s="22"/>
      <c r="H25" s="22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22"/>
      <c r="Z25" s="474"/>
      <c r="AA25" s="474"/>
      <c r="AB25" s="474"/>
      <c r="AD25" s="466" t="s">
        <v>407</v>
      </c>
      <c r="AE25" s="466"/>
      <c r="AF25" s="466"/>
    </row>
    <row r="26" spans="1:34" ht="24.9" customHeight="1">
      <c r="A26" s="427" t="s">
        <v>48</v>
      </c>
      <c r="B26" s="448" t="s">
        <v>170</v>
      </c>
      <c r="C26" s="449"/>
      <c r="D26" s="449"/>
      <c r="E26" s="449"/>
      <c r="F26" s="449"/>
      <c r="G26" s="449"/>
      <c r="H26" s="449"/>
      <c r="I26" s="449"/>
      <c r="J26" s="449"/>
      <c r="K26" s="449"/>
      <c r="L26" s="450"/>
      <c r="M26" s="457" t="s">
        <v>49</v>
      </c>
      <c r="N26" s="458"/>
      <c r="O26" s="458"/>
      <c r="P26" s="459"/>
      <c r="Q26" s="457" t="s">
        <v>75</v>
      </c>
      <c r="R26" s="458"/>
      <c r="S26" s="458"/>
      <c r="T26" s="459"/>
      <c r="U26" s="457" t="s">
        <v>204</v>
      </c>
      <c r="V26" s="458"/>
      <c r="W26" s="458"/>
      <c r="X26" s="459"/>
      <c r="Y26" s="457" t="s">
        <v>105</v>
      </c>
      <c r="Z26" s="458"/>
      <c r="AA26" s="458"/>
      <c r="AB26" s="459"/>
      <c r="AC26" s="457" t="s">
        <v>50</v>
      </c>
      <c r="AD26" s="458"/>
      <c r="AE26" s="458"/>
      <c r="AF26" s="459"/>
    </row>
    <row r="27" spans="1:34" ht="24.9" customHeight="1">
      <c r="A27" s="428"/>
      <c r="B27" s="451"/>
      <c r="C27" s="452"/>
      <c r="D27" s="452"/>
      <c r="E27" s="452"/>
      <c r="F27" s="452"/>
      <c r="G27" s="452"/>
      <c r="H27" s="452"/>
      <c r="I27" s="452"/>
      <c r="J27" s="452"/>
      <c r="K27" s="452"/>
      <c r="L27" s="453"/>
      <c r="M27" s="425" t="s">
        <v>166</v>
      </c>
      <c r="N27" s="425" t="s">
        <v>167</v>
      </c>
      <c r="O27" s="425" t="s">
        <v>186</v>
      </c>
      <c r="P27" s="425" t="s">
        <v>187</v>
      </c>
      <c r="Q27" s="425" t="s">
        <v>166</v>
      </c>
      <c r="R27" s="425" t="s">
        <v>167</v>
      </c>
      <c r="S27" s="425" t="s">
        <v>186</v>
      </c>
      <c r="T27" s="425" t="s">
        <v>187</v>
      </c>
      <c r="U27" s="425" t="s">
        <v>166</v>
      </c>
      <c r="V27" s="425" t="s">
        <v>167</v>
      </c>
      <c r="W27" s="425" t="s">
        <v>186</v>
      </c>
      <c r="X27" s="425" t="s">
        <v>187</v>
      </c>
      <c r="Y27" s="425" t="s">
        <v>166</v>
      </c>
      <c r="Z27" s="425" t="s">
        <v>167</v>
      </c>
      <c r="AA27" s="425" t="s">
        <v>186</v>
      </c>
      <c r="AB27" s="425" t="s">
        <v>187</v>
      </c>
      <c r="AC27" s="425" t="s">
        <v>166</v>
      </c>
      <c r="AD27" s="425" t="s">
        <v>167</v>
      </c>
      <c r="AE27" s="425" t="s">
        <v>186</v>
      </c>
      <c r="AF27" s="425" t="s">
        <v>187</v>
      </c>
    </row>
    <row r="28" spans="1:34" ht="24.9" customHeight="1">
      <c r="A28" s="429"/>
      <c r="B28" s="454"/>
      <c r="C28" s="455"/>
      <c r="D28" s="455"/>
      <c r="E28" s="455"/>
      <c r="F28" s="455"/>
      <c r="G28" s="455"/>
      <c r="H28" s="455"/>
      <c r="I28" s="455"/>
      <c r="J28" s="455"/>
      <c r="K28" s="455"/>
      <c r="L28" s="45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</row>
    <row r="29" spans="1:34" ht="18.75" customHeight="1">
      <c r="A29" s="180">
        <v>1</v>
      </c>
      <c r="B29" s="465">
        <v>2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177">
        <v>3</v>
      </c>
      <c r="N29" s="177">
        <v>4</v>
      </c>
      <c r="O29" s="177">
        <v>5</v>
      </c>
      <c r="P29" s="177">
        <v>6</v>
      </c>
      <c r="Q29" s="177">
        <v>7</v>
      </c>
      <c r="R29" s="177">
        <v>8</v>
      </c>
      <c r="S29" s="177">
        <v>9</v>
      </c>
      <c r="T29" s="177">
        <v>10</v>
      </c>
      <c r="U29" s="177">
        <v>11</v>
      </c>
      <c r="V29" s="177">
        <v>12</v>
      </c>
      <c r="W29" s="177">
        <v>13</v>
      </c>
      <c r="X29" s="177">
        <v>14</v>
      </c>
      <c r="Y29" s="177">
        <v>15</v>
      </c>
      <c r="Z29" s="177">
        <v>16</v>
      </c>
      <c r="AA29" s="177">
        <v>17</v>
      </c>
      <c r="AB29" s="177">
        <v>18</v>
      </c>
      <c r="AC29" s="177">
        <v>19</v>
      </c>
      <c r="AD29" s="177">
        <v>20</v>
      </c>
      <c r="AE29" s="177">
        <v>21</v>
      </c>
      <c r="AF29" s="177">
        <v>22</v>
      </c>
      <c r="AH29" s="2" t="s">
        <v>547</v>
      </c>
    </row>
    <row r="30" spans="1:34" ht="19.5" customHeight="1">
      <c r="A30" s="123" t="s">
        <v>482</v>
      </c>
      <c r="B30" s="421" t="s">
        <v>572</v>
      </c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179">
        <v>0</v>
      </c>
      <c r="N30" s="179">
        <v>0</v>
      </c>
      <c r="O30" s="179">
        <f>N30-M30</f>
        <v>0</v>
      </c>
      <c r="P30" s="113"/>
      <c r="Q30" s="174"/>
      <c r="R30" s="174"/>
      <c r="S30" s="179">
        <f>R30-Q30</f>
        <v>0</v>
      </c>
      <c r="T30" s="113"/>
      <c r="U30" s="174">
        <v>290.39999999999998</v>
      </c>
      <c r="V30" s="174">
        <v>290.39999999999998</v>
      </c>
      <c r="W30" s="174">
        <f>V30-U30</f>
        <v>0</v>
      </c>
      <c r="X30" s="113">
        <f t="shared" ref="X30:X41" si="0">V30/U30*100</f>
        <v>100</v>
      </c>
      <c r="Y30" s="179">
        <v>0</v>
      </c>
      <c r="Z30" s="179">
        <v>0</v>
      </c>
      <c r="AA30" s="179">
        <f>Z30-Y30</f>
        <v>0</v>
      </c>
      <c r="AB30" s="113"/>
      <c r="AC30" s="174">
        <f t="shared" ref="AC30:AD40" si="1">SUM(M30,Q30,U30,Y30)</f>
        <v>290.39999999999998</v>
      </c>
      <c r="AD30" s="174">
        <f t="shared" si="1"/>
        <v>290.39999999999998</v>
      </c>
      <c r="AE30" s="174">
        <f>AD30-AC30</f>
        <v>0</v>
      </c>
      <c r="AF30" s="113">
        <f t="shared" ref="AF30:AF41" si="2">AD30/AC30*100</f>
        <v>100</v>
      </c>
      <c r="AH30" s="174">
        <v>0</v>
      </c>
    </row>
    <row r="31" spans="1:34" ht="20.100000000000001" customHeight="1">
      <c r="A31" s="123" t="s">
        <v>483</v>
      </c>
      <c r="B31" s="421" t="s">
        <v>485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179">
        <v>0</v>
      </c>
      <c r="N31" s="179">
        <v>0</v>
      </c>
      <c r="O31" s="179">
        <f>N31-M31</f>
        <v>0</v>
      </c>
      <c r="P31" s="113"/>
      <c r="Q31" s="174"/>
      <c r="R31" s="174"/>
      <c r="S31" s="179">
        <f>R31-Q31</f>
        <v>0</v>
      </c>
      <c r="T31" s="113"/>
      <c r="U31" s="174">
        <v>250</v>
      </c>
      <c r="V31" s="174">
        <v>194.1</v>
      </c>
      <c r="W31" s="174">
        <f t="shared" ref="W31:W37" si="3">V31-U31</f>
        <v>-55.900000000000006</v>
      </c>
      <c r="X31" s="113">
        <f t="shared" si="0"/>
        <v>77.64</v>
      </c>
      <c r="Y31" s="179">
        <v>0</v>
      </c>
      <c r="Z31" s="179">
        <v>0</v>
      </c>
      <c r="AA31" s="179">
        <f>Z31-Y31</f>
        <v>0</v>
      </c>
      <c r="AB31" s="113"/>
      <c r="AC31" s="174">
        <f t="shared" si="1"/>
        <v>250</v>
      </c>
      <c r="AD31" s="174">
        <f t="shared" si="1"/>
        <v>194.1</v>
      </c>
      <c r="AE31" s="174">
        <f t="shared" ref="AE31:AE41" si="4">AD31-AC31</f>
        <v>-55.900000000000006</v>
      </c>
      <c r="AF31" s="113">
        <f t="shared" si="2"/>
        <v>77.64</v>
      </c>
      <c r="AH31" s="174">
        <v>195.8</v>
      </c>
    </row>
    <row r="32" spans="1:34" ht="20.100000000000001" customHeight="1">
      <c r="A32" s="123" t="s">
        <v>484</v>
      </c>
      <c r="B32" s="421" t="s">
        <v>550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179">
        <v>0</v>
      </c>
      <c r="N32" s="179">
        <v>0</v>
      </c>
      <c r="O32" s="179">
        <f t="shared" ref="O32:O38" si="5">N32-M32</f>
        <v>0</v>
      </c>
      <c r="P32" s="113"/>
      <c r="Q32" s="174"/>
      <c r="R32" s="174"/>
      <c r="S32" s="179">
        <f t="shared" ref="S32:S38" si="6">R32-Q32</f>
        <v>0</v>
      </c>
      <c r="T32" s="113"/>
      <c r="U32" s="174">
        <v>0</v>
      </c>
      <c r="V32" s="174">
        <v>60.1</v>
      </c>
      <c r="W32" s="174">
        <f t="shared" si="3"/>
        <v>60.1</v>
      </c>
      <c r="X32" s="113"/>
      <c r="Y32" s="179">
        <v>0</v>
      </c>
      <c r="Z32" s="179">
        <v>0</v>
      </c>
      <c r="AA32" s="179">
        <f t="shared" ref="AA32:AA38" si="7">Z32-Y32</f>
        <v>0</v>
      </c>
      <c r="AB32" s="113"/>
      <c r="AC32" s="174">
        <f t="shared" si="1"/>
        <v>0</v>
      </c>
      <c r="AD32" s="174">
        <f t="shared" si="1"/>
        <v>60.1</v>
      </c>
      <c r="AE32" s="174">
        <f t="shared" si="4"/>
        <v>60.1</v>
      </c>
      <c r="AF32" s="113"/>
      <c r="AH32" s="174">
        <v>40</v>
      </c>
    </row>
    <row r="33" spans="1:34" ht="20.100000000000001" customHeight="1">
      <c r="A33" s="123" t="s">
        <v>494</v>
      </c>
      <c r="B33" s="421" t="s">
        <v>500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179">
        <v>0</v>
      </c>
      <c r="N33" s="179">
        <v>0</v>
      </c>
      <c r="O33" s="179">
        <f t="shared" si="5"/>
        <v>0</v>
      </c>
      <c r="P33" s="113"/>
      <c r="Q33" s="174"/>
      <c r="R33" s="174"/>
      <c r="S33" s="179">
        <f t="shared" si="6"/>
        <v>0</v>
      </c>
      <c r="T33" s="113"/>
      <c r="U33" s="174">
        <v>0</v>
      </c>
      <c r="V33" s="174"/>
      <c r="W33" s="174">
        <f t="shared" si="3"/>
        <v>0</v>
      </c>
      <c r="X33" s="113"/>
      <c r="Y33" s="179">
        <v>0</v>
      </c>
      <c r="Z33" s="179">
        <v>0</v>
      </c>
      <c r="AA33" s="179">
        <f t="shared" si="7"/>
        <v>0</v>
      </c>
      <c r="AB33" s="113"/>
      <c r="AC33" s="174">
        <f t="shared" si="1"/>
        <v>0</v>
      </c>
      <c r="AD33" s="174">
        <f t="shared" si="1"/>
        <v>0</v>
      </c>
      <c r="AE33" s="174">
        <f t="shared" si="4"/>
        <v>0</v>
      </c>
      <c r="AF33" s="113"/>
      <c r="AH33" s="174">
        <v>125</v>
      </c>
    </row>
    <row r="34" spans="1:34" ht="20.100000000000001" customHeight="1">
      <c r="A34" s="123" t="s">
        <v>495</v>
      </c>
      <c r="B34" s="421" t="s">
        <v>501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179"/>
      <c r="N34" s="179"/>
      <c r="O34" s="179"/>
      <c r="P34" s="113"/>
      <c r="Q34" s="174"/>
      <c r="R34" s="174"/>
      <c r="S34" s="179"/>
      <c r="T34" s="113"/>
      <c r="U34" s="174">
        <v>325</v>
      </c>
      <c r="V34" s="174">
        <v>387.9</v>
      </c>
      <c r="W34" s="174">
        <f t="shared" si="3"/>
        <v>62.899999999999977</v>
      </c>
      <c r="X34" s="113">
        <f t="shared" si="0"/>
        <v>119.35384615384615</v>
      </c>
      <c r="Y34" s="179"/>
      <c r="Z34" s="179"/>
      <c r="AA34" s="179"/>
      <c r="AB34" s="113"/>
      <c r="AC34" s="174">
        <f t="shared" si="1"/>
        <v>325</v>
      </c>
      <c r="AD34" s="174">
        <f t="shared" si="1"/>
        <v>387.9</v>
      </c>
      <c r="AE34" s="174">
        <f t="shared" si="4"/>
        <v>62.899999999999977</v>
      </c>
      <c r="AF34" s="113">
        <f t="shared" si="2"/>
        <v>119.35384615384615</v>
      </c>
      <c r="AH34" s="174"/>
    </row>
    <row r="35" spans="1:34" ht="20.100000000000001" customHeight="1">
      <c r="A35" s="123" t="s">
        <v>496</v>
      </c>
      <c r="B35" s="421" t="s">
        <v>565</v>
      </c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179">
        <v>0</v>
      </c>
      <c r="N35" s="179">
        <v>0</v>
      </c>
      <c r="O35" s="179">
        <f t="shared" si="5"/>
        <v>0</v>
      </c>
      <c r="P35" s="113"/>
      <c r="Q35" s="174"/>
      <c r="R35" s="174"/>
      <c r="S35" s="179">
        <f t="shared" si="6"/>
        <v>0</v>
      </c>
      <c r="T35" s="113"/>
      <c r="U35" s="174">
        <v>33</v>
      </c>
      <c r="V35" s="174">
        <v>33</v>
      </c>
      <c r="W35" s="174">
        <f t="shared" si="3"/>
        <v>0</v>
      </c>
      <c r="X35" s="113">
        <f t="shared" si="0"/>
        <v>100</v>
      </c>
      <c r="Y35" s="179">
        <v>0</v>
      </c>
      <c r="Z35" s="179">
        <v>0</v>
      </c>
      <c r="AA35" s="179">
        <f t="shared" si="7"/>
        <v>0</v>
      </c>
      <c r="AB35" s="113"/>
      <c r="AC35" s="174">
        <f t="shared" si="1"/>
        <v>33</v>
      </c>
      <c r="AD35" s="174">
        <f t="shared" si="1"/>
        <v>33</v>
      </c>
      <c r="AE35" s="174">
        <f t="shared" si="4"/>
        <v>0</v>
      </c>
      <c r="AF35" s="113">
        <f t="shared" si="2"/>
        <v>100</v>
      </c>
      <c r="AH35" s="174">
        <v>0</v>
      </c>
    </row>
    <row r="36" spans="1:34" ht="20.100000000000001" customHeight="1">
      <c r="A36" s="123" t="s">
        <v>497</v>
      </c>
      <c r="B36" s="421" t="s">
        <v>498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179"/>
      <c r="N36" s="179"/>
      <c r="O36" s="179"/>
      <c r="P36" s="113"/>
      <c r="Q36" s="174"/>
      <c r="R36" s="174"/>
      <c r="S36" s="179"/>
      <c r="T36" s="113"/>
      <c r="U36" s="174">
        <v>70</v>
      </c>
      <c r="V36" s="174">
        <v>42.6</v>
      </c>
      <c r="W36" s="174">
        <f t="shared" si="3"/>
        <v>-27.4</v>
      </c>
      <c r="X36" s="113">
        <f t="shared" si="0"/>
        <v>60.857142857142854</v>
      </c>
      <c r="Y36" s="179"/>
      <c r="Z36" s="179"/>
      <c r="AA36" s="179"/>
      <c r="AB36" s="113"/>
      <c r="AC36" s="174">
        <f t="shared" si="1"/>
        <v>70</v>
      </c>
      <c r="AD36" s="174">
        <f t="shared" si="1"/>
        <v>42.6</v>
      </c>
      <c r="AE36" s="174">
        <f t="shared" si="4"/>
        <v>-27.4</v>
      </c>
      <c r="AF36" s="113">
        <f t="shared" si="2"/>
        <v>60.857142857142854</v>
      </c>
      <c r="AH36" s="174">
        <v>41.7</v>
      </c>
    </row>
    <row r="37" spans="1:34" ht="19.5" customHeight="1">
      <c r="A37" s="123" t="s">
        <v>499</v>
      </c>
      <c r="B37" s="421" t="s">
        <v>556</v>
      </c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179">
        <v>0</v>
      </c>
      <c r="N37" s="179">
        <v>0</v>
      </c>
      <c r="O37" s="179">
        <f t="shared" si="5"/>
        <v>0</v>
      </c>
      <c r="P37" s="113"/>
      <c r="Q37" s="174"/>
      <c r="R37" s="174"/>
      <c r="S37" s="179">
        <f t="shared" si="6"/>
        <v>0</v>
      </c>
      <c r="T37" s="113"/>
      <c r="U37" s="174">
        <v>123</v>
      </c>
      <c r="V37" s="174">
        <f>314.8-31</f>
        <v>283.8</v>
      </c>
      <c r="W37" s="174">
        <f t="shared" si="3"/>
        <v>160.80000000000001</v>
      </c>
      <c r="X37" s="113">
        <f t="shared" si="0"/>
        <v>230.73170731707319</v>
      </c>
      <c r="Y37" s="179">
        <v>0</v>
      </c>
      <c r="Z37" s="179">
        <v>0</v>
      </c>
      <c r="AA37" s="179">
        <f t="shared" si="7"/>
        <v>0</v>
      </c>
      <c r="AB37" s="113"/>
      <c r="AC37" s="174">
        <f t="shared" si="1"/>
        <v>123</v>
      </c>
      <c r="AD37" s="174">
        <f t="shared" si="1"/>
        <v>283.8</v>
      </c>
      <c r="AE37" s="174">
        <f t="shared" si="4"/>
        <v>160.80000000000001</v>
      </c>
      <c r="AF37" s="113">
        <f t="shared" si="2"/>
        <v>230.73170731707319</v>
      </c>
      <c r="AH37" s="174">
        <v>182.5</v>
      </c>
    </row>
    <row r="38" spans="1:34" ht="20.100000000000001" customHeight="1">
      <c r="A38" s="123" t="s">
        <v>545</v>
      </c>
      <c r="B38" s="421" t="s">
        <v>564</v>
      </c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179">
        <v>0</v>
      </c>
      <c r="N38" s="179">
        <v>0</v>
      </c>
      <c r="O38" s="179">
        <f t="shared" si="5"/>
        <v>0</v>
      </c>
      <c r="P38" s="113"/>
      <c r="Q38" s="174"/>
      <c r="R38" s="174"/>
      <c r="S38" s="179">
        <f t="shared" si="6"/>
        <v>0</v>
      </c>
      <c r="T38" s="113"/>
      <c r="U38" s="174">
        <v>0</v>
      </c>
      <c r="V38" s="174"/>
      <c r="W38" s="174">
        <f t="shared" ref="W38:W41" si="8">V38-U38</f>
        <v>0</v>
      </c>
      <c r="X38" s="113"/>
      <c r="Y38" s="179">
        <v>0</v>
      </c>
      <c r="Z38" s="179">
        <v>0</v>
      </c>
      <c r="AA38" s="179">
        <f t="shared" si="7"/>
        <v>0</v>
      </c>
      <c r="AB38" s="113"/>
      <c r="AC38" s="174">
        <f t="shared" si="1"/>
        <v>0</v>
      </c>
      <c r="AD38" s="174">
        <f t="shared" si="1"/>
        <v>0</v>
      </c>
      <c r="AE38" s="174">
        <f t="shared" si="4"/>
        <v>0</v>
      </c>
      <c r="AF38" s="113"/>
      <c r="AH38" s="174">
        <v>40.799999999999997</v>
      </c>
    </row>
    <row r="39" spans="1:34" ht="20.100000000000001" customHeight="1">
      <c r="A39" s="200" t="s">
        <v>546</v>
      </c>
      <c r="B39" s="421" t="s">
        <v>567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179"/>
      <c r="N39" s="179"/>
      <c r="O39" s="179"/>
      <c r="P39" s="113"/>
      <c r="Q39" s="174"/>
      <c r="R39" s="174"/>
      <c r="S39" s="179"/>
      <c r="T39" s="113"/>
      <c r="U39" s="174">
        <v>54.6</v>
      </c>
      <c r="V39" s="174">
        <v>93.1</v>
      </c>
      <c r="W39" s="174">
        <f t="shared" si="8"/>
        <v>38.499999999999993</v>
      </c>
      <c r="X39" s="113">
        <f t="shared" si="0"/>
        <v>170.5128205128205</v>
      </c>
      <c r="Y39" s="179"/>
      <c r="Z39" s="179"/>
      <c r="AA39" s="179"/>
      <c r="AB39" s="113"/>
      <c r="AC39" s="174">
        <f t="shared" si="1"/>
        <v>54.6</v>
      </c>
      <c r="AD39" s="174">
        <f t="shared" si="1"/>
        <v>93.1</v>
      </c>
      <c r="AE39" s="174">
        <f t="shared" si="4"/>
        <v>38.499999999999993</v>
      </c>
      <c r="AF39" s="113">
        <f t="shared" si="2"/>
        <v>170.5128205128205</v>
      </c>
      <c r="AH39" s="174"/>
    </row>
    <row r="40" spans="1:34" ht="20.100000000000001" customHeight="1">
      <c r="A40" s="200" t="s">
        <v>568</v>
      </c>
      <c r="B40" s="421" t="s">
        <v>569</v>
      </c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179"/>
      <c r="N40" s="179"/>
      <c r="O40" s="179"/>
      <c r="P40" s="113"/>
      <c r="Q40" s="174"/>
      <c r="R40" s="174"/>
      <c r="S40" s="179"/>
      <c r="T40" s="113"/>
      <c r="U40" s="174">
        <v>17</v>
      </c>
      <c r="V40" s="174">
        <v>37</v>
      </c>
      <c r="W40" s="174">
        <f t="shared" si="8"/>
        <v>20</v>
      </c>
      <c r="X40" s="113">
        <f t="shared" si="0"/>
        <v>217.64705882352939</v>
      </c>
      <c r="Y40" s="179"/>
      <c r="Z40" s="179"/>
      <c r="AA40" s="179"/>
      <c r="AB40" s="113"/>
      <c r="AC40" s="174">
        <f t="shared" si="1"/>
        <v>17</v>
      </c>
      <c r="AD40" s="174">
        <f t="shared" si="1"/>
        <v>37</v>
      </c>
      <c r="AE40" s="174">
        <f t="shared" si="4"/>
        <v>20</v>
      </c>
      <c r="AF40" s="113">
        <f t="shared" si="2"/>
        <v>217.64705882352939</v>
      </c>
      <c r="AH40" s="174"/>
    </row>
    <row r="41" spans="1:34" ht="24.9" customHeight="1">
      <c r="A41" s="440" t="s">
        <v>50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2"/>
      <c r="M41" s="119">
        <f>SUM(M30:M38)</f>
        <v>0</v>
      </c>
      <c r="N41" s="119">
        <f>SUM(N30:N38)</f>
        <v>0</v>
      </c>
      <c r="O41" s="119">
        <f>SUM(O30:O38)</f>
        <v>0</v>
      </c>
      <c r="P41" s="114"/>
      <c r="Q41" s="178">
        <f>SUM(Q30:Q38)</f>
        <v>0</v>
      </c>
      <c r="R41" s="178">
        <f>SUM(R30:R38)</f>
        <v>0</v>
      </c>
      <c r="S41" s="119">
        <f>SUM(S30:S38)</f>
        <v>0</v>
      </c>
      <c r="T41" s="114"/>
      <c r="U41" s="178">
        <f>SUM(U30:U40)</f>
        <v>1163</v>
      </c>
      <c r="V41" s="178">
        <f>SUM(V30:V40)</f>
        <v>1422</v>
      </c>
      <c r="W41" s="178">
        <f t="shared" si="8"/>
        <v>259</v>
      </c>
      <c r="X41" s="114">
        <f t="shared" si="0"/>
        <v>122.26999140154773</v>
      </c>
      <c r="Y41" s="119">
        <f>SUM(Y30:Y38)</f>
        <v>0</v>
      </c>
      <c r="Z41" s="119">
        <f>SUM(Z30:Z38)</f>
        <v>0</v>
      </c>
      <c r="AA41" s="119">
        <f>SUM(AA30:AA38)</f>
        <v>0</v>
      </c>
      <c r="AB41" s="114"/>
      <c r="AC41" s="178">
        <f>SUM(AC30:AC40)</f>
        <v>1163</v>
      </c>
      <c r="AD41" s="178">
        <f>SUM(AD30:AD40)</f>
        <v>1422</v>
      </c>
      <c r="AE41" s="178">
        <f t="shared" si="4"/>
        <v>259</v>
      </c>
      <c r="AF41" s="113">
        <f t="shared" si="2"/>
        <v>122.26999140154773</v>
      </c>
      <c r="AH41" s="178">
        <f>SUM(AH30:AH38)</f>
        <v>625.79999999999995</v>
      </c>
    </row>
    <row r="42" spans="1:34" ht="24.9" customHeight="1">
      <c r="A42" s="443" t="s">
        <v>51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5"/>
      <c r="M42" s="121">
        <f>M41/AC41*100</f>
        <v>0</v>
      </c>
      <c r="N42" s="121">
        <f>N41/AD41*100</f>
        <v>0</v>
      </c>
      <c r="O42" s="121"/>
      <c r="P42" s="121"/>
      <c r="Q42" s="121">
        <f>Q41/AC41*100</f>
        <v>0</v>
      </c>
      <c r="R42" s="121">
        <f>R41/AD41*100</f>
        <v>0</v>
      </c>
      <c r="S42" s="121"/>
      <c r="T42" s="121"/>
      <c r="U42" s="121">
        <f>U41/AC41*100</f>
        <v>100</v>
      </c>
      <c r="V42" s="121">
        <f>V41/AD41*100</f>
        <v>100</v>
      </c>
      <c r="W42" s="121"/>
      <c r="X42" s="121"/>
      <c r="Y42" s="121">
        <f>Y41/AC41*100</f>
        <v>0</v>
      </c>
      <c r="Z42" s="121">
        <f>Z41/AD41*100</f>
        <v>0</v>
      </c>
      <c r="AA42" s="121"/>
      <c r="AB42" s="121"/>
      <c r="AC42" s="121">
        <f>SUM(M42,Q42,U42,Y42)</f>
        <v>100</v>
      </c>
      <c r="AD42" s="121">
        <f>SUM(N42,R42,V42,Z42)</f>
        <v>100</v>
      </c>
      <c r="AE42" s="121"/>
      <c r="AF42" s="121"/>
      <c r="AH42" s="121"/>
    </row>
    <row r="43" spans="1:34" ht="15" customHeight="1">
      <c r="A43" s="14"/>
      <c r="B43" s="14"/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34" ht="15" customHeight="1">
      <c r="A44" s="14"/>
      <c r="B44" s="14"/>
      <c r="C44" s="1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34" s="122" customFormat="1" ht="31.65" customHeight="1">
      <c r="C45" s="122" t="s">
        <v>171</v>
      </c>
    </row>
    <row r="46" spans="1:34" s="63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L46" s="2"/>
      <c r="AD46" s="424" t="s">
        <v>407</v>
      </c>
      <c r="AE46" s="424"/>
      <c r="AF46" s="424"/>
    </row>
    <row r="47" spans="1:34" s="64" customFormat="1" ht="34.5" customHeight="1">
      <c r="A47" s="333" t="s">
        <v>48</v>
      </c>
      <c r="B47" s="360" t="s">
        <v>214</v>
      </c>
      <c r="C47" s="362"/>
      <c r="D47" s="332" t="s">
        <v>216</v>
      </c>
      <c r="E47" s="332"/>
      <c r="F47" s="332" t="s">
        <v>143</v>
      </c>
      <c r="G47" s="332"/>
      <c r="H47" s="332" t="s">
        <v>335</v>
      </c>
      <c r="I47" s="332"/>
      <c r="J47" s="332" t="s">
        <v>336</v>
      </c>
      <c r="K47" s="332"/>
      <c r="L47" s="332" t="s">
        <v>369</v>
      </c>
      <c r="M47" s="332"/>
      <c r="N47" s="332"/>
      <c r="O47" s="332"/>
      <c r="P47" s="332"/>
      <c r="Q47" s="332"/>
      <c r="R47" s="332"/>
      <c r="S47" s="332"/>
      <c r="T47" s="332"/>
      <c r="U47" s="332"/>
      <c r="V47" s="332" t="s">
        <v>215</v>
      </c>
      <c r="W47" s="332"/>
      <c r="X47" s="332"/>
      <c r="Y47" s="332"/>
      <c r="Z47" s="332"/>
      <c r="AA47" s="332" t="s">
        <v>346</v>
      </c>
      <c r="AB47" s="332"/>
      <c r="AC47" s="332"/>
      <c r="AD47" s="332"/>
      <c r="AE47" s="332"/>
      <c r="AF47" s="332"/>
    </row>
    <row r="48" spans="1:34" s="64" customFormat="1" ht="52.5" customHeight="1">
      <c r="A48" s="333"/>
      <c r="B48" s="446"/>
      <c r="C48" s="447"/>
      <c r="D48" s="332"/>
      <c r="E48" s="332"/>
      <c r="F48" s="332"/>
      <c r="G48" s="332"/>
      <c r="H48" s="332"/>
      <c r="I48" s="332"/>
      <c r="J48" s="332"/>
      <c r="K48" s="332"/>
      <c r="L48" s="332" t="s">
        <v>198</v>
      </c>
      <c r="M48" s="332"/>
      <c r="N48" s="332" t="s">
        <v>202</v>
      </c>
      <c r="O48" s="332"/>
      <c r="P48" s="332" t="s">
        <v>203</v>
      </c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</row>
    <row r="49" spans="1:32" s="65" customFormat="1" ht="82.5" customHeight="1">
      <c r="A49" s="333"/>
      <c r="B49" s="363"/>
      <c r="C49" s="365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 t="s">
        <v>199</v>
      </c>
      <c r="Q49" s="332"/>
      <c r="R49" s="332" t="s">
        <v>200</v>
      </c>
      <c r="S49" s="332"/>
      <c r="T49" s="332" t="s">
        <v>201</v>
      </c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</row>
    <row r="50" spans="1:32" s="64" customFormat="1" ht="18.75" customHeight="1">
      <c r="A50" s="5">
        <v>1</v>
      </c>
      <c r="B50" s="369">
        <v>2</v>
      </c>
      <c r="C50" s="371"/>
      <c r="D50" s="332">
        <v>3</v>
      </c>
      <c r="E50" s="332"/>
      <c r="F50" s="332">
        <v>4</v>
      </c>
      <c r="G50" s="332"/>
      <c r="H50" s="332">
        <v>5</v>
      </c>
      <c r="I50" s="332"/>
      <c r="J50" s="332">
        <v>6</v>
      </c>
      <c r="K50" s="332"/>
      <c r="L50" s="369">
        <v>7</v>
      </c>
      <c r="M50" s="371"/>
      <c r="N50" s="369">
        <v>8</v>
      </c>
      <c r="O50" s="371"/>
      <c r="P50" s="332">
        <v>9</v>
      </c>
      <c r="Q50" s="332"/>
      <c r="R50" s="333">
        <v>10</v>
      </c>
      <c r="S50" s="333"/>
      <c r="T50" s="332">
        <v>11</v>
      </c>
      <c r="U50" s="332"/>
      <c r="V50" s="332">
        <v>12</v>
      </c>
      <c r="W50" s="332"/>
      <c r="X50" s="332"/>
      <c r="Y50" s="332"/>
      <c r="Z50" s="332"/>
      <c r="AA50" s="332">
        <v>13</v>
      </c>
      <c r="AB50" s="332"/>
      <c r="AC50" s="332"/>
      <c r="AD50" s="332"/>
      <c r="AE50" s="332"/>
      <c r="AF50" s="332"/>
    </row>
    <row r="51" spans="1:32" s="64" customFormat="1" ht="20.100000000000001" customHeight="1">
      <c r="A51" s="75"/>
      <c r="B51" s="435"/>
      <c r="C51" s="436"/>
      <c r="D51" s="332"/>
      <c r="E51" s="332"/>
      <c r="F51" s="434"/>
      <c r="G51" s="434"/>
      <c r="H51" s="434"/>
      <c r="I51" s="434"/>
      <c r="J51" s="434"/>
      <c r="K51" s="434"/>
      <c r="L51" s="393"/>
      <c r="M51" s="394"/>
      <c r="N51" s="393">
        <f t="shared" ref="N51:N54" si="9">SUM(P51,R51,T51)</f>
        <v>0</v>
      </c>
      <c r="O51" s="394"/>
      <c r="P51" s="434"/>
      <c r="Q51" s="434"/>
      <c r="R51" s="434"/>
      <c r="S51" s="434"/>
      <c r="T51" s="434"/>
      <c r="U51" s="434"/>
      <c r="V51" s="482"/>
      <c r="W51" s="482"/>
      <c r="X51" s="482"/>
      <c r="Y51" s="482"/>
      <c r="Z51" s="482"/>
      <c r="AA51" s="401"/>
      <c r="AB51" s="401"/>
      <c r="AC51" s="401"/>
      <c r="AD51" s="401"/>
      <c r="AE51" s="401"/>
      <c r="AF51" s="401"/>
    </row>
    <row r="52" spans="1:32" s="64" customFormat="1" ht="20.100000000000001" customHeight="1">
      <c r="A52" s="75"/>
      <c r="B52" s="435"/>
      <c r="C52" s="436"/>
      <c r="D52" s="332"/>
      <c r="E52" s="332"/>
      <c r="F52" s="434"/>
      <c r="G52" s="434"/>
      <c r="H52" s="434"/>
      <c r="I52" s="434"/>
      <c r="J52" s="434"/>
      <c r="K52" s="434"/>
      <c r="L52" s="393"/>
      <c r="M52" s="394"/>
      <c r="N52" s="393">
        <f t="shared" si="9"/>
        <v>0</v>
      </c>
      <c r="O52" s="394"/>
      <c r="P52" s="434"/>
      <c r="Q52" s="434"/>
      <c r="R52" s="434"/>
      <c r="S52" s="434"/>
      <c r="T52" s="434"/>
      <c r="U52" s="434"/>
      <c r="V52" s="482"/>
      <c r="W52" s="482"/>
      <c r="X52" s="482"/>
      <c r="Y52" s="482"/>
      <c r="Z52" s="482"/>
      <c r="AA52" s="401"/>
      <c r="AB52" s="401"/>
      <c r="AC52" s="401"/>
      <c r="AD52" s="401"/>
      <c r="AE52" s="401"/>
      <c r="AF52" s="401"/>
    </row>
    <row r="53" spans="1:32" s="64" customFormat="1" ht="20.100000000000001" customHeight="1">
      <c r="A53" s="75"/>
      <c r="B53" s="435"/>
      <c r="C53" s="436"/>
      <c r="D53" s="332"/>
      <c r="E53" s="332"/>
      <c r="F53" s="434"/>
      <c r="G53" s="434"/>
      <c r="H53" s="434"/>
      <c r="I53" s="434"/>
      <c r="J53" s="434"/>
      <c r="K53" s="434"/>
      <c r="L53" s="393"/>
      <c r="M53" s="394"/>
      <c r="N53" s="393">
        <f t="shared" si="9"/>
        <v>0</v>
      </c>
      <c r="O53" s="394"/>
      <c r="P53" s="434"/>
      <c r="Q53" s="434"/>
      <c r="R53" s="434"/>
      <c r="S53" s="434"/>
      <c r="T53" s="434"/>
      <c r="U53" s="434"/>
      <c r="V53" s="482"/>
      <c r="W53" s="482"/>
      <c r="X53" s="482"/>
      <c r="Y53" s="482"/>
      <c r="Z53" s="482"/>
      <c r="AA53" s="401"/>
      <c r="AB53" s="401"/>
      <c r="AC53" s="401"/>
      <c r="AD53" s="401"/>
      <c r="AE53" s="401"/>
      <c r="AF53" s="401"/>
    </row>
    <row r="54" spans="1:32" s="64" customFormat="1" ht="20.100000000000001" customHeight="1">
      <c r="A54" s="75"/>
      <c r="B54" s="435"/>
      <c r="C54" s="436"/>
      <c r="D54" s="332"/>
      <c r="E54" s="332"/>
      <c r="F54" s="434"/>
      <c r="G54" s="434"/>
      <c r="H54" s="434"/>
      <c r="I54" s="434"/>
      <c r="J54" s="434"/>
      <c r="K54" s="434"/>
      <c r="L54" s="393"/>
      <c r="M54" s="394"/>
      <c r="N54" s="393">
        <f t="shared" si="9"/>
        <v>0</v>
      </c>
      <c r="O54" s="394"/>
      <c r="P54" s="434"/>
      <c r="Q54" s="434"/>
      <c r="R54" s="434"/>
      <c r="S54" s="434"/>
      <c r="T54" s="434"/>
      <c r="U54" s="434"/>
      <c r="V54" s="482"/>
      <c r="W54" s="482"/>
      <c r="X54" s="482"/>
      <c r="Y54" s="482"/>
      <c r="Z54" s="482"/>
      <c r="AA54" s="401"/>
      <c r="AB54" s="401"/>
      <c r="AC54" s="401"/>
      <c r="AD54" s="401"/>
      <c r="AE54" s="401"/>
      <c r="AF54" s="401"/>
    </row>
    <row r="55" spans="1:32" s="64" customFormat="1" ht="24.9" customHeight="1">
      <c r="A55" s="484" t="s">
        <v>50</v>
      </c>
      <c r="B55" s="485"/>
      <c r="C55" s="485"/>
      <c r="D55" s="485"/>
      <c r="E55" s="486"/>
      <c r="F55" s="483">
        <f>SUM(F51:F54)</f>
        <v>0</v>
      </c>
      <c r="G55" s="483"/>
      <c r="H55" s="483">
        <f>SUM(H51:H54)</f>
        <v>0</v>
      </c>
      <c r="I55" s="483"/>
      <c r="J55" s="483">
        <f>SUM(J51:J54)</f>
        <v>0</v>
      </c>
      <c r="K55" s="483"/>
      <c r="L55" s="483">
        <f>SUM(L51:L54)</f>
        <v>0</v>
      </c>
      <c r="M55" s="483"/>
      <c r="N55" s="483">
        <f>SUM(N51:N54)</f>
        <v>0</v>
      </c>
      <c r="O55" s="483"/>
      <c r="P55" s="483">
        <f>SUM(P51:P54)</f>
        <v>0</v>
      </c>
      <c r="Q55" s="483"/>
      <c r="R55" s="483">
        <f>SUM(R51:R54)</f>
        <v>0</v>
      </c>
      <c r="S55" s="483"/>
      <c r="T55" s="483">
        <f>SUM(T51:T54)</f>
        <v>0</v>
      </c>
      <c r="U55" s="483"/>
      <c r="V55" s="488"/>
      <c r="W55" s="488"/>
      <c r="X55" s="488"/>
      <c r="Y55" s="488"/>
      <c r="Z55" s="488"/>
      <c r="AA55" s="404"/>
      <c r="AB55" s="404"/>
      <c r="AC55" s="404"/>
      <c r="AD55" s="404"/>
      <c r="AE55" s="404"/>
      <c r="AF55" s="404"/>
    </row>
    <row r="56" spans="1:32" ht="15" customHeight="1">
      <c r="A56" s="14"/>
      <c r="B56" s="14"/>
      <c r="C56" s="1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32" ht="15" customHeight="1">
      <c r="A57" s="14"/>
      <c r="B57" s="14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32" ht="15" customHeight="1">
      <c r="A58" s="14"/>
      <c r="B58" s="14"/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32" ht="15" customHeight="1">
      <c r="A59" s="14"/>
      <c r="B59" s="14"/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32" ht="27.75" customHeight="1">
      <c r="A60" s="122" t="s">
        <v>486</v>
      </c>
      <c r="B60" s="167"/>
      <c r="C60" s="168"/>
      <c r="D60" s="168"/>
      <c r="E60" s="168"/>
      <c r="F60" s="168"/>
      <c r="G60" s="168"/>
      <c r="H60" s="168"/>
      <c r="I60" s="430" t="s">
        <v>197</v>
      </c>
      <c r="J60" s="430"/>
      <c r="K60" s="168"/>
      <c r="N60" s="169"/>
      <c r="O60" s="431" t="s">
        <v>487</v>
      </c>
      <c r="P60" s="431"/>
      <c r="Q60" s="431"/>
      <c r="R60" s="168"/>
      <c r="S60" s="168"/>
    </row>
    <row r="61" spans="1:32" ht="21">
      <c r="A61" s="23" t="s">
        <v>211</v>
      </c>
      <c r="B61" s="168"/>
      <c r="C61" s="168"/>
      <c r="D61" s="168"/>
      <c r="E61" s="168"/>
      <c r="F61" s="168"/>
      <c r="G61" s="168"/>
      <c r="H61" s="168"/>
      <c r="I61" s="432" t="s">
        <v>488</v>
      </c>
      <c r="J61" s="432"/>
      <c r="K61" s="168"/>
      <c r="N61" s="170"/>
      <c r="O61" s="433" t="s">
        <v>85</v>
      </c>
      <c r="P61" s="433"/>
      <c r="Q61" s="433"/>
      <c r="R61" s="168"/>
      <c r="S61" s="168"/>
    </row>
    <row r="62" spans="1:32" s="3" customFormat="1"/>
    <row r="63" spans="1:32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32" s="423" customFormat="1" ht="38.700000000000003" customHeight="1">
      <c r="A64" s="422" t="s">
        <v>415</v>
      </c>
    </row>
    <row r="65" spans="3:22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3:22">
      <c r="C66" s="14"/>
    </row>
    <row r="69" spans="3:22">
      <c r="C69" s="32"/>
    </row>
    <row r="70" spans="3:22">
      <c r="C70" s="32"/>
    </row>
    <row r="71" spans="3:22">
      <c r="C71" s="32"/>
    </row>
    <row r="72" spans="3:22">
      <c r="C72" s="32"/>
    </row>
    <row r="73" spans="3:22">
      <c r="C73" s="32"/>
    </row>
    <row r="74" spans="3:22">
      <c r="C74" s="32"/>
    </row>
    <row r="75" spans="3:22">
      <c r="C75" s="32"/>
    </row>
  </sheetData>
  <mergeCells count="237">
    <mergeCell ref="X18:Z18"/>
    <mergeCell ref="X19:Z19"/>
    <mergeCell ref="R20:T20"/>
    <mergeCell ref="R19:T19"/>
    <mergeCell ref="U20:W20"/>
    <mergeCell ref="X17:Z17"/>
    <mergeCell ref="D19:G19"/>
    <mergeCell ref="B35:L35"/>
    <mergeCell ref="S27:S28"/>
    <mergeCell ref="T27:T28"/>
    <mergeCell ref="Q27:Q28"/>
    <mergeCell ref="R27:R28"/>
    <mergeCell ref="B37:L37"/>
    <mergeCell ref="B38:L38"/>
    <mergeCell ref="A13:A15"/>
    <mergeCell ref="D13:G15"/>
    <mergeCell ref="H13:O15"/>
    <mergeCell ref="B30:L30"/>
    <mergeCell ref="P13:Q15"/>
    <mergeCell ref="R13:Z13"/>
    <mergeCell ref="B13:C15"/>
    <mergeCell ref="B16:C16"/>
    <mergeCell ref="O27:O28"/>
    <mergeCell ref="X20:Z20"/>
    <mergeCell ref="X21:Z21"/>
    <mergeCell ref="H17:O17"/>
    <mergeCell ref="H18:O18"/>
    <mergeCell ref="D20:G20"/>
    <mergeCell ref="X16:Z16"/>
    <mergeCell ref="U16:W16"/>
    <mergeCell ref="B20:C20"/>
    <mergeCell ref="H19:O19"/>
    <mergeCell ref="P16:Q16"/>
    <mergeCell ref="P19:Q19"/>
    <mergeCell ref="D16:G16"/>
    <mergeCell ref="U26:X26"/>
    <mergeCell ref="A55:E55"/>
    <mergeCell ref="T53:U53"/>
    <mergeCell ref="V53:Z53"/>
    <mergeCell ref="G7:Q7"/>
    <mergeCell ref="D17:G17"/>
    <mergeCell ref="D18:G18"/>
    <mergeCell ref="A8:Q8"/>
    <mergeCell ref="P17:Q17"/>
    <mergeCell ref="P18:Q18"/>
    <mergeCell ref="B18:C18"/>
    <mergeCell ref="T52:U52"/>
    <mergeCell ref="V52:Z52"/>
    <mergeCell ref="L51:M51"/>
    <mergeCell ref="H51:I51"/>
    <mergeCell ref="V51:Z51"/>
    <mergeCell ref="P49:Q49"/>
    <mergeCell ref="R49:S49"/>
    <mergeCell ref="V50:Z50"/>
    <mergeCell ref="T49:U49"/>
    <mergeCell ref="T55:U55"/>
    <mergeCell ref="V55:Z55"/>
    <mergeCell ref="J55:K55"/>
    <mergeCell ref="P55:Q55"/>
    <mergeCell ref="F55:G55"/>
    <mergeCell ref="T54:U54"/>
    <mergeCell ref="V54:Z54"/>
    <mergeCell ref="R55:S55"/>
    <mergeCell ref="H55:I55"/>
    <mergeCell ref="L55:M55"/>
    <mergeCell ref="N55:O55"/>
    <mergeCell ref="H54:I54"/>
    <mergeCell ref="J54:K54"/>
    <mergeCell ref="R54:S54"/>
    <mergeCell ref="L54:M54"/>
    <mergeCell ref="N54:O54"/>
    <mergeCell ref="P54:Q54"/>
    <mergeCell ref="AD7:AF7"/>
    <mergeCell ref="AA7:AC7"/>
    <mergeCell ref="AA8:AC8"/>
    <mergeCell ref="Z25:AB25"/>
    <mergeCell ref="X14:Z15"/>
    <mergeCell ref="Q26:T26"/>
    <mergeCell ref="Y27:Y28"/>
    <mergeCell ref="Z27:Z28"/>
    <mergeCell ref="U14:W15"/>
    <mergeCell ref="U17:W17"/>
    <mergeCell ref="U18:W18"/>
    <mergeCell ref="U19:W19"/>
    <mergeCell ref="AD8:AF8"/>
    <mergeCell ref="AD21:AF21"/>
    <mergeCell ref="AD16:AF16"/>
    <mergeCell ref="AD17:AF17"/>
    <mergeCell ref="AD18:AF18"/>
    <mergeCell ref="AA21:AC21"/>
    <mergeCell ref="AD20:AF20"/>
    <mergeCell ref="R21:T21"/>
    <mergeCell ref="U21:W21"/>
    <mergeCell ref="R8:T8"/>
    <mergeCell ref="AD19:AF19"/>
    <mergeCell ref="P20:Q20"/>
    <mergeCell ref="AA16:AC16"/>
    <mergeCell ref="A3:A4"/>
    <mergeCell ref="U4:W4"/>
    <mergeCell ref="X4:Z4"/>
    <mergeCell ref="R5:T5"/>
    <mergeCell ref="U5:W5"/>
    <mergeCell ref="G3:Q4"/>
    <mergeCell ref="X8:Z8"/>
    <mergeCell ref="R4:T4"/>
    <mergeCell ref="R6:T6"/>
    <mergeCell ref="B3:C4"/>
    <mergeCell ref="B5:C5"/>
    <mergeCell ref="D7:F7"/>
    <mergeCell ref="U7:W7"/>
    <mergeCell ref="X7:Z7"/>
    <mergeCell ref="B6:C6"/>
    <mergeCell ref="B7:C7"/>
    <mergeCell ref="U8:W8"/>
    <mergeCell ref="X6:Z6"/>
    <mergeCell ref="U6:W6"/>
    <mergeCell ref="R7:T7"/>
    <mergeCell ref="AD5:AF5"/>
    <mergeCell ref="AA5:AC5"/>
    <mergeCell ref="D3:F4"/>
    <mergeCell ref="G6:Q6"/>
    <mergeCell ref="X5:Z5"/>
    <mergeCell ref="AD3:AF4"/>
    <mergeCell ref="AA3:AC4"/>
    <mergeCell ref="R3:Z3"/>
    <mergeCell ref="D5:F5"/>
    <mergeCell ref="D6:F6"/>
    <mergeCell ref="G5:Q5"/>
    <mergeCell ref="AD6:AF6"/>
    <mergeCell ref="AA6:AC6"/>
    <mergeCell ref="AA17:AC17"/>
    <mergeCell ref="AA18:AC18"/>
    <mergeCell ref="AA19:AC19"/>
    <mergeCell ref="AD13:AF15"/>
    <mergeCell ref="AA13:AC15"/>
    <mergeCell ref="AA20:AC20"/>
    <mergeCell ref="A47:A49"/>
    <mergeCell ref="A21:Q21"/>
    <mergeCell ref="B29:L29"/>
    <mergeCell ref="AC26:AF26"/>
    <mergeCell ref="AD27:AD28"/>
    <mergeCell ref="AE27:AE28"/>
    <mergeCell ref="AF27:AF28"/>
    <mergeCell ref="Y26:AB26"/>
    <mergeCell ref="V27:V28"/>
    <mergeCell ref="AD25:AF25"/>
    <mergeCell ref="AA27:AA28"/>
    <mergeCell ref="AB27:AB28"/>
    <mergeCell ref="B19:C19"/>
    <mergeCell ref="P27:P28"/>
    <mergeCell ref="M27:M28"/>
    <mergeCell ref="N27:N28"/>
    <mergeCell ref="F47:G49"/>
    <mergeCell ref="U27:U28"/>
    <mergeCell ref="F50:G50"/>
    <mergeCell ref="D47:E49"/>
    <mergeCell ref="B50:C50"/>
    <mergeCell ref="R14:T15"/>
    <mergeCell ref="H16:O16"/>
    <mergeCell ref="R16:T16"/>
    <mergeCell ref="R17:T17"/>
    <mergeCell ref="R18:T18"/>
    <mergeCell ref="A41:L41"/>
    <mergeCell ref="L48:M49"/>
    <mergeCell ref="H47:I49"/>
    <mergeCell ref="B31:L31"/>
    <mergeCell ref="A42:L42"/>
    <mergeCell ref="D50:E50"/>
    <mergeCell ref="B47:C49"/>
    <mergeCell ref="B26:L28"/>
    <mergeCell ref="M26:P26"/>
    <mergeCell ref="H20:O20"/>
    <mergeCell ref="L50:M50"/>
    <mergeCell ref="H50:I50"/>
    <mergeCell ref="B17:C17"/>
    <mergeCell ref="B32:L32"/>
    <mergeCell ref="B33:L33"/>
    <mergeCell ref="N48:O49"/>
    <mergeCell ref="J47:K49"/>
    <mergeCell ref="L47:U47"/>
    <mergeCell ref="R51:S51"/>
    <mergeCell ref="J50:K50"/>
    <mergeCell ref="P51:Q51"/>
    <mergeCell ref="P48:U48"/>
    <mergeCell ref="N50:O50"/>
    <mergeCell ref="P50:Q50"/>
    <mergeCell ref="T51:U51"/>
    <mergeCell ref="N51:O51"/>
    <mergeCell ref="R50:S50"/>
    <mergeCell ref="T50:U50"/>
    <mergeCell ref="J51:K51"/>
    <mergeCell ref="R53:S53"/>
    <mergeCell ref="L53:M53"/>
    <mergeCell ref="N53:O53"/>
    <mergeCell ref="R52:S52"/>
    <mergeCell ref="P53:Q53"/>
    <mergeCell ref="H53:I53"/>
    <mergeCell ref="J52:K52"/>
    <mergeCell ref="L52:M52"/>
    <mergeCell ref="N52:O52"/>
    <mergeCell ref="P52:Q52"/>
    <mergeCell ref="H52:I52"/>
    <mergeCell ref="J53:K53"/>
    <mergeCell ref="B52:C52"/>
    <mergeCell ref="B51:C51"/>
    <mergeCell ref="D53:E53"/>
    <mergeCell ref="B53:C53"/>
    <mergeCell ref="B54:C54"/>
    <mergeCell ref="F52:G52"/>
    <mergeCell ref="D51:E51"/>
    <mergeCell ref="F51:G51"/>
    <mergeCell ref="D52:E52"/>
    <mergeCell ref="F54:G54"/>
    <mergeCell ref="B40:L40"/>
    <mergeCell ref="B39:L39"/>
    <mergeCell ref="B36:L36"/>
    <mergeCell ref="B34:L34"/>
    <mergeCell ref="A64:XFD64"/>
    <mergeCell ref="AA47:AF49"/>
    <mergeCell ref="AD46:AF46"/>
    <mergeCell ref="W27:W28"/>
    <mergeCell ref="X27:X28"/>
    <mergeCell ref="AC27:AC28"/>
    <mergeCell ref="V47:Z49"/>
    <mergeCell ref="A26:A28"/>
    <mergeCell ref="AA54:AF54"/>
    <mergeCell ref="AA55:AF55"/>
    <mergeCell ref="I60:J60"/>
    <mergeCell ref="O60:Q60"/>
    <mergeCell ref="I61:J61"/>
    <mergeCell ref="O61:Q61"/>
    <mergeCell ref="AA52:AF52"/>
    <mergeCell ref="AA53:AF53"/>
    <mergeCell ref="AA50:AF50"/>
    <mergeCell ref="AA51:AF51"/>
    <mergeCell ref="F53:G53"/>
    <mergeCell ref="D54:E54"/>
  </mergeCells>
  <phoneticPr fontId="3" type="noConversion"/>
  <pageMargins left="0.51181102362204722" right="0.19685039370078741" top="0.39370078740157483" bottom="0.39370078740157483" header="0.31496062992125984" footer="0.31496062992125984"/>
  <pageSetup paperSize="9" scale="36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X21:Z21 AE42:AF42 R8 U8:Z8 M41:N41 F55:U55" formulaRange="1"/>
    <ignoredError sqref="AA42:AB42 O42 M42 P42:Q42 S42:U42 W42:Y42" evalError="1" formulaRange="1"/>
    <ignoredError sqref="AC42:AD42 N42 R42 V42 Z42" evalError="1"/>
    <ignoredError sqref="Q41:R41 Y41:Z41" evalError="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nachpev</cp:lastModifiedBy>
  <cp:lastPrinted>2022-02-21T08:34:40Z</cp:lastPrinted>
  <dcterms:created xsi:type="dcterms:W3CDTF">2003-03-13T16:00:22Z</dcterms:created>
  <dcterms:modified xsi:type="dcterms:W3CDTF">2023-05-09T08:17:41Z</dcterms:modified>
</cp:coreProperties>
</file>