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9630" tabRatio="812" firstSheet="89" activeTab="96"/>
  </bookViews>
  <sheets>
    <sheet name="пров. Д. Самоквасова-6" sheetId="97" r:id="rId1"/>
    <sheet name="пров. Д. Самоквасова-5" sheetId="96" r:id="rId2"/>
    <sheet name="пров. Д. Самоквасова-4" sheetId="95" r:id="rId3"/>
    <sheet name="пров. Д. Самоквасова-3" sheetId="94" r:id="rId4"/>
    <sheet name="пров. Д. Самоквасова-2" sheetId="93" r:id="rId5"/>
    <sheet name="пров. Д. Самоквасова-1" sheetId="92" r:id="rId6"/>
    <sheet name="пр.Попова-12" sheetId="91" r:id="rId7"/>
    <sheet name="вул. Чудінова-5" sheetId="90" r:id="rId8"/>
    <sheet name="вул. Чудінова-4" sheetId="89" r:id="rId9"/>
    <sheet name="вул. Чудінова-3" sheetId="88" r:id="rId10"/>
    <sheet name="вул. Чудінова-2" sheetId="87" r:id="rId11"/>
    <sheet name="вул. Чудінова-1" sheetId="86" r:id="rId12"/>
    <sheet name="вул. Цiолковського-4" sheetId="85" r:id="rId13"/>
    <sheet name="вул. Цiолковського-2" sheetId="84" r:id="rId14"/>
    <sheet name="вул. Цiолковського-12" sheetId="83" r:id="rId15"/>
    <sheet name="вул. Цiолковського-11" sheetId="82" r:id="rId16"/>
    <sheet name="вул. Харківська-12" sheetId="81" r:id="rId17"/>
    <sheet name="вул. Харківська-10" sheetId="80" r:id="rId18"/>
    <sheet name="вул. Харківська-8" sheetId="79" r:id="rId19"/>
    <sheet name="вул. Харківська-6" sheetId="78" r:id="rId20"/>
    <sheet name="вул. Харківська-2" sheetId="77" r:id="rId21"/>
    <sheet name="вул. Текстильникiв-9а" sheetId="76" r:id="rId22"/>
    <sheet name="вул. Текстильникiв-9" sheetId="75" r:id="rId23"/>
    <sheet name="вул. Текстильникiв-8" sheetId="74" r:id="rId24"/>
    <sheet name="вул. Текстильникiв-6" sheetId="73" r:id="rId25"/>
    <sheet name="вул. Текстильникiв-41" sheetId="72" r:id="rId26"/>
    <sheet name="вул. Текстильникiв-4" sheetId="71" r:id="rId27"/>
    <sheet name="вул. Текстильникiв-39" sheetId="70" r:id="rId28"/>
    <sheet name="вул. Текстильникiв-34" sheetId="99" r:id="rId29"/>
    <sheet name="вул. Текстильникiв-33" sheetId="69" r:id="rId30"/>
    <sheet name="вул. Текстильникiв-31" sheetId="68" r:id="rId31"/>
    <sheet name="вул. Текстильникiв-3" sheetId="67" r:id="rId32"/>
    <sheet name="вул. Текстильникiв-25а" sheetId="66" r:id="rId33"/>
    <sheet name="вул. Текстильникiв-24а" sheetId="65" r:id="rId34"/>
    <sheet name="вул. Текстильникiв-24" sheetId="64" r:id="rId35"/>
    <sheet name="вул. Текстильникiв-23" sheetId="63" r:id="rId36"/>
    <sheet name="вул. Текстильникiв-22" sheetId="62" r:id="rId37"/>
    <sheet name="вул. Текстильникiв-21" sheetId="61" r:id="rId38"/>
    <sheet name="вул. Текстильникiв-20" sheetId="60" r:id="rId39"/>
    <sheet name="вул. Текстильникiв-19" sheetId="59" r:id="rId40"/>
    <sheet name="вул. Текстильникiв-18" sheetId="58" r:id="rId41"/>
    <sheet name="вул. Текстильникiв-17-43" sheetId="57" r:id="rId42"/>
    <sheet name="вул. Текстильникiв-16" sheetId="56" r:id="rId43"/>
    <sheet name="вул. Текстильникiв-15-A" sheetId="98" r:id="rId44"/>
    <sheet name="вул. Текстильникiв-15" sheetId="55" r:id="rId45"/>
    <sheet name="вул. Текстильникiв-14" sheetId="54" r:id="rId46"/>
    <sheet name="вул. Текстильникiв-13" sheetId="53" r:id="rId47"/>
    <sheet name="вул. Текстильникiв-12" sheetId="52" r:id="rId48"/>
    <sheet name="вул. Текстильникiв-11б" sheetId="51" r:id="rId49"/>
    <sheet name="вул. Текстильникiв-11а" sheetId="50" r:id="rId50"/>
    <sheet name="вул. Попова-31в" sheetId="49" r:id="rId51"/>
    <sheet name="вул. Попова-31б" sheetId="48" r:id="rId52"/>
    <sheet name="вул. Попова-31а" sheetId="47" r:id="rId53"/>
    <sheet name="вул. Попова-29а" sheetId="46" r:id="rId54"/>
    <sheet name="вул. Попова-19-2" sheetId="45" r:id="rId55"/>
    <sheet name="вул. Попова-16" sheetId="44" r:id="rId56"/>
    <sheet name="вул. Попова-29" sheetId="43" r:id="rId57"/>
    <sheet name="вул. Попова-13" sheetId="42" r:id="rId58"/>
    <sheet name="вул. Попова-11" sheetId="41" r:id="rId59"/>
    <sheet name="вул. Попова-10" sheetId="40" r:id="rId60"/>
    <sheet name="вул. Івана Мазепи-78а" sheetId="39" r:id="rId61"/>
    <sheet name="вул. Івана Мазепи-72а" sheetId="38" r:id="rId62"/>
    <sheet name="вул. Івана Мазепи-68б" sheetId="37" r:id="rId63"/>
    <sheet name="вул. Івана Мазепи-68а" sheetId="36" r:id="rId64"/>
    <sheet name="вул. Івана Мазепи-68" sheetId="35" r:id="rId65"/>
    <sheet name="вул. Заньковецької-64" sheetId="34" r:id="rId66"/>
    <sheet name="вул. Заньковецької-62" sheetId="33" r:id="rId67"/>
    <sheet name="вул. Заньковецької-60" sheetId="32" r:id="rId68"/>
    <sheet name="вул. Заньковецької-43" sheetId="31" r:id="rId69"/>
    <sheet name="вул. Заньковецької-30" sheetId="30" r:id="rId70"/>
    <sheet name="вул. Заньковецької-28" sheetId="29" r:id="rId71"/>
    <sheet name="вул. Дніпровська-35" sheetId="28" r:id="rId72"/>
    <sheet name="вул. Дніпровська-31" sheetId="27" r:id="rId73"/>
    <sheet name="вул. Дніпровська-4 " sheetId="26" r:id="rId74"/>
    <sheet name="вул. Дніпровська-10 " sheetId="25" r:id="rId75"/>
    <sheet name="вул. Дніпровська-6" sheetId="24" r:id="rId76"/>
    <sheet name="вул. Дніпровська-2" sheetId="23" r:id="rId77"/>
    <sheet name="вул.Д.Самоквасова-9" sheetId="22" r:id="rId78"/>
    <sheet name="вул.Д.Самоквасова-7а" sheetId="21" r:id="rId79"/>
    <sheet name="вул.Д.Самоквасова-7" sheetId="20" r:id="rId80"/>
    <sheet name="вул.Д.Самоквасова-6а" sheetId="19" r:id="rId81"/>
    <sheet name="вул.Д.Самоквасова-6" sheetId="18" r:id="rId82"/>
    <sheet name="вул.Д.Самоквасова-5" sheetId="17" r:id="rId83"/>
    <sheet name="вул.Д.Самоквасова-3" sheetId="16" r:id="rId84"/>
    <sheet name="вул.Д.Самоквасова-23" sheetId="15" r:id="rId85"/>
    <sheet name="вул.Д.Самоквасова-21" sheetId="14" r:id="rId86"/>
    <sheet name="вул.Д.Самоквасова-19" sheetId="13" r:id="rId87"/>
    <sheet name="вул.Д.Самоквасова-18" sheetId="12" r:id="rId88"/>
    <sheet name="вул.Д.Самоквасова-17" sheetId="11" r:id="rId89"/>
    <sheet name="вул.Д.Самоквасова-16" sheetId="10" r:id="rId90"/>
    <sheet name="вул.Д.Самоквасова-15" sheetId="9" r:id="rId91"/>
    <sheet name="вул. Д. Самоквасова-13" sheetId="8" r:id="rId92"/>
    <sheet name="вул. Д. Самоквасова-11" sheetId="7" r:id="rId93"/>
    <sheet name="вул.Д.Самоквасова-10" sheetId="5" r:id="rId94"/>
    <sheet name="вул.Д.Самоквасова-1" sheetId="4" r:id="rId95"/>
    <sheet name="17% Управителю (З ПДВ)" sheetId="2" r:id="rId96"/>
    <sheet name="Управителю (Форма)" sheetId="3" r:id="rId97"/>
    <sheet name="Лист1" sheetId="1" r:id="rId98"/>
    <sheet name="новыйй" sheetId="100" r:id="rId99"/>
  </sheets>
  <definedNames>
    <definedName name="_xlnm.Print_Titles" localSheetId="96">'Управителю (Форма)'!$A:$C</definedName>
  </definedNames>
  <calcPr calcId="124519" refMode="R1C1" fullPrecision="0"/>
</workbook>
</file>

<file path=xl/calcChain.xml><?xml version="1.0" encoding="utf-8"?>
<calcChain xmlns="http://schemas.openxmlformats.org/spreadsheetml/2006/main">
  <c r="CT43" i="2"/>
  <c r="CS43"/>
  <c r="CR43"/>
  <c r="CQ43"/>
  <c r="CP43"/>
  <c r="CO43"/>
  <c r="CM43"/>
  <c r="CL43"/>
  <c r="CK43"/>
  <c r="CJ43"/>
  <c r="CI43"/>
  <c r="CH44"/>
  <c r="CH43"/>
  <c r="CG44"/>
  <c r="CG43"/>
  <c r="CF43"/>
  <c r="CD44"/>
  <c r="CD43"/>
  <c r="CC44"/>
  <c r="CC43"/>
  <c r="CB44"/>
  <c r="CB43"/>
  <c r="CA44"/>
  <c r="CA43"/>
  <c r="BZ44"/>
  <c r="BZ43"/>
  <c r="BY44"/>
  <c r="BY43"/>
  <c r="BX44"/>
  <c r="BX43"/>
  <c r="BW43"/>
  <c r="BV43"/>
  <c r="BU43"/>
  <c r="BT43"/>
  <c r="BS43"/>
  <c r="BR43"/>
  <c r="BQ43"/>
  <c r="BP43"/>
  <c r="BO43"/>
  <c r="BN43"/>
  <c r="BM44"/>
  <c r="BM43"/>
  <c r="BL43"/>
  <c r="BK43"/>
  <c r="BJ43"/>
  <c r="BI43"/>
  <c r="BH43"/>
  <c r="BG43"/>
  <c r="BF43"/>
  <c r="BE43"/>
  <c r="BD43"/>
  <c r="BC44"/>
  <c r="BC43"/>
  <c r="BB44"/>
  <c r="BB43"/>
  <c r="BA43"/>
  <c r="AZ43"/>
  <c r="AY43"/>
  <c r="AX44"/>
  <c r="AX43"/>
  <c r="AW44"/>
  <c r="AW43"/>
  <c r="AV44"/>
  <c r="AV43"/>
  <c r="AU44"/>
  <c r="AU43"/>
  <c r="AT44"/>
  <c r="AT43"/>
  <c r="AS43"/>
  <c r="AP43"/>
  <c r="AO43"/>
  <c r="AN43"/>
  <c r="AL43"/>
  <c r="AK44"/>
  <c r="AK43"/>
  <c r="AJ43"/>
  <c r="AI43"/>
  <c r="AH43"/>
  <c r="AC44"/>
  <c r="AC43"/>
  <c r="AB44"/>
  <c r="AB43"/>
  <c r="AA44"/>
  <c r="AA43"/>
  <c r="Z44"/>
  <c r="Z43"/>
  <c r="Y44"/>
  <c r="Y43"/>
  <c r="X44"/>
  <c r="X43"/>
  <c r="W44"/>
  <c r="W43"/>
  <c r="V44"/>
  <c r="V43"/>
  <c r="U43"/>
  <c r="T44"/>
  <c r="T43"/>
  <c r="S43"/>
  <c r="R44"/>
  <c r="R43"/>
  <c r="Q43"/>
  <c r="P43"/>
  <c r="O43"/>
  <c r="N43"/>
  <c r="M43"/>
  <c r="L43"/>
  <c r="K43"/>
  <c r="J43"/>
  <c r="I43"/>
  <c r="H43"/>
  <c r="G43"/>
  <c r="F43"/>
  <c r="E44"/>
  <c r="E43"/>
  <c r="D43"/>
  <c r="AA18" l="1"/>
  <c r="CH18"/>
  <c r="CG18"/>
  <c r="CD18"/>
  <c r="CC18"/>
  <c r="CB18"/>
  <c r="CA18"/>
  <c r="BZ18"/>
  <c r="BY18"/>
  <c r="R17"/>
  <c r="E17"/>
  <c r="CH17"/>
  <c r="CG17"/>
  <c r="CD17"/>
  <c r="CC17"/>
  <c r="CB17"/>
  <c r="CA17"/>
  <c r="BZ17"/>
  <c r="BY17"/>
  <c r="BX17"/>
  <c r="BM17"/>
  <c r="BC17"/>
  <c r="BB17"/>
  <c r="AX17"/>
  <c r="AW17"/>
  <c r="AV17"/>
  <c r="AU17"/>
  <c r="AT17"/>
  <c r="AK17"/>
  <c r="AC17"/>
  <c r="AB17"/>
  <c r="AA17"/>
  <c r="Z17"/>
  <c r="Y17"/>
  <c r="X17"/>
  <c r="W17"/>
  <c r="V17"/>
  <c r="T17"/>
  <c r="T18"/>
  <c r="CT13" l="1"/>
  <c r="CS13"/>
  <c r="CR13"/>
  <c r="CQ13"/>
  <c r="CP13"/>
  <c r="CO13"/>
  <c r="CM14"/>
  <c r="CM13"/>
  <c r="CL14"/>
  <c r="CL13"/>
  <c r="CK14"/>
  <c r="CK13"/>
  <c r="CJ14"/>
  <c r="CJ13"/>
  <c r="CI14"/>
  <c r="CI13"/>
  <c r="CH14"/>
  <c r="CH13"/>
  <c r="CG14"/>
  <c r="CG13"/>
  <c r="CF14"/>
  <c r="CF13"/>
  <c r="CD14"/>
  <c r="CD13"/>
  <c r="CC14"/>
  <c r="CC13"/>
  <c r="CB14"/>
  <c r="CB13"/>
  <c r="CA14"/>
  <c r="CA13"/>
  <c r="BZ14"/>
  <c r="BZ13"/>
  <c r="BY14"/>
  <c r="BY13"/>
  <c r="BX14"/>
  <c r="BX13"/>
  <c r="BW14"/>
  <c r="BW13"/>
  <c r="BV14"/>
  <c r="BV13"/>
  <c r="BU14"/>
  <c r="BU13"/>
  <c r="BT14"/>
  <c r="BT13"/>
  <c r="BS14"/>
  <c r="BS13"/>
  <c r="BR14"/>
  <c r="BR13"/>
  <c r="BQ14"/>
  <c r="BQ13"/>
  <c r="BP14"/>
  <c r="BP13"/>
  <c r="BO14"/>
  <c r="BO13"/>
  <c r="BN15"/>
  <c r="BN14"/>
  <c r="BN13"/>
  <c r="BM14"/>
  <c r="BM13"/>
  <c r="BL14"/>
  <c r="BL13"/>
  <c r="BK14"/>
  <c r="BK13"/>
  <c r="BJ14"/>
  <c r="BJ13"/>
  <c r="BI14"/>
  <c r="BI13"/>
  <c r="BH14"/>
  <c r="BH13"/>
  <c r="BG14"/>
  <c r="BG13"/>
  <c r="BF14"/>
  <c r="BF13"/>
  <c r="BE14"/>
  <c r="BE13"/>
  <c r="BD14"/>
  <c r="BD13"/>
  <c r="BC14"/>
  <c r="BC13"/>
  <c r="BB14"/>
  <c r="BB13"/>
  <c r="BA14"/>
  <c r="BA13"/>
  <c r="AZ14"/>
  <c r="AZ13"/>
  <c r="AY14"/>
  <c r="AY13"/>
  <c r="AX14"/>
  <c r="AX13"/>
  <c r="AW14"/>
  <c r="AW13"/>
  <c r="AV14"/>
  <c r="AV13"/>
  <c r="AU14"/>
  <c r="AU13"/>
  <c r="AT14"/>
  <c r="AT13"/>
  <c r="AS14"/>
  <c r="AS13"/>
  <c r="AP13"/>
  <c r="AO14"/>
  <c r="AO13"/>
  <c r="AN13"/>
  <c r="AL14"/>
  <c r="AL13"/>
  <c r="AK14"/>
  <c r="AK13"/>
  <c r="AJ14"/>
  <c r="AJ13"/>
  <c r="AI14"/>
  <c r="AI13"/>
  <c r="AH14"/>
  <c r="AH13"/>
  <c r="AC14"/>
  <c r="AC13"/>
  <c r="AB14"/>
  <c r="AB13"/>
  <c r="AA14"/>
  <c r="AA13"/>
  <c r="Z14"/>
  <c r="Z13"/>
  <c r="Y14"/>
  <c r="Y13"/>
  <c r="X14"/>
  <c r="X13"/>
  <c r="W14"/>
  <c r="W13"/>
  <c r="V14"/>
  <c r="V13"/>
  <c r="U14"/>
  <c r="U13"/>
  <c r="T14"/>
  <c r="T13"/>
  <c r="S14"/>
  <c r="R14"/>
  <c r="Q14"/>
  <c r="P14"/>
  <c r="O14"/>
  <c r="N14"/>
  <c r="M14"/>
  <c r="L14"/>
  <c r="K14"/>
  <c r="J14"/>
  <c r="I14"/>
  <c r="H14"/>
  <c r="G14"/>
  <c r="F14"/>
  <c r="E14"/>
  <c r="D14"/>
  <c r="S13"/>
  <c r="R13"/>
  <c r="Q13"/>
  <c r="P13"/>
  <c r="O13"/>
  <c r="N13"/>
  <c r="M13"/>
  <c r="L13"/>
  <c r="K13"/>
  <c r="J13"/>
  <c r="I13"/>
  <c r="H13"/>
  <c r="G13"/>
  <c r="F13"/>
  <c r="E13"/>
  <c r="D13"/>
  <c r="CU36" i="3"/>
  <c r="CU37"/>
  <c r="CU38"/>
  <c r="CU39"/>
  <c r="CU40"/>
  <c r="CU41"/>
  <c r="CU34"/>
  <c r="CU35"/>
  <c r="CT32" i="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T29"/>
  <c r="CS29"/>
  <c r="CR29"/>
  <c r="CQ29"/>
  <c r="CP29"/>
  <c r="CO29"/>
  <c r="CM29"/>
  <c r="CL29"/>
  <c r="CK29"/>
  <c r="CJ29"/>
  <c r="CI29"/>
  <c r="CH29"/>
  <c r="CG29"/>
  <c r="CF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P29"/>
  <c r="AO29"/>
  <c r="AN29"/>
  <c r="AL29"/>
  <c r="AK29"/>
  <c r="AJ29"/>
  <c r="AI29"/>
  <c r="AH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D11"/>
  <c r="CD10"/>
  <c r="CC11"/>
  <c r="CC10"/>
  <c r="CB11"/>
  <c r="CB10"/>
  <c r="CA11"/>
  <c r="CA10"/>
  <c r="BZ11"/>
  <c r="BZ10"/>
  <c r="AS11"/>
  <c r="AS10"/>
  <c r="AP11"/>
  <c r="AP10"/>
  <c r="AO11"/>
  <c r="AO10"/>
  <c r="AN11"/>
  <c r="AN10"/>
  <c r="AC11"/>
  <c r="AC10"/>
  <c r="AB11"/>
  <c r="AB10"/>
  <c r="AA11"/>
  <c r="AA10"/>
  <c r="Z11"/>
  <c r="Z10"/>
  <c r="Y11"/>
  <c r="Y10"/>
  <c r="X11"/>
  <c r="X10"/>
  <c r="W11"/>
  <c r="W10"/>
  <c r="V11"/>
  <c r="V10"/>
  <c r="CM31" l="1"/>
  <c r="CL31"/>
  <c r="CK31"/>
  <c r="CJ31"/>
  <c r="CI31"/>
  <c r="CH31"/>
  <c r="CG31"/>
  <c r="CF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P31"/>
  <c r="AO31"/>
  <c r="AN31"/>
  <c r="AL31"/>
  <c r="AK31"/>
  <c r="AJ31"/>
  <c r="AI31"/>
  <c r="AH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S42"/>
  <c r="T42"/>
  <c r="U42"/>
  <c r="V42"/>
  <c r="W42"/>
  <c r="X42"/>
  <c r="Y42"/>
  <c r="Z42"/>
  <c r="AA42"/>
  <c r="AB42"/>
  <c r="AC42"/>
  <c r="G42"/>
  <c r="H42"/>
  <c r="I42"/>
  <c r="J42"/>
  <c r="K42"/>
  <c r="L42"/>
  <c r="M42"/>
  <c r="N42"/>
  <c r="O42"/>
  <c r="P42"/>
  <c r="Q42"/>
  <c r="R42"/>
  <c r="F42"/>
  <c r="E42"/>
  <c r="D31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CM27"/>
  <c r="CH27"/>
  <c r="CG27"/>
  <c r="CF27"/>
  <c r="CD27"/>
  <c r="CC27"/>
  <c r="CB27"/>
  <c r="CA27"/>
  <c r="BZ27"/>
  <c r="BY27"/>
  <c r="BX27"/>
  <c r="BV27"/>
  <c r="BU27"/>
  <c r="BT27"/>
  <c r="BS27"/>
  <c r="BN27"/>
  <c r="BM27"/>
  <c r="BL27"/>
  <c r="BK27"/>
  <c r="BJ27"/>
  <c r="BH27"/>
  <c r="BF27"/>
  <c r="BC27"/>
  <c r="BB27"/>
  <c r="AZ27"/>
  <c r="AX27"/>
  <c r="AW27"/>
  <c r="AS27"/>
  <c r="AO27"/>
  <c r="AL27"/>
  <c r="AK27"/>
  <c r="AJ27"/>
  <c r="AI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I16"/>
  <c r="AJ16"/>
  <c r="AK16"/>
  <c r="AL16"/>
  <c r="AN16"/>
  <c r="AO16"/>
  <c r="AS16"/>
  <c r="AT16"/>
  <c r="AU16"/>
  <c r="AV16"/>
  <c r="AW16"/>
  <c r="AX16"/>
  <c r="AZ16"/>
  <c r="BB16"/>
  <c r="BC16"/>
  <c r="BF16"/>
  <c r="BH16"/>
  <c r="BJ16"/>
  <c r="BK16"/>
  <c r="BL16"/>
  <c r="BM16"/>
  <c r="BN16"/>
  <c r="BS16"/>
  <c r="BT16"/>
  <c r="BU16"/>
  <c r="BV16"/>
  <c r="BX16"/>
  <c r="BY16"/>
  <c r="BZ16"/>
  <c r="CA16"/>
  <c r="CB16"/>
  <c r="CC16"/>
  <c r="CD16"/>
  <c r="CF16"/>
  <c r="CG16"/>
  <c r="CH16"/>
  <c r="CL16"/>
  <c r="CM16"/>
  <c r="E31"/>
  <c r="D42"/>
  <c r="D28"/>
  <c r="D19"/>
  <c r="D16"/>
  <c r="BW42" l="1"/>
  <c r="BV42"/>
  <c r="BU42"/>
  <c r="BT42"/>
  <c r="BS42"/>
  <c r="BR42"/>
  <c r="BQ42"/>
  <c r="BP42"/>
  <c r="BO42"/>
  <c r="BN42"/>
  <c r="BK42"/>
  <c r="BL42"/>
  <c r="BJ42"/>
  <c r="BI42"/>
  <c r="BH42"/>
  <c r="BG42"/>
  <c r="BA30"/>
  <c r="BM42"/>
  <c r="BY42"/>
  <c r="BX42"/>
  <c r="CA42"/>
  <c r="CB42"/>
  <c r="CC42"/>
  <c r="CD42"/>
  <c r="BZ42"/>
  <c r="CG42"/>
  <c r="CH42"/>
  <c r="CF42"/>
  <c r="CL42"/>
  <c r="CM42"/>
  <c r="CK42"/>
  <c r="CJ42"/>
  <c r="CI42"/>
  <c r="CL26"/>
  <c r="CM26"/>
  <c r="AT42"/>
  <c r="AU42"/>
  <c r="AV42"/>
  <c r="AW42"/>
  <c r="AX42"/>
  <c r="AY42"/>
  <c r="AZ42"/>
  <c r="BA42"/>
  <c r="BB42"/>
  <c r="BC42"/>
  <c r="BD42"/>
  <c r="BE42"/>
  <c r="BF42"/>
  <c r="AS42"/>
  <c r="AP42"/>
  <c r="AO42"/>
  <c r="AN42"/>
  <c r="AL42"/>
  <c r="AK42"/>
  <c r="AJ42"/>
  <c r="AI42"/>
  <c r="AH50"/>
  <c r="AH42"/>
  <c r="Z50"/>
  <c r="Y50"/>
  <c r="X50"/>
  <c r="K50"/>
  <c r="L11" i="100" l="1"/>
  <c r="K38"/>
  <c r="H11"/>
  <c r="G28"/>
  <c r="E38"/>
  <c r="D27"/>
  <c r="D26" i="2"/>
  <c r="D9" i="100"/>
  <c r="D10"/>
  <c r="D11"/>
  <c r="D12"/>
  <c r="D13"/>
  <c r="D14"/>
  <c r="D15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J38"/>
  <c r="I38"/>
  <c r="H38"/>
  <c r="G38"/>
  <c r="F38"/>
  <c r="D3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F28"/>
  <c r="E28"/>
  <c r="D28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G11"/>
  <c r="F11"/>
  <c r="E11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CT9"/>
  <c r="CT46" s="1"/>
  <c r="CS9"/>
  <c r="CR9"/>
  <c r="CQ9"/>
  <c r="CP9"/>
  <c r="CP46" s="1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P46" s="1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R46" l="1"/>
  <c r="R47" s="1"/>
  <c r="R48" s="1"/>
  <c r="T46"/>
  <c r="T47" s="1"/>
  <c r="T48" s="1"/>
  <c r="CR46"/>
  <c r="CR47" s="1"/>
  <c r="CR48" s="1"/>
  <c r="CF46"/>
  <c r="CF47" s="1"/>
  <c r="CF48" s="1"/>
  <c r="BR46"/>
  <c r="BR47" s="1"/>
  <c r="BR48" s="1"/>
  <c r="AR46"/>
  <c r="AD46"/>
  <c r="AX46"/>
  <c r="AX47" s="1"/>
  <c r="AX48" s="1"/>
  <c r="BB46"/>
  <c r="BB47" s="1"/>
  <c r="BB48" s="1"/>
  <c r="BD46"/>
  <c r="BD47" s="1"/>
  <c r="BD48" s="1"/>
  <c r="BP46"/>
  <c r="BP47" s="1"/>
  <c r="BP48" s="1"/>
  <c r="BT46"/>
  <c r="BV46"/>
  <c r="BX46"/>
  <c r="BN46"/>
  <c r="BN47" s="1"/>
  <c r="BN48" s="1"/>
  <c r="BL46"/>
  <c r="BL47" s="1"/>
  <c r="BL48" s="1"/>
  <c r="BH46"/>
  <c r="BF46"/>
  <c r="BF47" s="1"/>
  <c r="BF48" s="1"/>
  <c r="BJ46"/>
  <c r="BJ47" s="1"/>
  <c r="BJ48" s="1"/>
  <c r="AZ46"/>
  <c r="AZ47" s="1"/>
  <c r="AZ48" s="1"/>
  <c r="CB46"/>
  <c r="CB47" s="1"/>
  <c r="CB48" s="1"/>
  <c r="BZ46"/>
  <c r="BZ47" s="1"/>
  <c r="BZ48" s="1"/>
  <c r="CD46"/>
  <c r="CD47" s="1"/>
  <c r="CD48" s="1"/>
  <c r="CH46"/>
  <c r="CH47" s="1"/>
  <c r="CH48" s="1"/>
  <c r="CL46"/>
  <c r="CL47" s="1"/>
  <c r="CL48" s="1"/>
  <c r="CJ46"/>
  <c r="CJ47" s="1"/>
  <c r="CJ48" s="1"/>
  <c r="CN46"/>
  <c r="CN47" s="1"/>
  <c r="CN48" s="1"/>
  <c r="AN46"/>
  <c r="AT46"/>
  <c r="AV46"/>
  <c r="AB46"/>
  <c r="AB47" s="1"/>
  <c r="AB48" s="1"/>
  <c r="X46"/>
  <c r="V46"/>
  <c r="V47" s="1"/>
  <c r="V48" s="1"/>
  <c r="N46"/>
  <c r="N47" s="1"/>
  <c r="N48" s="1"/>
  <c r="AL46"/>
  <c r="AL47" s="1"/>
  <c r="AL48" s="1"/>
  <c r="AJ46"/>
  <c r="AJ47" s="1"/>
  <c r="AJ48" s="1"/>
  <c r="AH46"/>
  <c r="AH47" s="1"/>
  <c r="AH48" s="1"/>
  <c r="AF46"/>
  <c r="AF47" s="1"/>
  <c r="AF48" s="1"/>
  <c r="Z46"/>
  <c r="Z47" s="1"/>
  <c r="Z48" s="1"/>
  <c r="P46"/>
  <c r="P47" s="1"/>
  <c r="P48" s="1"/>
  <c r="L46"/>
  <c r="L47" s="1"/>
  <c r="L48" s="1"/>
  <c r="J46"/>
  <c r="J47" s="1"/>
  <c r="J48" s="1"/>
  <c r="H46"/>
  <c r="F46"/>
  <c r="F47" s="1"/>
  <c r="F48" s="1"/>
  <c r="H47"/>
  <c r="H48" s="1"/>
  <c r="X47"/>
  <c r="X48" s="1"/>
  <c r="AD47"/>
  <c r="AD48" s="1"/>
  <c r="AN47"/>
  <c r="AN48" s="1"/>
  <c r="AP47"/>
  <c r="AP48" s="1"/>
  <c r="AR47"/>
  <c r="AR48" s="1"/>
  <c r="AT47"/>
  <c r="AT48" s="1"/>
  <c r="AV47"/>
  <c r="AV48" s="1"/>
  <c r="BH47"/>
  <c r="BH48" s="1"/>
  <c r="BT47"/>
  <c r="BT48" s="1"/>
  <c r="BV47"/>
  <c r="BV48" s="1"/>
  <c r="BX47"/>
  <c r="BX48" s="1"/>
  <c r="BX45" s="1"/>
  <c r="CP47"/>
  <c r="CP48" s="1"/>
  <c r="CT47"/>
  <c r="CT48" s="1"/>
  <c r="E55"/>
  <c r="E51"/>
  <c r="G55"/>
  <c r="G51"/>
  <c r="I55"/>
  <c r="I51"/>
  <c r="K55"/>
  <c r="K51"/>
  <c r="M55"/>
  <c r="M51"/>
  <c r="O55"/>
  <c r="O51"/>
  <c r="Q55"/>
  <c r="Q51"/>
  <c r="S55"/>
  <c r="S51"/>
  <c r="U55"/>
  <c r="U51"/>
  <c r="W55"/>
  <c r="W56" s="1"/>
  <c r="W57" s="1"/>
  <c r="W51"/>
  <c r="W52" s="1"/>
  <c r="W53" s="1"/>
  <c r="Y55"/>
  <c r="Y56" s="1"/>
  <c r="Y57" s="1"/>
  <c r="Y51"/>
  <c r="Y52" s="1"/>
  <c r="Y53" s="1"/>
  <c r="AA55"/>
  <c r="AA56" s="1"/>
  <c r="AA57" s="1"/>
  <c r="AA51"/>
  <c r="AA52" s="1"/>
  <c r="AA53" s="1"/>
  <c r="AC55"/>
  <c r="AC56" s="1"/>
  <c r="AC57" s="1"/>
  <c r="AC51"/>
  <c r="AC52" s="1"/>
  <c r="AC53" s="1"/>
  <c r="AE55"/>
  <c r="AE51"/>
  <c r="AG55"/>
  <c r="AG51"/>
  <c r="AI55"/>
  <c r="AI51"/>
  <c r="AK55"/>
  <c r="AK51"/>
  <c r="AM55"/>
  <c r="AM51"/>
  <c r="AO55"/>
  <c r="AO56" s="1"/>
  <c r="AO57" s="1"/>
  <c r="AO51"/>
  <c r="AO52" s="1"/>
  <c r="AO53" s="1"/>
  <c r="AQ55"/>
  <c r="AQ51"/>
  <c r="AS55"/>
  <c r="AS56" s="1"/>
  <c r="AS57" s="1"/>
  <c r="AS51"/>
  <c r="AS52" s="1"/>
  <c r="AS53" s="1"/>
  <c r="AU55"/>
  <c r="AU51"/>
  <c r="AW55"/>
  <c r="AW51"/>
  <c r="AY55"/>
  <c r="AY51"/>
  <c r="BA55"/>
  <c r="BA51"/>
  <c r="BC55"/>
  <c r="BC51"/>
  <c r="BE55"/>
  <c r="BE51"/>
  <c r="BG55"/>
  <c r="BG51"/>
  <c r="BI55"/>
  <c r="BI51"/>
  <c r="BK55"/>
  <c r="BK51"/>
  <c r="BM55"/>
  <c r="BM51"/>
  <c r="BO55"/>
  <c r="BO51"/>
  <c r="BQ55"/>
  <c r="BQ51"/>
  <c r="BS55"/>
  <c r="BS51"/>
  <c r="BU55"/>
  <c r="BU51"/>
  <c r="BW55"/>
  <c r="BW51"/>
  <c r="BY55"/>
  <c r="BY51"/>
  <c r="CA55"/>
  <c r="CA56" s="1"/>
  <c r="CA57" s="1"/>
  <c r="CA51"/>
  <c r="CA52" s="1"/>
  <c r="CA53" s="1"/>
  <c r="CC55"/>
  <c r="CC56" s="1"/>
  <c r="CC57" s="1"/>
  <c r="CC51"/>
  <c r="CC52" s="1"/>
  <c r="CC53" s="1"/>
  <c r="CE55"/>
  <c r="CE51"/>
  <c r="CG55"/>
  <c r="CG51"/>
  <c r="CI55"/>
  <c r="CI51"/>
  <c r="CK55"/>
  <c r="CK51"/>
  <c r="CM55"/>
  <c r="CM51"/>
  <c r="CO55"/>
  <c r="CO51"/>
  <c r="CQ55"/>
  <c r="CQ51"/>
  <c r="CS55"/>
  <c r="CS51"/>
  <c r="E41"/>
  <c r="E42" s="1"/>
  <c r="E43" s="1"/>
  <c r="E49" s="1"/>
  <c r="G41"/>
  <c r="G42" s="1"/>
  <c r="G43" s="1"/>
  <c r="G49" s="1"/>
  <c r="I41"/>
  <c r="I42" s="1"/>
  <c r="I43" s="1"/>
  <c r="I49" s="1"/>
  <c r="K41"/>
  <c r="K42" s="1"/>
  <c r="K43" s="1"/>
  <c r="K49" s="1"/>
  <c r="M41"/>
  <c r="M42" s="1"/>
  <c r="M43" s="1"/>
  <c r="M49" s="1"/>
  <c r="O41"/>
  <c r="O42" s="1"/>
  <c r="O43" s="1"/>
  <c r="O49" s="1"/>
  <c r="Q41"/>
  <c r="Q42" s="1"/>
  <c r="Q43" s="1"/>
  <c r="Q49" s="1"/>
  <c r="S41"/>
  <c r="S42" s="1"/>
  <c r="S43" s="1"/>
  <c r="S49" s="1"/>
  <c r="U41"/>
  <c r="U42" s="1"/>
  <c r="U43" s="1"/>
  <c r="U49" s="1"/>
  <c r="W41"/>
  <c r="W42" s="1"/>
  <c r="W43" s="1"/>
  <c r="W49" s="1"/>
  <c r="Y41"/>
  <c r="Y42" s="1"/>
  <c r="Y43" s="1"/>
  <c r="Y49" s="1"/>
  <c r="AA41"/>
  <c r="AA42" s="1"/>
  <c r="AA43" s="1"/>
  <c r="AA49" s="1"/>
  <c r="AC41"/>
  <c r="AC42" s="1"/>
  <c r="AC43" s="1"/>
  <c r="AC49" s="1"/>
  <c r="AE41"/>
  <c r="AE42" s="1"/>
  <c r="AE43" s="1"/>
  <c r="AE49" s="1"/>
  <c r="AG41"/>
  <c r="AG42" s="1"/>
  <c r="AG43" s="1"/>
  <c r="AG49" s="1"/>
  <c r="AI41"/>
  <c r="AI42" s="1"/>
  <c r="AI43" s="1"/>
  <c r="AI49" s="1"/>
  <c r="AK41"/>
  <c r="AK42" s="1"/>
  <c r="AK43" s="1"/>
  <c r="AK49" s="1"/>
  <c r="AM41"/>
  <c r="AM42" s="1"/>
  <c r="AM43" s="1"/>
  <c r="AM49" s="1"/>
  <c r="AO41"/>
  <c r="AO42" s="1"/>
  <c r="AO43" s="1"/>
  <c r="AO49" s="1"/>
  <c r="AQ41"/>
  <c r="AQ42" s="1"/>
  <c r="AQ43" s="1"/>
  <c r="AQ49" s="1"/>
  <c r="AS41"/>
  <c r="AS42" s="1"/>
  <c r="AS43" s="1"/>
  <c r="AS49" s="1"/>
  <c r="AU41"/>
  <c r="AU42" s="1"/>
  <c r="AU43" s="1"/>
  <c r="AU49" s="1"/>
  <c r="AW41"/>
  <c r="AW42" s="1"/>
  <c r="AW43" s="1"/>
  <c r="AW49" s="1"/>
  <c r="AY41"/>
  <c r="AY42" s="1"/>
  <c r="AY43" s="1"/>
  <c r="AY49" s="1"/>
  <c r="BA41"/>
  <c r="BA42" s="1"/>
  <c r="BA43" s="1"/>
  <c r="BA49" s="1"/>
  <c r="BC41"/>
  <c r="BC42" s="1"/>
  <c r="BC43" s="1"/>
  <c r="BC49" s="1"/>
  <c r="BE41"/>
  <c r="BE42" s="1"/>
  <c r="BE43" s="1"/>
  <c r="BE49" s="1"/>
  <c r="BG41"/>
  <c r="BG42" s="1"/>
  <c r="BG43" s="1"/>
  <c r="BG49" s="1"/>
  <c r="BI41"/>
  <c r="BI42" s="1"/>
  <c r="BI43" s="1"/>
  <c r="BI49" s="1"/>
  <c r="BK41"/>
  <c r="BK42" s="1"/>
  <c r="BK43" s="1"/>
  <c r="BK49" s="1"/>
  <c r="BM41"/>
  <c r="BM42" s="1"/>
  <c r="BM43" s="1"/>
  <c r="BM49" s="1"/>
  <c r="BO41"/>
  <c r="BO42" s="1"/>
  <c r="BO43" s="1"/>
  <c r="BO49" s="1"/>
  <c r="BQ41"/>
  <c r="BQ42" s="1"/>
  <c r="BQ43" s="1"/>
  <c r="BQ49" s="1"/>
  <c r="BS41"/>
  <c r="BS42" s="1"/>
  <c r="BS43" s="1"/>
  <c r="BS49" s="1"/>
  <c r="BU41"/>
  <c r="BU42" s="1"/>
  <c r="BU43" s="1"/>
  <c r="BU49" s="1"/>
  <c r="BW41"/>
  <c r="BW42" s="1"/>
  <c r="BW43" s="1"/>
  <c r="BW49" s="1"/>
  <c r="BY41"/>
  <c r="BY42" s="1"/>
  <c r="BY43" s="1"/>
  <c r="BY49" s="1"/>
  <c r="CA41"/>
  <c r="CA42" s="1"/>
  <c r="CA43" s="1"/>
  <c r="CA49" s="1"/>
  <c r="CC41"/>
  <c r="CC42" s="1"/>
  <c r="CC43" s="1"/>
  <c r="CC49" s="1"/>
  <c r="CE41"/>
  <c r="CE42" s="1"/>
  <c r="CE43" s="1"/>
  <c r="CE49" s="1"/>
  <c r="CG41"/>
  <c r="CG42" s="1"/>
  <c r="CG43" s="1"/>
  <c r="CG49" s="1"/>
  <c r="CI41"/>
  <c r="CI42" s="1"/>
  <c r="CI43" s="1"/>
  <c r="CI49" s="1"/>
  <c r="CK41"/>
  <c r="CK42" s="1"/>
  <c r="CK43" s="1"/>
  <c r="CK49" s="1"/>
  <c r="CM41"/>
  <c r="CM42" s="1"/>
  <c r="CM43" s="1"/>
  <c r="CM49" s="1"/>
  <c r="CO41"/>
  <c r="CO42" s="1"/>
  <c r="CO43" s="1"/>
  <c r="CO49" s="1"/>
  <c r="CQ41"/>
  <c r="CQ42" s="1"/>
  <c r="CQ43" s="1"/>
  <c r="CQ49" s="1"/>
  <c r="CS41"/>
  <c r="CS42" s="1"/>
  <c r="CS43" s="1"/>
  <c r="CS49" s="1"/>
  <c r="E46"/>
  <c r="G46"/>
  <c r="I46"/>
  <c r="K46"/>
  <c r="M46"/>
  <c r="O46"/>
  <c r="Q46"/>
  <c r="S46"/>
  <c r="U46"/>
  <c r="W46"/>
  <c r="Y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K46"/>
  <c r="BM46"/>
  <c r="BO46"/>
  <c r="BQ46"/>
  <c r="BS46"/>
  <c r="BU46"/>
  <c r="BW46"/>
  <c r="BY46"/>
  <c r="CA46"/>
  <c r="CC46"/>
  <c r="CE46"/>
  <c r="CG46"/>
  <c r="CI46"/>
  <c r="CK46"/>
  <c r="CM46"/>
  <c r="CO46"/>
  <c r="CQ46"/>
  <c r="CS46"/>
  <c r="D51"/>
  <c r="D55"/>
  <c r="F55"/>
  <c r="F51"/>
  <c r="H51"/>
  <c r="H55"/>
  <c r="J55"/>
  <c r="J51"/>
  <c r="L51"/>
  <c r="L55"/>
  <c r="N55"/>
  <c r="N51"/>
  <c r="P51"/>
  <c r="P55"/>
  <c r="R55"/>
  <c r="R51"/>
  <c r="T51"/>
  <c r="T55"/>
  <c r="V55"/>
  <c r="V56" s="1"/>
  <c r="V57" s="1"/>
  <c r="V51"/>
  <c r="V52" s="1"/>
  <c r="V53" s="1"/>
  <c r="X51"/>
  <c r="X52" s="1"/>
  <c r="X53" s="1"/>
  <c r="X55"/>
  <c r="X56" s="1"/>
  <c r="X57" s="1"/>
  <c r="Z55"/>
  <c r="Z56" s="1"/>
  <c r="Z57" s="1"/>
  <c r="Z51"/>
  <c r="Z52" s="1"/>
  <c r="Z53" s="1"/>
  <c r="AB51"/>
  <c r="AB52" s="1"/>
  <c r="AB53" s="1"/>
  <c r="AB55"/>
  <c r="AB56" s="1"/>
  <c r="AB57" s="1"/>
  <c r="AD55"/>
  <c r="AD51"/>
  <c r="AF51"/>
  <c r="AF55"/>
  <c r="AH55"/>
  <c r="AH51"/>
  <c r="AJ51"/>
  <c r="AJ55"/>
  <c r="AL55"/>
  <c r="AL51"/>
  <c r="AN51"/>
  <c r="AN52" s="1"/>
  <c r="AN53" s="1"/>
  <c r="AN55"/>
  <c r="AN56" s="1"/>
  <c r="AN57" s="1"/>
  <c r="AP55"/>
  <c r="AP56" s="1"/>
  <c r="AP57" s="1"/>
  <c r="AP51"/>
  <c r="AP52" s="1"/>
  <c r="AP53" s="1"/>
  <c r="AR51"/>
  <c r="AR55"/>
  <c r="AT55"/>
  <c r="AT51"/>
  <c r="AV51"/>
  <c r="AV55"/>
  <c r="AX55"/>
  <c r="AX51"/>
  <c r="AZ51"/>
  <c r="AZ55"/>
  <c r="BB55"/>
  <c r="BB51"/>
  <c r="BD51"/>
  <c r="BD55"/>
  <c r="BF55"/>
  <c r="BF51"/>
  <c r="BH51"/>
  <c r="BH55"/>
  <c r="BJ55"/>
  <c r="BJ51"/>
  <c r="BL51"/>
  <c r="BL55"/>
  <c r="BN55"/>
  <c r="BN51"/>
  <c r="BP51"/>
  <c r="BP55"/>
  <c r="BR55"/>
  <c r="BR51"/>
  <c r="BT51"/>
  <c r="BT55"/>
  <c r="BV55"/>
  <c r="BV51"/>
  <c r="BX51"/>
  <c r="BX55"/>
  <c r="BZ55"/>
  <c r="BZ56" s="1"/>
  <c r="BZ57" s="1"/>
  <c r="BZ51"/>
  <c r="BZ52" s="1"/>
  <c r="BZ53" s="1"/>
  <c r="CB51"/>
  <c r="CB52" s="1"/>
  <c r="CB53" s="1"/>
  <c r="CB55"/>
  <c r="CB56" s="1"/>
  <c r="CB57" s="1"/>
  <c r="CD55"/>
  <c r="CD56" s="1"/>
  <c r="CD57" s="1"/>
  <c r="CD51"/>
  <c r="CD52" s="1"/>
  <c r="CD53" s="1"/>
  <c r="CF51"/>
  <c r="CF55"/>
  <c r="CH55"/>
  <c r="CH51"/>
  <c r="CJ51"/>
  <c r="CJ55"/>
  <c r="CL55"/>
  <c r="CL51"/>
  <c r="CN51"/>
  <c r="CN55"/>
  <c r="CP55"/>
  <c r="CP51"/>
  <c r="CR51"/>
  <c r="CR55"/>
  <c r="CT55"/>
  <c r="CT51"/>
  <c r="D41"/>
  <c r="D42" s="1"/>
  <c r="D43" s="1"/>
  <c r="D49" s="1"/>
  <c r="F41"/>
  <c r="F42" s="1"/>
  <c r="F43" s="1"/>
  <c r="F49" s="1"/>
  <c r="H41"/>
  <c r="H42" s="1"/>
  <c r="H43" s="1"/>
  <c r="H49" s="1"/>
  <c r="J41"/>
  <c r="J42" s="1"/>
  <c r="J43" s="1"/>
  <c r="J49" s="1"/>
  <c r="L41"/>
  <c r="L42" s="1"/>
  <c r="L43" s="1"/>
  <c r="L49" s="1"/>
  <c r="N41"/>
  <c r="N42" s="1"/>
  <c r="N43" s="1"/>
  <c r="N49" s="1"/>
  <c r="P41"/>
  <c r="P42" s="1"/>
  <c r="P43" s="1"/>
  <c r="P49" s="1"/>
  <c r="R41"/>
  <c r="R42" s="1"/>
  <c r="R43" s="1"/>
  <c r="R49" s="1"/>
  <c r="T41"/>
  <c r="T42" s="1"/>
  <c r="T43" s="1"/>
  <c r="T49" s="1"/>
  <c r="V41"/>
  <c r="V42" s="1"/>
  <c r="V43" s="1"/>
  <c r="V49" s="1"/>
  <c r="X41"/>
  <c r="X42" s="1"/>
  <c r="X43" s="1"/>
  <c r="X49" s="1"/>
  <c r="Z41"/>
  <c r="Z42" s="1"/>
  <c r="Z43" s="1"/>
  <c r="Z49" s="1"/>
  <c r="AB41"/>
  <c r="AB42" s="1"/>
  <c r="AB43" s="1"/>
  <c r="AB49" s="1"/>
  <c r="AD41"/>
  <c r="AD42" s="1"/>
  <c r="AD43" s="1"/>
  <c r="AD49" s="1"/>
  <c r="AF41"/>
  <c r="AF42" s="1"/>
  <c r="AF43" s="1"/>
  <c r="AF49" s="1"/>
  <c r="AH41"/>
  <c r="AH42" s="1"/>
  <c r="AH43" s="1"/>
  <c r="AH49" s="1"/>
  <c r="AJ41"/>
  <c r="AJ42" s="1"/>
  <c r="AJ43" s="1"/>
  <c r="AJ49" s="1"/>
  <c r="AL41"/>
  <c r="AL42" s="1"/>
  <c r="AL43" s="1"/>
  <c r="AL49" s="1"/>
  <c r="AN41"/>
  <c r="AN42" s="1"/>
  <c r="AN43" s="1"/>
  <c r="AN49" s="1"/>
  <c r="AP41"/>
  <c r="AP42" s="1"/>
  <c r="AP43" s="1"/>
  <c r="AP49" s="1"/>
  <c r="AR41"/>
  <c r="AR42" s="1"/>
  <c r="AR43" s="1"/>
  <c r="AR49" s="1"/>
  <c r="AT41"/>
  <c r="AT42" s="1"/>
  <c r="AT43" s="1"/>
  <c r="AT49" s="1"/>
  <c r="AV41"/>
  <c r="AV42" s="1"/>
  <c r="AV43" s="1"/>
  <c r="AV49" s="1"/>
  <c r="AX41"/>
  <c r="AX42" s="1"/>
  <c r="AX43" s="1"/>
  <c r="AX49" s="1"/>
  <c r="AZ41"/>
  <c r="AZ42" s="1"/>
  <c r="AZ43" s="1"/>
  <c r="AZ49" s="1"/>
  <c r="BB41"/>
  <c r="BB42" s="1"/>
  <c r="BB43" s="1"/>
  <c r="BB49" s="1"/>
  <c r="BD41"/>
  <c r="BD42" s="1"/>
  <c r="BD43" s="1"/>
  <c r="BD49" s="1"/>
  <c r="BF41"/>
  <c r="BF42" s="1"/>
  <c r="BF43" s="1"/>
  <c r="BF49" s="1"/>
  <c r="BH41"/>
  <c r="BH42" s="1"/>
  <c r="BH43" s="1"/>
  <c r="BH49" s="1"/>
  <c r="BJ41"/>
  <c r="BJ42" s="1"/>
  <c r="BJ43" s="1"/>
  <c r="BJ49" s="1"/>
  <c r="BL41"/>
  <c r="BL42" s="1"/>
  <c r="BL43" s="1"/>
  <c r="BL49" s="1"/>
  <c r="BN41"/>
  <c r="BN42" s="1"/>
  <c r="BN43" s="1"/>
  <c r="BN49" s="1"/>
  <c r="BP41"/>
  <c r="BP42" s="1"/>
  <c r="BP43" s="1"/>
  <c r="BP49" s="1"/>
  <c r="BR41"/>
  <c r="BR42" s="1"/>
  <c r="BR43" s="1"/>
  <c r="BR49" s="1"/>
  <c r="BT41"/>
  <c r="BT42" s="1"/>
  <c r="BT43" s="1"/>
  <c r="BT49" s="1"/>
  <c r="BV41"/>
  <c r="BV42" s="1"/>
  <c r="BV43" s="1"/>
  <c r="BV49" s="1"/>
  <c r="BX41"/>
  <c r="BX42" s="1"/>
  <c r="BX43" s="1"/>
  <c r="BX49" s="1"/>
  <c r="BZ41"/>
  <c r="BZ42" s="1"/>
  <c r="BZ43" s="1"/>
  <c r="BZ49" s="1"/>
  <c r="CB41"/>
  <c r="CB42" s="1"/>
  <c r="CB43" s="1"/>
  <c r="CB49" s="1"/>
  <c r="CD41"/>
  <c r="CD42" s="1"/>
  <c r="CD43" s="1"/>
  <c r="CD49" s="1"/>
  <c r="CF41"/>
  <c r="CF42" s="1"/>
  <c r="CF43" s="1"/>
  <c r="CF49" s="1"/>
  <c r="CH41"/>
  <c r="CH42" s="1"/>
  <c r="CH43" s="1"/>
  <c r="CH49" s="1"/>
  <c r="CJ41"/>
  <c r="CJ42" s="1"/>
  <c r="CJ43" s="1"/>
  <c r="CJ49" s="1"/>
  <c r="CL41"/>
  <c r="CL42" s="1"/>
  <c r="CL43" s="1"/>
  <c r="CL49" s="1"/>
  <c r="CN41"/>
  <c r="CN42" s="1"/>
  <c r="CN43" s="1"/>
  <c r="CN49" s="1"/>
  <c r="CP41"/>
  <c r="CP42" s="1"/>
  <c r="CP43" s="1"/>
  <c r="CP49" s="1"/>
  <c r="CR41"/>
  <c r="CR42" s="1"/>
  <c r="CR43" s="1"/>
  <c r="CR49" s="1"/>
  <c r="CT41"/>
  <c r="CT42" s="1"/>
  <c r="CT43" s="1"/>
  <c r="CT49" s="1"/>
  <c r="D46"/>
  <c r="Z45" l="1"/>
  <c r="L45"/>
  <c r="CF45"/>
  <c r="BZ45"/>
  <c r="BR45"/>
  <c r="BL45"/>
  <c r="BH45"/>
  <c r="AZ45"/>
  <c r="BB45"/>
  <c r="AX45"/>
  <c r="AN45"/>
  <c r="AH45"/>
  <c r="AJ45"/>
  <c r="AL45"/>
  <c r="AB45"/>
  <c r="AD45"/>
  <c r="AF45"/>
  <c r="V45"/>
  <c r="X45"/>
  <c r="P45"/>
  <c r="R45"/>
  <c r="T45"/>
  <c r="J45"/>
  <c r="N45"/>
  <c r="CT45"/>
  <c r="F45"/>
  <c r="H45"/>
  <c r="CN45"/>
  <c r="CP45"/>
  <c r="CR45"/>
  <c r="CH45"/>
  <c r="CJ45"/>
  <c r="CL45"/>
  <c r="CB45"/>
  <c r="CD45"/>
  <c r="BV45"/>
  <c r="BP45"/>
  <c r="BT45"/>
  <c r="BJ45"/>
  <c r="BN45"/>
  <c r="BD45"/>
  <c r="BF45"/>
  <c r="AR45"/>
  <c r="AT45"/>
  <c r="AV45"/>
  <c r="AP45"/>
  <c r="CR56"/>
  <c r="CR57" s="1"/>
  <c r="CN56"/>
  <c r="CN57" s="1"/>
  <c r="CJ56"/>
  <c r="CJ57" s="1"/>
  <c r="BX56"/>
  <c r="BX57" s="1"/>
  <c r="BT56"/>
  <c r="BT57" s="1"/>
  <c r="BT54" s="1"/>
  <c r="BP56"/>
  <c r="BP57" s="1"/>
  <c r="BL56"/>
  <c r="BL57" s="1"/>
  <c r="BH56"/>
  <c r="BH57" s="1"/>
  <c r="BD56"/>
  <c r="BD57" s="1"/>
  <c r="BB52"/>
  <c r="BB53" s="1"/>
  <c r="AX52"/>
  <c r="AX53" s="1"/>
  <c r="AT52"/>
  <c r="AT53" s="1"/>
  <c r="AR56"/>
  <c r="AR57" s="1"/>
  <c r="AJ56"/>
  <c r="AJ57" s="1"/>
  <c r="AF56"/>
  <c r="AF57" s="1"/>
  <c r="AD52"/>
  <c r="AD53" s="1"/>
  <c r="T56"/>
  <c r="T57" s="1"/>
  <c r="P56"/>
  <c r="P57" s="1"/>
  <c r="L56"/>
  <c r="L57" s="1"/>
  <c r="H56"/>
  <c r="H57" s="1"/>
  <c r="F52"/>
  <c r="F53" s="1"/>
  <c r="CS47"/>
  <c r="CS48" s="1"/>
  <c r="CK47"/>
  <c r="CK48" s="1"/>
  <c r="CC47"/>
  <c r="CC48" s="1"/>
  <c r="BY47"/>
  <c r="BY48" s="1"/>
  <c r="BQ47"/>
  <c r="BQ48" s="1"/>
  <c r="BI47"/>
  <c r="BI48" s="1"/>
  <c r="BA47"/>
  <c r="BA48" s="1"/>
  <c r="AS47"/>
  <c r="AS48" s="1"/>
  <c r="AO47"/>
  <c r="AO48" s="1"/>
  <c r="AG47"/>
  <c r="AG48" s="1"/>
  <c r="Y47"/>
  <c r="Y48" s="1"/>
  <c r="U47"/>
  <c r="U48" s="1"/>
  <c r="Q47"/>
  <c r="Q48" s="1"/>
  <c r="M47"/>
  <c r="M48" s="1"/>
  <c r="I47"/>
  <c r="I48" s="1"/>
  <c r="CS52"/>
  <c r="CS53" s="1"/>
  <c r="CQ52"/>
  <c r="CQ53" s="1"/>
  <c r="CO52"/>
  <c r="CO53" s="1"/>
  <c r="CM52"/>
  <c r="CM53" s="1"/>
  <c r="CK52"/>
  <c r="CK53" s="1"/>
  <c r="CI52"/>
  <c r="CI53" s="1"/>
  <c r="CG52"/>
  <c r="CG53" s="1"/>
  <c r="CE52"/>
  <c r="CE53" s="1"/>
  <c r="BY52"/>
  <c r="BY53" s="1"/>
  <c r="BW52"/>
  <c r="BW53" s="1"/>
  <c r="BU52"/>
  <c r="BU53" s="1"/>
  <c r="BS52"/>
  <c r="BS53" s="1"/>
  <c r="BQ52"/>
  <c r="BQ53" s="1"/>
  <c r="BO52"/>
  <c r="BO53" s="1"/>
  <c r="BM52"/>
  <c r="BM53" s="1"/>
  <c r="BK52"/>
  <c r="BK53" s="1"/>
  <c r="BI52"/>
  <c r="BI53" s="1"/>
  <c r="BG52"/>
  <c r="BG53" s="1"/>
  <c r="BE52"/>
  <c r="BE53" s="1"/>
  <c r="BC52"/>
  <c r="BC53" s="1"/>
  <c r="BA52"/>
  <c r="BA53" s="1"/>
  <c r="AY52"/>
  <c r="AY53" s="1"/>
  <c r="AW52"/>
  <c r="AW53" s="1"/>
  <c r="AU52"/>
  <c r="AU53" s="1"/>
  <c r="AQ52"/>
  <c r="AQ53" s="1"/>
  <c r="AM52"/>
  <c r="AM53" s="1"/>
  <c r="AK52"/>
  <c r="AK53" s="1"/>
  <c r="AI52"/>
  <c r="AI53" s="1"/>
  <c r="AG52"/>
  <c r="AG53" s="1"/>
  <c r="AE52"/>
  <c r="AE53" s="1"/>
  <c r="U52"/>
  <c r="U53" s="1"/>
  <c r="S52"/>
  <c r="S53" s="1"/>
  <c r="Q52"/>
  <c r="Q53" s="1"/>
  <c r="O52"/>
  <c r="O53" s="1"/>
  <c r="M52"/>
  <c r="M53" s="1"/>
  <c r="K52"/>
  <c r="K53" s="1"/>
  <c r="I52"/>
  <c r="I53" s="1"/>
  <c r="G52"/>
  <c r="G53" s="1"/>
  <c r="E52"/>
  <c r="E53" s="1"/>
  <c r="D47"/>
  <c r="D48" s="1"/>
  <c r="CT56"/>
  <c r="CT57" s="1"/>
  <c r="CR52"/>
  <c r="CR53" s="1"/>
  <c r="CP56"/>
  <c r="CP57" s="1"/>
  <c r="CN52"/>
  <c r="CN53" s="1"/>
  <c r="CL56"/>
  <c r="CL57" s="1"/>
  <c r="CJ52"/>
  <c r="CJ53" s="1"/>
  <c r="CH56"/>
  <c r="CH57" s="1"/>
  <c r="CF52"/>
  <c r="CF53" s="1"/>
  <c r="BX52"/>
  <c r="BX53" s="1"/>
  <c r="BV56"/>
  <c r="BV57" s="1"/>
  <c r="BT52"/>
  <c r="BT53" s="1"/>
  <c r="BT50" s="1"/>
  <c r="BR56"/>
  <c r="BR57" s="1"/>
  <c r="BP52"/>
  <c r="BP53" s="1"/>
  <c r="BN56"/>
  <c r="BN57" s="1"/>
  <c r="BL52"/>
  <c r="BL53" s="1"/>
  <c r="BJ56"/>
  <c r="BJ57" s="1"/>
  <c r="BH52"/>
  <c r="BH53" s="1"/>
  <c r="BF56"/>
  <c r="BF57" s="1"/>
  <c r="BD52"/>
  <c r="BD53" s="1"/>
  <c r="BB56"/>
  <c r="BB57" s="1"/>
  <c r="AZ52"/>
  <c r="AZ53" s="1"/>
  <c r="AX56"/>
  <c r="AX57" s="1"/>
  <c r="AV52"/>
  <c r="AV53" s="1"/>
  <c r="AT56"/>
  <c r="AT57" s="1"/>
  <c r="AR52"/>
  <c r="AR53" s="1"/>
  <c r="AL56"/>
  <c r="AL57" s="1"/>
  <c r="AJ52"/>
  <c r="AJ53" s="1"/>
  <c r="AH56"/>
  <c r="AH57" s="1"/>
  <c r="AF52"/>
  <c r="AF53" s="1"/>
  <c r="AD56"/>
  <c r="AD57" s="1"/>
  <c r="T52"/>
  <c r="T53" s="1"/>
  <c r="R56"/>
  <c r="R57" s="1"/>
  <c r="P52"/>
  <c r="P53" s="1"/>
  <c r="N56"/>
  <c r="N57" s="1"/>
  <c r="L52"/>
  <c r="L53" s="1"/>
  <c r="J56"/>
  <c r="J57" s="1"/>
  <c r="H52"/>
  <c r="H53" s="1"/>
  <c r="F56"/>
  <c r="F57" s="1"/>
  <c r="D52"/>
  <c r="D53" s="1"/>
  <c r="CQ47"/>
  <c r="CQ48" s="1"/>
  <c r="CM47"/>
  <c r="CM48" s="1"/>
  <c r="CI47"/>
  <c r="CI48" s="1"/>
  <c r="CE47"/>
  <c r="CE48" s="1"/>
  <c r="CA47"/>
  <c r="CA48" s="1"/>
  <c r="BW47"/>
  <c r="BW48" s="1"/>
  <c r="BS47"/>
  <c r="BS48" s="1"/>
  <c r="BO47"/>
  <c r="BO48" s="1"/>
  <c r="BK47"/>
  <c r="BK48" s="1"/>
  <c r="BG47"/>
  <c r="BG48" s="1"/>
  <c r="BC47"/>
  <c r="BC48" s="1"/>
  <c r="AY47"/>
  <c r="AY48" s="1"/>
  <c r="AU47"/>
  <c r="AU48" s="1"/>
  <c r="AQ47"/>
  <c r="AQ48" s="1"/>
  <c r="AM47"/>
  <c r="AM48" s="1"/>
  <c r="AI47"/>
  <c r="AI48" s="1"/>
  <c r="AE47"/>
  <c r="AE48" s="1"/>
  <c r="AA47"/>
  <c r="AA48" s="1"/>
  <c r="W47"/>
  <c r="W48" s="1"/>
  <c r="S47"/>
  <c r="S48" s="1"/>
  <c r="O47"/>
  <c r="O48" s="1"/>
  <c r="K47"/>
  <c r="K48" s="1"/>
  <c r="G47"/>
  <c r="G48" s="1"/>
  <c r="CS56"/>
  <c r="CS57" s="1"/>
  <c r="CQ56"/>
  <c r="CQ57" s="1"/>
  <c r="CO56"/>
  <c r="CO57" s="1"/>
  <c r="CM56"/>
  <c r="CM57" s="1"/>
  <c r="CK56"/>
  <c r="CK57" s="1"/>
  <c r="CI56"/>
  <c r="CI57" s="1"/>
  <c r="CG56"/>
  <c r="CG57" s="1"/>
  <c r="CE56"/>
  <c r="CE57" s="1"/>
  <c r="BY56"/>
  <c r="BY57" s="1"/>
  <c r="BY54" s="1"/>
  <c r="BW56"/>
  <c r="BW57" s="1"/>
  <c r="BU56"/>
  <c r="BU57" s="1"/>
  <c r="BU54" s="1"/>
  <c r="BS56"/>
  <c r="BS57" s="1"/>
  <c r="BQ56"/>
  <c r="BQ57" s="1"/>
  <c r="BO56"/>
  <c r="BO57" s="1"/>
  <c r="BM56"/>
  <c r="BM57" s="1"/>
  <c r="BM54" s="1"/>
  <c r="BK56"/>
  <c r="BK57" s="1"/>
  <c r="BI56"/>
  <c r="BI57" s="1"/>
  <c r="BG56"/>
  <c r="BG57" s="1"/>
  <c r="BE56"/>
  <c r="BE57" s="1"/>
  <c r="BE54" s="1"/>
  <c r="BC56"/>
  <c r="BC57" s="1"/>
  <c r="BA56"/>
  <c r="BA57" s="1"/>
  <c r="AY56"/>
  <c r="AY57" s="1"/>
  <c r="AY54" s="1"/>
  <c r="AW56"/>
  <c r="AW57" s="1"/>
  <c r="AU56"/>
  <c r="AU57" s="1"/>
  <c r="AQ56"/>
  <c r="AQ57" s="1"/>
  <c r="AM56"/>
  <c r="AM57" s="1"/>
  <c r="AK56"/>
  <c r="AK57" s="1"/>
  <c r="AI56"/>
  <c r="AI57" s="1"/>
  <c r="AG56"/>
  <c r="AG57" s="1"/>
  <c r="AE56"/>
  <c r="AE57" s="1"/>
  <c r="U56"/>
  <c r="U57" s="1"/>
  <c r="S56"/>
  <c r="S57" s="1"/>
  <c r="Q56"/>
  <c r="Q57" s="1"/>
  <c r="Q54" s="1"/>
  <c r="O56"/>
  <c r="O57" s="1"/>
  <c r="M56"/>
  <c r="M57" s="1"/>
  <c r="M54" s="1"/>
  <c r="K56"/>
  <c r="K57" s="1"/>
  <c r="I56"/>
  <c r="I57" s="1"/>
  <c r="G56"/>
  <c r="G57" s="1"/>
  <c r="E56"/>
  <c r="E57" s="1"/>
  <c r="CT52"/>
  <c r="CT53" s="1"/>
  <c r="CP52"/>
  <c r="CP53" s="1"/>
  <c r="CL52"/>
  <c r="CL53" s="1"/>
  <c r="CH52"/>
  <c r="CH53" s="1"/>
  <c r="CF56"/>
  <c r="CF57" s="1"/>
  <c r="BV52"/>
  <c r="BV53" s="1"/>
  <c r="BR52"/>
  <c r="BR53" s="1"/>
  <c r="BN52"/>
  <c r="BN53" s="1"/>
  <c r="BJ52"/>
  <c r="BJ53" s="1"/>
  <c r="BF52"/>
  <c r="BF53" s="1"/>
  <c r="AZ56"/>
  <c r="AZ57" s="1"/>
  <c r="AV56"/>
  <c r="AV57" s="1"/>
  <c r="AL52"/>
  <c r="AL53" s="1"/>
  <c r="AH52"/>
  <c r="AH53" s="1"/>
  <c r="R52"/>
  <c r="R53" s="1"/>
  <c r="N52"/>
  <c r="N53" s="1"/>
  <c r="J52"/>
  <c r="J53" s="1"/>
  <c r="D56"/>
  <c r="D57" s="1"/>
  <c r="CO47"/>
  <c r="CO48" s="1"/>
  <c r="CG47"/>
  <c r="CG48" s="1"/>
  <c r="BU47"/>
  <c r="BU48" s="1"/>
  <c r="BM47"/>
  <c r="BM48" s="1"/>
  <c r="BE47"/>
  <c r="BE48" s="1"/>
  <c r="AW47"/>
  <c r="AW48" s="1"/>
  <c r="AK47"/>
  <c r="AK48" s="1"/>
  <c r="AC47"/>
  <c r="AC48" s="1"/>
  <c r="E47"/>
  <c r="E48" s="1"/>
  <c r="CK54" l="1"/>
  <c r="AL50"/>
  <c r="BX50"/>
  <c r="BX54"/>
  <c r="BK54"/>
  <c r="BL50"/>
  <c r="BH50"/>
  <c r="AZ50"/>
  <c r="AM54"/>
  <c r="AG54"/>
  <c r="AI54"/>
  <c r="AJ50"/>
  <c r="P50"/>
  <c r="R50"/>
  <c r="S54"/>
  <c r="I54"/>
  <c r="J50"/>
  <c r="N50"/>
  <c r="CS54"/>
  <c r="E54"/>
  <c r="F50"/>
  <c r="CN54"/>
  <c r="CO54"/>
  <c r="CR54"/>
  <c r="CG54"/>
  <c r="CJ54"/>
  <c r="BW54"/>
  <c r="BO54"/>
  <c r="BP50"/>
  <c r="BQ54"/>
  <c r="BS54"/>
  <c r="BI54"/>
  <c r="BC54"/>
  <c r="BD50"/>
  <c r="BG54"/>
  <c r="AW54"/>
  <c r="BA54"/>
  <c r="AU54"/>
  <c r="AV50"/>
  <c r="AK54"/>
  <c r="AE54"/>
  <c r="AF50"/>
  <c r="AH50"/>
  <c r="AD50"/>
  <c r="T50"/>
  <c r="U54"/>
  <c r="O54"/>
  <c r="G54"/>
  <c r="H50"/>
  <c r="K54"/>
  <c r="L50"/>
  <c r="D50"/>
  <c r="E45"/>
  <c r="AC45"/>
  <c r="AK45"/>
  <c r="AW45"/>
  <c r="BE45"/>
  <c r="BM45"/>
  <c r="BU45"/>
  <c r="CG45"/>
  <c r="CO45"/>
  <c r="D54"/>
  <c r="AV54"/>
  <c r="AZ54"/>
  <c r="BF50"/>
  <c r="BJ50"/>
  <c r="BN50"/>
  <c r="BR50"/>
  <c r="BV50"/>
  <c r="CF54"/>
  <c r="CH50"/>
  <c r="CL50"/>
  <c r="CP50"/>
  <c r="CT50"/>
  <c r="AQ54"/>
  <c r="CE54"/>
  <c r="CI54"/>
  <c r="CM54"/>
  <c r="CQ54"/>
  <c r="G45"/>
  <c r="K45"/>
  <c r="O45"/>
  <c r="S45"/>
  <c r="W45"/>
  <c r="AA45"/>
  <c r="AE45"/>
  <c r="AI45"/>
  <c r="AM45"/>
  <c r="AQ45"/>
  <c r="AU45"/>
  <c r="AY45"/>
  <c r="BC45"/>
  <c r="BG45"/>
  <c r="BK45"/>
  <c r="BO45"/>
  <c r="BS45"/>
  <c r="BW45"/>
  <c r="CA45"/>
  <c r="CE45"/>
  <c r="CI45"/>
  <c r="CM45"/>
  <c r="CQ45"/>
  <c r="F54"/>
  <c r="J54"/>
  <c r="N54"/>
  <c r="R54"/>
  <c r="AD54"/>
  <c r="AH54"/>
  <c r="AL54"/>
  <c r="AR50"/>
  <c r="AT54"/>
  <c r="AX54"/>
  <c r="BB54"/>
  <c r="BF54"/>
  <c r="BJ54"/>
  <c r="BN54"/>
  <c r="BR54"/>
  <c r="BV54"/>
  <c r="CF50"/>
  <c r="CH54"/>
  <c r="CJ50"/>
  <c r="CL54"/>
  <c r="CN50"/>
  <c r="CP54"/>
  <c r="CR50"/>
  <c r="CT54"/>
  <c r="D45"/>
  <c r="E50"/>
  <c r="G50"/>
  <c r="I50"/>
  <c r="K50"/>
  <c r="M50"/>
  <c r="O50"/>
  <c r="Q50"/>
  <c r="S50"/>
  <c r="U50"/>
  <c r="AE50"/>
  <c r="AG50"/>
  <c r="AI50"/>
  <c r="AK50"/>
  <c r="AM50"/>
  <c r="AQ50"/>
  <c r="AU50"/>
  <c r="AW50"/>
  <c r="AY50"/>
  <c r="BA50"/>
  <c r="BC50"/>
  <c r="BE50"/>
  <c r="BG50"/>
  <c r="BI50"/>
  <c r="BK50"/>
  <c r="BM50"/>
  <c r="BO50"/>
  <c r="BQ50"/>
  <c r="BS50"/>
  <c r="BU50"/>
  <c r="BW50"/>
  <c r="BY50"/>
  <c r="CE50"/>
  <c r="CG50"/>
  <c r="CI50"/>
  <c r="CK50"/>
  <c r="CM50"/>
  <c r="CO50"/>
  <c r="CQ50"/>
  <c r="CS50"/>
  <c r="I45"/>
  <c r="M45"/>
  <c r="Q45"/>
  <c r="U45"/>
  <c r="Y45"/>
  <c r="AG45"/>
  <c r="AO45"/>
  <c r="AS45"/>
  <c r="BA45"/>
  <c r="BI45"/>
  <c r="BQ45"/>
  <c r="BY45"/>
  <c r="CC45"/>
  <c r="CK45"/>
  <c r="CS45"/>
  <c r="H54"/>
  <c r="L54"/>
  <c r="P54"/>
  <c r="T54"/>
  <c r="AF54"/>
  <c r="AJ54"/>
  <c r="AR54"/>
  <c r="AT50"/>
  <c r="AX50"/>
  <c r="BB50"/>
  <c r="BD54"/>
  <c r="BH54"/>
  <c r="BL54"/>
  <c r="BP54"/>
  <c r="D51" i="2" l="1"/>
  <c r="D50"/>
  <c r="D15" i="3"/>
  <c r="D40" i="46" l="1"/>
  <c r="A4" i="97" l="1"/>
  <c r="A4" i="96"/>
  <c r="A4" i="95"/>
  <c r="A4" i="94"/>
  <c r="A4" i="93"/>
  <c r="A4" i="92"/>
  <c r="A4" i="91"/>
  <c r="A4" i="90"/>
  <c r="A4" i="89"/>
  <c r="A4" i="88"/>
  <c r="A4" i="87"/>
  <c r="A4" i="86"/>
  <c r="A4" i="85"/>
  <c r="A4" i="84"/>
  <c r="A4" i="83"/>
  <c r="A4" i="82"/>
  <c r="A4" i="81"/>
  <c r="A4" i="80"/>
  <c r="A4" i="79"/>
  <c r="A4" i="78"/>
  <c r="A4" i="77"/>
  <c r="A4" i="76"/>
  <c r="A4" i="75"/>
  <c r="A4" i="74"/>
  <c r="A4" i="73"/>
  <c r="A4" i="72"/>
  <c r="A4" i="71"/>
  <c r="A4" i="70"/>
  <c r="A4" i="99"/>
  <c r="D40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A4" i="69"/>
  <c r="A4" i="68"/>
  <c r="A4" i="67"/>
  <c r="A4" i="66"/>
  <c r="A4" i="65"/>
  <c r="A4" i="64"/>
  <c r="A4" i="63"/>
  <c r="A4" i="62"/>
  <c r="A4" i="61"/>
  <c r="A4" i="60"/>
  <c r="A4" i="59"/>
  <c r="A4" i="58"/>
  <c r="A4" i="57"/>
  <c r="A4" i="56"/>
  <c r="A4" i="98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A4" i="55"/>
  <c r="A4" i="54"/>
  <c r="A4" i="53"/>
  <c r="A4" i="52"/>
  <c r="A4" i="51"/>
  <c r="A4" i="50"/>
  <c r="A4" i="49"/>
  <c r="A4" i="48"/>
  <c r="A4" i="47"/>
  <c r="A4" i="46"/>
  <c r="A4" i="45"/>
  <c r="A4" i="44"/>
  <c r="A4" i="43"/>
  <c r="A4" i="42"/>
  <c r="A4" i="41"/>
  <c r="A4" i="40"/>
  <c r="A4" i="39"/>
  <c r="A4" i="38"/>
  <c r="A4" i="37"/>
  <c r="A4" i="36"/>
  <c r="A4" i="35"/>
  <c r="A4" i="34"/>
  <c r="A4" i="33"/>
  <c r="A4" i="32"/>
  <c r="A4" i="31"/>
  <c r="A4" i="30"/>
  <c r="A4" i="29"/>
  <c r="A4" i="28"/>
  <c r="A4" i="27"/>
  <c r="A4" i="26"/>
  <c r="A4" i="25"/>
  <c r="A4" i="24"/>
  <c r="A4" i="23"/>
  <c r="A4" i="22"/>
  <c r="A4" i="21"/>
  <c r="A4" i="20"/>
  <c r="A4" i="19"/>
  <c r="A4" i="18"/>
  <c r="A4" i="17"/>
  <c r="A4" i="16"/>
  <c r="A4" i="15"/>
  <c r="A4" i="14"/>
  <c r="A4" i="13"/>
  <c r="A4" i="12"/>
  <c r="A4" i="11"/>
  <c r="CT81" i="2" l="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BX81"/>
  <c r="BY81"/>
  <c r="BZ81"/>
  <c r="CA81"/>
  <c r="CB81"/>
  <c r="CC81"/>
  <c r="CD81"/>
  <c r="CE81"/>
  <c r="CF81"/>
  <c r="CG81"/>
  <c r="CH81"/>
  <c r="CI81"/>
  <c r="CJ81"/>
  <c r="CK81"/>
  <c r="CL81"/>
  <c r="CM81"/>
  <c r="CN81"/>
  <c r="CO81"/>
  <c r="CP81"/>
  <c r="CQ81"/>
  <c r="CR81"/>
  <c r="CS81"/>
  <c r="D81"/>
  <c r="E81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T61"/>
  <c r="CS61"/>
  <c r="CR61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CT59"/>
  <c r="CS59"/>
  <c r="CR59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CT57"/>
  <c r="CS57"/>
  <c r="CR57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CT52"/>
  <c r="CS52"/>
  <c r="CR52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G50"/>
  <c r="AF50"/>
  <c r="AE50"/>
  <c r="AD50"/>
  <c r="AC50"/>
  <c r="AB50"/>
  <c r="AA50"/>
  <c r="W50"/>
  <c r="V50"/>
  <c r="U50"/>
  <c r="T50"/>
  <c r="S50"/>
  <c r="R50"/>
  <c r="Q50"/>
  <c r="P50"/>
  <c r="O50"/>
  <c r="N50"/>
  <c r="M50"/>
  <c r="L50"/>
  <c r="J50"/>
  <c r="I50"/>
  <c r="H50"/>
  <c r="G50"/>
  <c r="F50"/>
  <c r="E50"/>
  <c r="A4" i="10"/>
  <c r="A4" i="9"/>
  <c r="A4" i="8"/>
  <c r="A4" i="7"/>
  <c r="D40" i="9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96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95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94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93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92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91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90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89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88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8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86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F36" i="85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84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40" i="83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82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F36" i="81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80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79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78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77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7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75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40" i="74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79" i="2"/>
  <c r="D80"/>
  <c r="D74"/>
  <c r="D75"/>
  <c r="D76"/>
  <c r="D77"/>
  <c r="D78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40" i="73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72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71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70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69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68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6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66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F36" i="65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40" i="64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63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62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61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60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59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58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5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56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F36" i="55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40" i="54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53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52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F36" i="51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50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49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48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47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4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45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44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43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42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41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40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39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F36" i="38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40" i="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36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35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34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33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32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31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F36" i="30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29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28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27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2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25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24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36" i="23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40" i="22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F36" i="21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40" i="20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F36" i="19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40" i="18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1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16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15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14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13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12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11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10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9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40" i="8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D14"/>
  <c r="D13"/>
  <c r="D13" i="3" l="1"/>
  <c r="D14"/>
  <c r="D16"/>
  <c r="D13" i="7"/>
  <c r="D14"/>
  <c r="D19" i="3"/>
  <c r="D16" i="7"/>
  <c r="E16"/>
  <c r="F16"/>
  <c r="D17"/>
  <c r="E17"/>
  <c r="F17"/>
  <c r="D18"/>
  <c r="E18"/>
  <c r="F18"/>
  <c r="D19"/>
  <c r="E19"/>
  <c r="F19"/>
  <c r="D20"/>
  <c r="E20"/>
  <c r="F20"/>
  <c r="D21"/>
  <c r="E21"/>
  <c r="F21"/>
  <c r="D26" i="3"/>
  <c r="C22" i="4" s="1"/>
  <c r="D22" s="1"/>
  <c r="D27" i="3"/>
  <c r="D28"/>
  <c r="D29"/>
  <c r="D31"/>
  <c r="D32"/>
  <c r="D29" i="7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42" i="3"/>
  <c r="D43"/>
  <c r="D40" i="7"/>
  <c r="CT13" i="3"/>
  <c r="CT14"/>
  <c r="C10" i="97" s="1"/>
  <c r="CT15" i="3"/>
  <c r="CT16"/>
  <c r="C12" i="97" s="1"/>
  <c r="CT17" i="3"/>
  <c r="CT18"/>
  <c r="CT19"/>
  <c r="C15" i="97" s="1"/>
  <c r="CT26" i="3"/>
  <c r="C22" i="97" s="1"/>
  <c r="CT27" i="3"/>
  <c r="C23" i="97" s="1"/>
  <c r="CT28" i="3"/>
  <c r="C24" i="97" s="1"/>
  <c r="CT29" i="3"/>
  <c r="C25" i="97" s="1"/>
  <c r="CT31" i="3"/>
  <c r="C27" i="97" s="1"/>
  <c r="CT32" i="3"/>
  <c r="C28" i="97" s="1"/>
  <c r="CT42" i="3"/>
  <c r="C38" i="97" s="1"/>
  <c r="CT43" i="3"/>
  <c r="C39" i="97" s="1"/>
  <c r="CT44" i="3"/>
  <c r="CS13"/>
  <c r="CS14"/>
  <c r="C10" i="96" s="1"/>
  <c r="CS15" i="3"/>
  <c r="CS16"/>
  <c r="C12" i="96" s="1"/>
  <c r="CS17" i="3"/>
  <c r="CS18"/>
  <c r="CS19"/>
  <c r="C15" i="96" s="1"/>
  <c r="CS26" i="3"/>
  <c r="C22" i="96" s="1"/>
  <c r="CS27" i="3"/>
  <c r="C23" i="96" s="1"/>
  <c r="CS28" i="3"/>
  <c r="C24" i="96" s="1"/>
  <c r="CS29" i="3"/>
  <c r="C25" i="96" s="1"/>
  <c r="CS31" i="3"/>
  <c r="C27" i="96" s="1"/>
  <c r="CS32" i="3"/>
  <c r="C28" i="96" s="1"/>
  <c r="CS42" i="3"/>
  <c r="C38" i="96" s="1"/>
  <c r="CS43" i="3"/>
  <c r="C39" i="96" s="1"/>
  <c r="CS44" i="3"/>
  <c r="CR13"/>
  <c r="CR14"/>
  <c r="CR15"/>
  <c r="CR16"/>
  <c r="C12" i="95" s="1"/>
  <c r="CR17" i="3"/>
  <c r="CR18"/>
  <c r="CR19"/>
  <c r="C15" i="95" s="1"/>
  <c r="CR26" i="3"/>
  <c r="C22" i="95" s="1"/>
  <c r="CR27" i="3"/>
  <c r="C23" i="95" s="1"/>
  <c r="CR28" i="3"/>
  <c r="C24" i="95" s="1"/>
  <c r="CR29" i="3"/>
  <c r="C25" i="95" s="1"/>
  <c r="CR31" i="3"/>
  <c r="C27" i="95" s="1"/>
  <c r="CR32" i="3"/>
  <c r="C28" i="95" s="1"/>
  <c r="CR42" i="3"/>
  <c r="C38" i="95" s="1"/>
  <c r="CR43" i="3"/>
  <c r="C39" i="95" s="1"/>
  <c r="CR44" i="3"/>
  <c r="CQ13"/>
  <c r="CQ14"/>
  <c r="C10" i="94" s="1"/>
  <c r="CQ15" i="3"/>
  <c r="CQ16"/>
  <c r="C12" i="94" s="1"/>
  <c r="CQ17" i="3"/>
  <c r="CQ18"/>
  <c r="CQ19"/>
  <c r="C15" i="94" s="1"/>
  <c r="CQ26" i="3"/>
  <c r="C22" i="94" s="1"/>
  <c r="CQ27" i="3"/>
  <c r="C23" i="94" s="1"/>
  <c r="CQ28" i="3"/>
  <c r="C24" i="94" s="1"/>
  <c r="CQ29" i="3"/>
  <c r="C25" i="94" s="1"/>
  <c r="CQ31" i="3"/>
  <c r="C27" i="94" s="1"/>
  <c r="CQ32" i="3"/>
  <c r="C28" i="94" s="1"/>
  <c r="CQ42" i="3"/>
  <c r="C38" i="94" s="1"/>
  <c r="CQ43" i="3"/>
  <c r="C39" i="94" s="1"/>
  <c r="CQ44" i="3"/>
  <c r="CP13"/>
  <c r="CP14"/>
  <c r="CP15"/>
  <c r="CP16"/>
  <c r="C12" i="93" s="1"/>
  <c r="CP17" i="3"/>
  <c r="CP18"/>
  <c r="CP19"/>
  <c r="C15" i="93" s="1"/>
  <c r="CP26" i="3"/>
  <c r="C22" i="93" s="1"/>
  <c r="CP27" i="3"/>
  <c r="C23" i="93" s="1"/>
  <c r="CP28" i="3"/>
  <c r="C24" i="93" s="1"/>
  <c r="CP29" i="3"/>
  <c r="C25" i="93" s="1"/>
  <c r="CP31" i="3"/>
  <c r="C27" i="93" s="1"/>
  <c r="CP32" i="3"/>
  <c r="C28" i="93" s="1"/>
  <c r="CP42" i="3"/>
  <c r="C38" i="93" s="1"/>
  <c r="CP43" i="3"/>
  <c r="C39" i="93" s="1"/>
  <c r="CP44" i="3"/>
  <c r="CO13"/>
  <c r="CO14"/>
  <c r="C10" i="92" s="1"/>
  <c r="CO15" i="3"/>
  <c r="CO16"/>
  <c r="C12" i="92" s="1"/>
  <c r="CO17" i="3"/>
  <c r="CO18"/>
  <c r="CO19"/>
  <c r="C15" i="92" s="1"/>
  <c r="CO26" i="3"/>
  <c r="C22" i="92" s="1"/>
  <c r="CO27" i="3"/>
  <c r="C23" i="92" s="1"/>
  <c r="CO28" i="3"/>
  <c r="C24" i="92" s="1"/>
  <c r="CO29" i="3"/>
  <c r="C25" i="92" s="1"/>
  <c r="CO31" i="3"/>
  <c r="C27" i="92" s="1"/>
  <c r="CO32" i="3"/>
  <c r="C28" i="92" s="1"/>
  <c r="CO42" i="3"/>
  <c r="C38" i="92" s="1"/>
  <c r="CO43" i="3"/>
  <c r="C39" i="92" s="1"/>
  <c r="CO44" i="3"/>
  <c r="CN13"/>
  <c r="CN14"/>
  <c r="C10" i="91" s="1"/>
  <c r="CN15" i="3"/>
  <c r="CN16"/>
  <c r="C12" i="91" s="1"/>
  <c r="CN17" i="3"/>
  <c r="CN18"/>
  <c r="CN19"/>
  <c r="C15" i="91" s="1"/>
  <c r="CN26" i="3"/>
  <c r="C22" i="91" s="1"/>
  <c r="CN27" i="3"/>
  <c r="C23" i="91" s="1"/>
  <c r="CN28" i="3"/>
  <c r="C24" i="91" s="1"/>
  <c r="CN29" i="3"/>
  <c r="C25" i="91" s="1"/>
  <c r="CN31" i="3"/>
  <c r="C27" i="91" s="1"/>
  <c r="CN32" i="3"/>
  <c r="C28" i="91" s="1"/>
  <c r="CN42" i="3"/>
  <c r="C38" i="91" s="1"/>
  <c r="CN43" i="3"/>
  <c r="C39" i="91" s="1"/>
  <c r="CN44" i="3"/>
  <c r="CM13"/>
  <c r="CM14"/>
  <c r="C10" i="90" s="1"/>
  <c r="CM15" i="3"/>
  <c r="CM16"/>
  <c r="C12" i="90" s="1"/>
  <c r="CM17" i="3"/>
  <c r="CM18"/>
  <c r="CM19"/>
  <c r="C15" i="90" s="1"/>
  <c r="CM26" i="3"/>
  <c r="C22" i="90" s="1"/>
  <c r="CM27" i="3"/>
  <c r="C23" i="90" s="1"/>
  <c r="CM28" i="3"/>
  <c r="C24" i="90" s="1"/>
  <c r="CM29" i="3"/>
  <c r="C25" i="90" s="1"/>
  <c r="CM31" i="3"/>
  <c r="C27" i="90" s="1"/>
  <c r="CM32" i="3"/>
  <c r="C28" i="90" s="1"/>
  <c r="CM42" i="3"/>
  <c r="C38" i="90" s="1"/>
  <c r="CM43" i="3"/>
  <c r="C39" i="90" s="1"/>
  <c r="CM44" i="3"/>
  <c r="CL13"/>
  <c r="CL14"/>
  <c r="C10" i="89" s="1"/>
  <c r="CL15" i="3"/>
  <c r="CL16"/>
  <c r="C12" i="89" s="1"/>
  <c r="CL17" i="3"/>
  <c r="CL18"/>
  <c r="CL19"/>
  <c r="C15" i="89" s="1"/>
  <c r="CL26" i="3"/>
  <c r="C22" i="89" s="1"/>
  <c r="CL27" i="3"/>
  <c r="C23" i="89" s="1"/>
  <c r="CL28" i="3"/>
  <c r="C24" i="89" s="1"/>
  <c r="CL29" i="3"/>
  <c r="C25" i="89" s="1"/>
  <c r="CL31" i="3"/>
  <c r="C27" i="89" s="1"/>
  <c r="CL32" i="3"/>
  <c r="C28" i="89" s="1"/>
  <c r="CL42" i="3"/>
  <c r="C38" i="89" s="1"/>
  <c r="CL43" i="3"/>
  <c r="C39" i="89" s="1"/>
  <c r="CL44" i="3"/>
  <c r="CK13"/>
  <c r="CK14"/>
  <c r="C10" i="88" s="1"/>
  <c r="CK15" i="3"/>
  <c r="CK16"/>
  <c r="C12" i="88" s="1"/>
  <c r="CK17" i="3"/>
  <c r="CK18"/>
  <c r="CK19"/>
  <c r="C15" i="88" s="1"/>
  <c r="CK26" i="3"/>
  <c r="C22" i="88" s="1"/>
  <c r="CK27" i="3"/>
  <c r="C23" i="88" s="1"/>
  <c r="CK28" i="3"/>
  <c r="C24" i="88" s="1"/>
  <c r="CK29" i="3"/>
  <c r="C25" i="88" s="1"/>
  <c r="CK31" i="3"/>
  <c r="C27" i="88" s="1"/>
  <c r="CK32" i="3"/>
  <c r="C28" i="88" s="1"/>
  <c r="CK42" i="3"/>
  <c r="C38" i="88" s="1"/>
  <c r="CK43" i="3"/>
  <c r="C39" i="88" s="1"/>
  <c r="CK44" i="3"/>
  <c r="CJ13"/>
  <c r="CJ14"/>
  <c r="CJ15"/>
  <c r="CJ16"/>
  <c r="C12" i="87" s="1"/>
  <c r="CJ17" i="3"/>
  <c r="CJ18"/>
  <c r="CJ19"/>
  <c r="C15" i="87" s="1"/>
  <c r="CJ26" i="3"/>
  <c r="C22" i="87" s="1"/>
  <c r="CJ27" i="3"/>
  <c r="C23" i="87" s="1"/>
  <c r="CJ28" i="3"/>
  <c r="C24" i="87" s="1"/>
  <c r="CJ29" i="3"/>
  <c r="C25" i="87" s="1"/>
  <c r="CJ31" i="3"/>
  <c r="C27" i="87" s="1"/>
  <c r="CJ32" i="3"/>
  <c r="C28" i="87" s="1"/>
  <c r="CJ42" i="3"/>
  <c r="C38" i="87" s="1"/>
  <c r="CJ43" i="3"/>
  <c r="C39" i="87" s="1"/>
  <c r="CJ44" i="3"/>
  <c r="CI13"/>
  <c r="CI14"/>
  <c r="C10" i="86" s="1"/>
  <c r="CI15" i="3"/>
  <c r="CI16"/>
  <c r="C12" i="86" s="1"/>
  <c r="CI17" i="3"/>
  <c r="CI18"/>
  <c r="CI19"/>
  <c r="C15" i="86" s="1"/>
  <c r="CI26" i="3"/>
  <c r="C22" i="86" s="1"/>
  <c r="CI27" i="3"/>
  <c r="C23" i="86" s="1"/>
  <c r="CI28" i="3"/>
  <c r="C24" i="86" s="1"/>
  <c r="CI29" i="3"/>
  <c r="C25" i="86" s="1"/>
  <c r="CI31" i="3"/>
  <c r="C27" i="86" s="1"/>
  <c r="CI32" i="3"/>
  <c r="C28" i="86" s="1"/>
  <c r="CI42" i="3"/>
  <c r="C38" i="86" s="1"/>
  <c r="CI43" i="3"/>
  <c r="C39" i="86" s="1"/>
  <c r="CI44" i="3"/>
  <c r="CH13"/>
  <c r="CH14"/>
  <c r="C10" i="85" s="1"/>
  <c r="CH15" i="3"/>
  <c r="CH16"/>
  <c r="C12" i="85" s="1"/>
  <c r="CH17" i="3"/>
  <c r="D13" i="85" s="1"/>
  <c r="CH18" i="3"/>
  <c r="D14" i="85" s="1"/>
  <c r="CH19" i="3"/>
  <c r="C15" i="85" s="1"/>
  <c r="CH26" i="3"/>
  <c r="C22" i="85" s="1"/>
  <c r="CH27" i="3"/>
  <c r="C23" i="85" s="1"/>
  <c r="CH28" i="3"/>
  <c r="C24" i="85" s="1"/>
  <c r="CH29" i="3"/>
  <c r="C25" i="85" s="1"/>
  <c r="CH31" i="3"/>
  <c r="C27" i="85" s="1"/>
  <c r="CH32" i="3"/>
  <c r="C28" i="85" s="1"/>
  <c r="CH42" i="3"/>
  <c r="C38" i="85" s="1"/>
  <c r="CH43" i="3"/>
  <c r="C39" i="85" s="1"/>
  <c r="CH44" i="3"/>
  <c r="D40" i="85" s="1"/>
  <c r="CG13" i="3"/>
  <c r="CG14"/>
  <c r="C10" i="84" s="1"/>
  <c r="CG15" i="3"/>
  <c r="CG16"/>
  <c r="C12" i="84" s="1"/>
  <c r="CG17" i="3"/>
  <c r="D13" i="84" s="1"/>
  <c r="CG18" i="3"/>
  <c r="D14" i="84" s="1"/>
  <c r="CG19" i="3"/>
  <c r="C15" i="84" s="1"/>
  <c r="CG26" i="3"/>
  <c r="C22" i="84" s="1"/>
  <c r="CG27" i="3"/>
  <c r="C23" i="84" s="1"/>
  <c r="CG28" i="3"/>
  <c r="C24" i="84" s="1"/>
  <c r="CG29" i="3"/>
  <c r="C25" i="84" s="1"/>
  <c r="CG31" i="3"/>
  <c r="C27" i="84" s="1"/>
  <c r="CG32" i="3"/>
  <c r="C28" i="84" s="1"/>
  <c r="CG42" i="3"/>
  <c r="C38" i="84" s="1"/>
  <c r="CG43" i="3"/>
  <c r="C39" i="84" s="1"/>
  <c r="CG44" i="3"/>
  <c r="D40" i="84" s="1"/>
  <c r="CF13" i="3"/>
  <c r="CF14"/>
  <c r="C10" i="83" s="1"/>
  <c r="CF15" i="3"/>
  <c r="CF16"/>
  <c r="C12" i="83" s="1"/>
  <c r="CF17" i="3"/>
  <c r="CF18"/>
  <c r="CF19"/>
  <c r="C15" i="83" s="1"/>
  <c r="CF26" i="3"/>
  <c r="C22" i="83" s="1"/>
  <c r="CF27" i="3"/>
  <c r="C23" i="83" s="1"/>
  <c r="CF28" i="3"/>
  <c r="C24" i="83" s="1"/>
  <c r="CF29" i="3"/>
  <c r="C25" i="83" s="1"/>
  <c r="CF31" i="3"/>
  <c r="C27" i="83" s="1"/>
  <c r="CF32" i="3"/>
  <c r="C28" i="83" s="1"/>
  <c r="CF42" i="3"/>
  <c r="C38" i="83" s="1"/>
  <c r="CF43" i="3"/>
  <c r="C39" i="83" s="1"/>
  <c r="CF44" i="3"/>
  <c r="CE13"/>
  <c r="CE14"/>
  <c r="C10" i="82" s="1"/>
  <c r="CE15" i="3"/>
  <c r="CE16"/>
  <c r="C12" i="82" s="1"/>
  <c r="CE17" i="3"/>
  <c r="CE18"/>
  <c r="CE19"/>
  <c r="C15" i="82" s="1"/>
  <c r="CE26" i="3"/>
  <c r="C22" i="82" s="1"/>
  <c r="CE27" i="3"/>
  <c r="C23" i="82" s="1"/>
  <c r="CE28" i="3"/>
  <c r="C24" i="82" s="1"/>
  <c r="CE29" i="3"/>
  <c r="C25" i="82" s="1"/>
  <c r="CE31" i="3"/>
  <c r="C27" i="82" s="1"/>
  <c r="CE32" i="3"/>
  <c r="C28" i="82" s="1"/>
  <c r="CE42" i="3"/>
  <c r="C38" i="82" s="1"/>
  <c r="CE43" i="3"/>
  <c r="C39" i="82" s="1"/>
  <c r="CE44" i="3"/>
  <c r="CD13"/>
  <c r="CD14"/>
  <c r="C10" i="81" s="1"/>
  <c r="CD15" i="3"/>
  <c r="CD16"/>
  <c r="C12" i="81" s="1"/>
  <c r="CD17" i="3"/>
  <c r="D13" i="81" s="1"/>
  <c r="CD18" i="3"/>
  <c r="D14" i="81" s="1"/>
  <c r="CD19" i="3"/>
  <c r="C15" i="81" s="1"/>
  <c r="CD26" i="3"/>
  <c r="C22" i="81" s="1"/>
  <c r="CD27" i="3"/>
  <c r="C23" i="81" s="1"/>
  <c r="CD28" i="3"/>
  <c r="C24" i="81" s="1"/>
  <c r="CD29" i="3"/>
  <c r="C25" i="81" s="1"/>
  <c r="CD31" i="3"/>
  <c r="C27" i="81" s="1"/>
  <c r="CD32" i="3"/>
  <c r="C28" i="81" s="1"/>
  <c r="CD42" i="3"/>
  <c r="C38" i="81" s="1"/>
  <c r="CD43" i="3"/>
  <c r="C39" i="81" s="1"/>
  <c r="E39" s="1"/>
  <c r="CD44" i="3"/>
  <c r="D40" i="81" s="1"/>
  <c r="CC13" i="3"/>
  <c r="CC14"/>
  <c r="C10" i="80" s="1"/>
  <c r="CC15" i="3"/>
  <c r="CC16"/>
  <c r="C12" i="80" s="1"/>
  <c r="CC17" i="3"/>
  <c r="D13" i="80" s="1"/>
  <c r="CC18" i="3"/>
  <c r="D14" i="80" s="1"/>
  <c r="CC19" i="3"/>
  <c r="C15" i="80" s="1"/>
  <c r="CC26" i="3"/>
  <c r="C22" i="80" s="1"/>
  <c r="CC27" i="3"/>
  <c r="C23" i="80" s="1"/>
  <c r="CC28" i="3"/>
  <c r="C24" i="80" s="1"/>
  <c r="CC29" i="3"/>
  <c r="C25" i="80" s="1"/>
  <c r="CC31" i="3"/>
  <c r="C27" i="80" s="1"/>
  <c r="CC32" i="3"/>
  <c r="C28" i="80" s="1"/>
  <c r="CC42" i="3"/>
  <c r="C38" i="80" s="1"/>
  <c r="CC43" i="3"/>
  <c r="C39" i="80" s="1"/>
  <c r="E39" s="1"/>
  <c r="CC44" i="3"/>
  <c r="D40" i="80" s="1"/>
  <c r="CB13" i="3"/>
  <c r="CB14"/>
  <c r="C10" i="79" s="1"/>
  <c r="CB15" i="3"/>
  <c r="CB16"/>
  <c r="C12" i="79" s="1"/>
  <c r="CB17" i="3"/>
  <c r="D13" i="79" s="1"/>
  <c r="CB18" i="3"/>
  <c r="D14" i="79" s="1"/>
  <c r="CB19" i="3"/>
  <c r="C15" i="79" s="1"/>
  <c r="CB26" i="3"/>
  <c r="C22" i="79" s="1"/>
  <c r="CB27" i="3"/>
  <c r="C23" i="79" s="1"/>
  <c r="CB28" i="3"/>
  <c r="C24" i="79" s="1"/>
  <c r="CB29" i="3"/>
  <c r="C25" i="79" s="1"/>
  <c r="CB31" i="3"/>
  <c r="C27" i="79" s="1"/>
  <c r="CB32" i="3"/>
  <c r="C28" i="79" s="1"/>
  <c r="CB42" i="3"/>
  <c r="C38" i="79" s="1"/>
  <c r="CB43" i="3"/>
  <c r="C39" i="79" s="1"/>
  <c r="E39" s="1"/>
  <c r="CB44" i="3"/>
  <c r="D40" i="79" s="1"/>
  <c r="CA13" i="3"/>
  <c r="CA14"/>
  <c r="C10" i="78" s="1"/>
  <c r="CA15" i="3"/>
  <c r="CA16"/>
  <c r="C12" i="78" s="1"/>
  <c r="CA17" i="3"/>
  <c r="D13" i="78" s="1"/>
  <c r="CA18" i="3"/>
  <c r="D14" i="78" s="1"/>
  <c r="CA19" i="3"/>
  <c r="C15" i="78" s="1"/>
  <c r="CA26" i="3"/>
  <c r="C22" i="78" s="1"/>
  <c r="CA27" i="3"/>
  <c r="C23" i="78" s="1"/>
  <c r="CA28" i="3"/>
  <c r="C24" i="78" s="1"/>
  <c r="CA29" i="3"/>
  <c r="C25" i="78" s="1"/>
  <c r="CA31" i="3"/>
  <c r="C27" i="78" s="1"/>
  <c r="CA32" i="3"/>
  <c r="C28" i="78" s="1"/>
  <c r="CA42" i="3"/>
  <c r="C38" i="78" s="1"/>
  <c r="CA43" i="3"/>
  <c r="C39" i="78" s="1"/>
  <c r="E39" s="1"/>
  <c r="CA44" i="3"/>
  <c r="D40" i="78" s="1"/>
  <c r="BZ13" i="3"/>
  <c r="BZ14"/>
  <c r="C10" i="77" s="1"/>
  <c r="BZ15" i="3"/>
  <c r="BZ16"/>
  <c r="C12" i="77" s="1"/>
  <c r="BZ17" i="3"/>
  <c r="D13" i="77" s="1"/>
  <c r="BZ18" i="3"/>
  <c r="D14" i="77" s="1"/>
  <c r="BZ19" i="3"/>
  <c r="C15" i="77" s="1"/>
  <c r="BZ26" i="3"/>
  <c r="C22" i="77" s="1"/>
  <c r="BZ27" i="3"/>
  <c r="C23" i="77" s="1"/>
  <c r="BZ28" i="3"/>
  <c r="C24" i="77" s="1"/>
  <c r="BZ29" i="3"/>
  <c r="C25" i="77" s="1"/>
  <c r="BZ31" i="3"/>
  <c r="C27" i="77" s="1"/>
  <c r="BZ32" i="3"/>
  <c r="C28" i="77" s="1"/>
  <c r="BZ42" i="3"/>
  <c r="C38" i="77" s="1"/>
  <c r="BZ43" i="3"/>
  <c r="C39" i="77" s="1"/>
  <c r="E39" s="1"/>
  <c r="BZ44" i="3"/>
  <c r="D40" i="77" s="1"/>
  <c r="BY13" i="3"/>
  <c r="BY14"/>
  <c r="C10" i="76" s="1"/>
  <c r="BY15" i="3"/>
  <c r="BY16"/>
  <c r="C12" i="76" s="1"/>
  <c r="BY17" i="3"/>
  <c r="D13" i="76" s="1"/>
  <c r="BY18" i="3"/>
  <c r="D14" i="76" s="1"/>
  <c r="BY19" i="3"/>
  <c r="C15" i="76" s="1"/>
  <c r="BY26" i="3"/>
  <c r="C22" i="76" s="1"/>
  <c r="BY27" i="3"/>
  <c r="C23" i="76" s="1"/>
  <c r="BY28" i="3"/>
  <c r="C24" i="76" s="1"/>
  <c r="BY29" i="3"/>
  <c r="C25" i="76" s="1"/>
  <c r="BY31" i="3"/>
  <c r="C27" i="76" s="1"/>
  <c r="BY32" i="3"/>
  <c r="C28" i="76" s="1"/>
  <c r="BY42" i="3"/>
  <c r="C38" i="76" s="1"/>
  <c r="BY43" i="3"/>
  <c r="C39" i="76" s="1"/>
  <c r="BY44" i="3"/>
  <c r="D40" i="76" s="1"/>
  <c r="BX13" i="3"/>
  <c r="BX14"/>
  <c r="C10" i="75" s="1"/>
  <c r="BX15" i="3"/>
  <c r="BX16"/>
  <c r="BX17"/>
  <c r="D13" i="75" s="1"/>
  <c r="BX18" i="3"/>
  <c r="D14" i="75" s="1"/>
  <c r="BX19" i="3"/>
  <c r="C15" i="75" s="1"/>
  <c r="BX26" i="3"/>
  <c r="C22" i="75" s="1"/>
  <c r="BX27" i="3"/>
  <c r="C23" i="75" s="1"/>
  <c r="BX28" i="3"/>
  <c r="C24" i="75" s="1"/>
  <c r="BX29" i="3"/>
  <c r="C25" i="75" s="1"/>
  <c r="BX31" i="3"/>
  <c r="C27" i="75" s="1"/>
  <c r="BX32" i="3"/>
  <c r="C28" i="75" s="1"/>
  <c r="BX42" i="3"/>
  <c r="C38" i="75" s="1"/>
  <c r="BX43" i="3"/>
  <c r="BX44"/>
  <c r="D40" i="75" s="1"/>
  <c r="BW13" i="3"/>
  <c r="BW14"/>
  <c r="C10" i="74" s="1"/>
  <c r="BW15" i="3"/>
  <c r="BW16"/>
  <c r="C12" i="74" s="1"/>
  <c r="BW17" i="3"/>
  <c r="BW18"/>
  <c r="BW19"/>
  <c r="C15" i="74" s="1"/>
  <c r="BW26" i="3"/>
  <c r="C22" i="74" s="1"/>
  <c r="BW27" i="3"/>
  <c r="C23" i="74" s="1"/>
  <c r="BW28" i="3"/>
  <c r="C24" i="74" s="1"/>
  <c r="BW29" i="3"/>
  <c r="C25" i="74" s="1"/>
  <c r="BW31" i="3"/>
  <c r="C27" i="74" s="1"/>
  <c r="BW32" i="3"/>
  <c r="C28" i="74" s="1"/>
  <c r="BW42" i="3"/>
  <c r="C38" i="74" s="1"/>
  <c r="BW43" i="3"/>
  <c r="C39" i="74" s="1"/>
  <c r="BW44" i="3"/>
  <c r="BV13"/>
  <c r="BV14"/>
  <c r="C10" i="73" s="1"/>
  <c r="BV15" i="3"/>
  <c r="BV16"/>
  <c r="C12" i="73" s="1"/>
  <c r="BV17" i="3"/>
  <c r="BV18"/>
  <c r="BV19"/>
  <c r="C15" i="73" s="1"/>
  <c r="BV26" i="3"/>
  <c r="C22" i="73" s="1"/>
  <c r="BV27" i="3"/>
  <c r="C23" i="73" s="1"/>
  <c r="BV28" i="3"/>
  <c r="C24" i="73" s="1"/>
  <c r="BV29" i="3"/>
  <c r="C25" i="73" s="1"/>
  <c r="BV31" i="3"/>
  <c r="C27" i="73" s="1"/>
  <c r="BV32" i="3"/>
  <c r="C28" i="73" s="1"/>
  <c r="BV42" i="3"/>
  <c r="C38" i="73" s="1"/>
  <c r="BV43" i="3"/>
  <c r="C39" i="73" s="1"/>
  <c r="BV44" i="3"/>
  <c r="BU13"/>
  <c r="BU14"/>
  <c r="C10" i="72" s="1"/>
  <c r="BU15" i="3"/>
  <c r="BU16"/>
  <c r="C12" i="72" s="1"/>
  <c r="BU17" i="3"/>
  <c r="BU18"/>
  <c r="BU19"/>
  <c r="C15" i="72" s="1"/>
  <c r="BU26" i="3"/>
  <c r="C22" i="72" s="1"/>
  <c r="BU27" i="3"/>
  <c r="C23" i="72" s="1"/>
  <c r="BU28" i="3"/>
  <c r="C24" i="72" s="1"/>
  <c r="BU29" i="3"/>
  <c r="C25" i="72" s="1"/>
  <c r="BU31" i="3"/>
  <c r="C27" i="72" s="1"/>
  <c r="BU32" i="3"/>
  <c r="C28" i="72" s="1"/>
  <c r="BU42" i="3"/>
  <c r="C38" i="72" s="1"/>
  <c r="BU43" i="3"/>
  <c r="C39" i="72" s="1"/>
  <c r="BU44" i="3"/>
  <c r="BT13"/>
  <c r="BT14"/>
  <c r="C10" i="71" s="1"/>
  <c r="BT15" i="3"/>
  <c r="BT16"/>
  <c r="C12" i="71" s="1"/>
  <c r="BT17" i="3"/>
  <c r="BT18"/>
  <c r="BT19"/>
  <c r="C15" i="71" s="1"/>
  <c r="BT26" i="3"/>
  <c r="C22" i="71" s="1"/>
  <c r="BT27" i="3"/>
  <c r="C23" i="71" s="1"/>
  <c r="BT28" i="3"/>
  <c r="C24" i="71" s="1"/>
  <c r="BT29" i="3"/>
  <c r="C25" i="71" s="1"/>
  <c r="BT31" i="3"/>
  <c r="C27" i="71" s="1"/>
  <c r="BT32" i="3"/>
  <c r="C28" i="71" s="1"/>
  <c r="BT42" i="3"/>
  <c r="C38" i="71" s="1"/>
  <c r="BT43" i="3"/>
  <c r="C39" i="71" s="1"/>
  <c r="BT44" i="3"/>
  <c r="BS13"/>
  <c r="BS14"/>
  <c r="C10" i="70" s="1"/>
  <c r="BS15" i="3"/>
  <c r="BS16"/>
  <c r="C12" i="70" s="1"/>
  <c r="BS17" i="3"/>
  <c r="BS18"/>
  <c r="BS19"/>
  <c r="C15" i="70" s="1"/>
  <c r="BS26" i="3"/>
  <c r="C22" i="70" s="1"/>
  <c r="BS27" i="3"/>
  <c r="C23" i="70" s="1"/>
  <c r="BS28" i="3"/>
  <c r="C24" i="70" s="1"/>
  <c r="BS29" i="3"/>
  <c r="C25" i="70" s="1"/>
  <c r="BS31" i="3"/>
  <c r="C27" i="70" s="1"/>
  <c r="BS32" i="3"/>
  <c r="C28" i="70" s="1"/>
  <c r="BS42" i="3"/>
  <c r="BS43"/>
  <c r="C39" i="70" s="1"/>
  <c r="BS44" i="3"/>
  <c r="BR13"/>
  <c r="BR14"/>
  <c r="C10" i="99" s="1"/>
  <c r="BR15" i="3"/>
  <c r="BR16"/>
  <c r="C12" i="99" s="1"/>
  <c r="BR17" i="3"/>
  <c r="BR18"/>
  <c r="BR19"/>
  <c r="C15" i="99" s="1"/>
  <c r="BR26" i="3"/>
  <c r="C22" i="99" s="1"/>
  <c r="BR27" i="3"/>
  <c r="C23" i="99" s="1"/>
  <c r="BR28" i="3"/>
  <c r="C24" i="99" s="1"/>
  <c r="BR29" i="3"/>
  <c r="C25" i="99" s="1"/>
  <c r="BR31" i="3"/>
  <c r="C27" i="99" s="1"/>
  <c r="BR32" i="3"/>
  <c r="C28" i="99" s="1"/>
  <c r="BR42" i="3"/>
  <c r="C38" i="99" s="1"/>
  <c r="BR43" i="3"/>
  <c r="C39" i="99" s="1"/>
  <c r="BR44" i="3"/>
  <c r="BQ13"/>
  <c r="BQ14"/>
  <c r="C10" i="69" s="1"/>
  <c r="BQ15" i="3"/>
  <c r="BQ16"/>
  <c r="C12" i="69" s="1"/>
  <c r="BQ17" i="3"/>
  <c r="BQ18"/>
  <c r="BQ19"/>
  <c r="C15" i="69" s="1"/>
  <c r="BQ26" i="3"/>
  <c r="C22" i="69" s="1"/>
  <c r="BQ27" i="3"/>
  <c r="C23" i="69" s="1"/>
  <c r="BQ28" i="3"/>
  <c r="C24" i="69" s="1"/>
  <c r="BQ29" i="3"/>
  <c r="C25" i="69" s="1"/>
  <c r="BQ31" i="3"/>
  <c r="C27" i="69" s="1"/>
  <c r="BQ32" i="3"/>
  <c r="C28" i="69" s="1"/>
  <c r="BQ42" i="3"/>
  <c r="C38" i="69" s="1"/>
  <c r="BQ43" i="3"/>
  <c r="C39" i="69" s="1"/>
  <c r="BQ44" i="3"/>
  <c r="BP13"/>
  <c r="BP14"/>
  <c r="C10" i="68" s="1"/>
  <c r="BP15" i="3"/>
  <c r="BP16"/>
  <c r="C12" i="68" s="1"/>
  <c r="BP17" i="3"/>
  <c r="BP18"/>
  <c r="BP19"/>
  <c r="C15" i="68" s="1"/>
  <c r="BP26" i="3"/>
  <c r="C22" i="68" s="1"/>
  <c r="BP27" i="3"/>
  <c r="C23" i="68" s="1"/>
  <c r="BP28" i="3"/>
  <c r="C24" i="68" s="1"/>
  <c r="BP29" i="3"/>
  <c r="C25" i="68" s="1"/>
  <c r="BP31" i="3"/>
  <c r="C27" i="68" s="1"/>
  <c r="BP32" i="3"/>
  <c r="C28" i="68" s="1"/>
  <c r="BP42" i="3"/>
  <c r="C38" i="68" s="1"/>
  <c r="BP43" i="3"/>
  <c r="C39" i="68" s="1"/>
  <c r="BP44" i="3"/>
  <c r="BO13"/>
  <c r="BO14"/>
  <c r="C10" i="67" s="1"/>
  <c r="BO15" i="3"/>
  <c r="BO16"/>
  <c r="C12" i="67" s="1"/>
  <c r="BO17" i="3"/>
  <c r="BO18"/>
  <c r="BO19"/>
  <c r="C15" i="67" s="1"/>
  <c r="BO26" i="3"/>
  <c r="C22" i="67" s="1"/>
  <c r="BO27" i="3"/>
  <c r="C23" i="67" s="1"/>
  <c r="BO28" i="3"/>
  <c r="C24" i="67" s="1"/>
  <c r="BO29" i="3"/>
  <c r="C25" i="67" s="1"/>
  <c r="BO31" i="3"/>
  <c r="C27" i="67" s="1"/>
  <c r="BO32" i="3"/>
  <c r="C28" i="67" s="1"/>
  <c r="BO42" i="3"/>
  <c r="C38" i="67" s="1"/>
  <c r="BO43" i="3"/>
  <c r="C39" i="67" s="1"/>
  <c r="BO44" i="3"/>
  <c r="BN13"/>
  <c r="BN14"/>
  <c r="C10" i="66" s="1"/>
  <c r="BN15" i="3"/>
  <c r="BN16"/>
  <c r="C12" i="66" s="1"/>
  <c r="BN17" i="3"/>
  <c r="BN18"/>
  <c r="BN19"/>
  <c r="C15" i="66" s="1"/>
  <c r="BN26" i="3"/>
  <c r="C22" i="66" s="1"/>
  <c r="BN27" i="3"/>
  <c r="C23" i="66" s="1"/>
  <c r="BN28" i="3"/>
  <c r="C24" i="66" s="1"/>
  <c r="BN29" i="3"/>
  <c r="C25" i="66" s="1"/>
  <c r="BN31" i="3"/>
  <c r="C27" i="66" s="1"/>
  <c r="BN32" i="3"/>
  <c r="C28" i="66" s="1"/>
  <c r="BN42" i="3"/>
  <c r="C38" i="66" s="1"/>
  <c r="BN43" i="3"/>
  <c r="C39" i="66" s="1"/>
  <c r="BN44" i="3"/>
  <c r="BM13"/>
  <c r="BM14"/>
  <c r="C10" i="65" s="1"/>
  <c r="BM15" i="3"/>
  <c r="BM16"/>
  <c r="C12" i="65" s="1"/>
  <c r="BM17" i="3"/>
  <c r="D13" i="65" s="1"/>
  <c r="BM18" i="3"/>
  <c r="D14" i="65" s="1"/>
  <c r="BM19" i="3"/>
  <c r="C15" i="65" s="1"/>
  <c r="BM26" i="3"/>
  <c r="C22" i="65" s="1"/>
  <c r="BM27" i="3"/>
  <c r="C23" i="65" s="1"/>
  <c r="BM28" i="3"/>
  <c r="C24" i="65" s="1"/>
  <c r="BM29" i="3"/>
  <c r="C25" i="65" s="1"/>
  <c r="BM31" i="3"/>
  <c r="C27" i="65" s="1"/>
  <c r="BM32" i="3"/>
  <c r="C28" i="65" s="1"/>
  <c r="BM42" i="3"/>
  <c r="C38" i="65" s="1"/>
  <c r="BM43" i="3"/>
  <c r="C39" i="65" s="1"/>
  <c r="BM44" i="3"/>
  <c r="D40" i="65" s="1"/>
  <c r="BL13" i="3"/>
  <c r="BL14"/>
  <c r="C10" i="64" s="1"/>
  <c r="BL15" i="3"/>
  <c r="BL16"/>
  <c r="C12" i="64" s="1"/>
  <c r="BL17" i="3"/>
  <c r="BL18"/>
  <c r="BL19"/>
  <c r="C15" i="64" s="1"/>
  <c r="BL26" i="3"/>
  <c r="C22" i="64" s="1"/>
  <c r="BL27" i="3"/>
  <c r="C23" i="64" s="1"/>
  <c r="BL28" i="3"/>
  <c r="C24" i="64" s="1"/>
  <c r="BL29" i="3"/>
  <c r="C25" i="64" s="1"/>
  <c r="BL31" i="3"/>
  <c r="C27" i="64" s="1"/>
  <c r="BL32" i="3"/>
  <c r="C28" i="64" s="1"/>
  <c r="BL42" i="3"/>
  <c r="C38" i="64" s="1"/>
  <c r="BL43" i="3"/>
  <c r="C39" i="64" s="1"/>
  <c r="BL44" i="3"/>
  <c r="BK13"/>
  <c r="BK14"/>
  <c r="C10" i="63" s="1"/>
  <c r="BK15" i="3"/>
  <c r="BK16"/>
  <c r="C12" i="63" s="1"/>
  <c r="BK17" i="3"/>
  <c r="BK18"/>
  <c r="BK19"/>
  <c r="C15" i="63" s="1"/>
  <c r="BK26" i="3"/>
  <c r="C22" i="63" s="1"/>
  <c r="BK27" i="3"/>
  <c r="C23" i="63" s="1"/>
  <c r="BK28" i="3"/>
  <c r="C24" i="63" s="1"/>
  <c r="BK29" i="3"/>
  <c r="C25" i="63" s="1"/>
  <c r="BK31" i="3"/>
  <c r="C27" i="63" s="1"/>
  <c r="BK32" i="3"/>
  <c r="C28" i="63" s="1"/>
  <c r="BK42" i="3"/>
  <c r="C38" i="63" s="1"/>
  <c r="BK43" i="3"/>
  <c r="C39" i="63" s="1"/>
  <c r="BK44" i="3"/>
  <c r="BJ13"/>
  <c r="BJ14"/>
  <c r="C10" i="62" s="1"/>
  <c r="BJ15" i="3"/>
  <c r="BJ16"/>
  <c r="C12" i="62" s="1"/>
  <c r="BJ17" i="3"/>
  <c r="BJ18"/>
  <c r="BJ19"/>
  <c r="C15" i="62" s="1"/>
  <c r="BJ26" i="3"/>
  <c r="C22" i="62" s="1"/>
  <c r="BJ27" i="3"/>
  <c r="C23" i="62" s="1"/>
  <c r="BJ28" i="3"/>
  <c r="C24" i="62" s="1"/>
  <c r="BJ29" i="3"/>
  <c r="C25" i="62" s="1"/>
  <c r="BJ31" i="3"/>
  <c r="C27" i="62" s="1"/>
  <c r="BJ32" i="3"/>
  <c r="C28" i="62" s="1"/>
  <c r="BJ42" i="3"/>
  <c r="C38" i="62" s="1"/>
  <c r="BJ43" i="3"/>
  <c r="C39" i="62" s="1"/>
  <c r="BJ44" i="3"/>
  <c r="BI13"/>
  <c r="BI14"/>
  <c r="C10" i="61" s="1"/>
  <c r="BI15" i="3"/>
  <c r="BI16"/>
  <c r="C12" i="61" s="1"/>
  <c r="BI17" i="3"/>
  <c r="BI18"/>
  <c r="BI19"/>
  <c r="C15" i="61" s="1"/>
  <c r="BI26" i="3"/>
  <c r="C22" i="61" s="1"/>
  <c r="BI27" i="3"/>
  <c r="C23" i="61" s="1"/>
  <c r="BI28" i="3"/>
  <c r="C24" i="61" s="1"/>
  <c r="BI29" i="3"/>
  <c r="C25" i="61" s="1"/>
  <c r="BI31" i="3"/>
  <c r="C27" i="61" s="1"/>
  <c r="BI32" i="3"/>
  <c r="C28" i="61" s="1"/>
  <c r="BI42" i="3"/>
  <c r="C38" i="61" s="1"/>
  <c r="BI43" i="3"/>
  <c r="C39" i="61" s="1"/>
  <c r="BI44" i="3"/>
  <c r="BH13"/>
  <c r="BH14"/>
  <c r="C10" i="60" s="1"/>
  <c r="BH15" i="3"/>
  <c r="BH16"/>
  <c r="C12" i="60" s="1"/>
  <c r="BH17" i="3"/>
  <c r="BH18"/>
  <c r="BH19"/>
  <c r="C15" i="60" s="1"/>
  <c r="BH26" i="3"/>
  <c r="C22" i="60" s="1"/>
  <c r="BH27" i="3"/>
  <c r="C23" i="60" s="1"/>
  <c r="BH28" i="3"/>
  <c r="C24" i="60" s="1"/>
  <c r="BH29" i="3"/>
  <c r="C25" i="60" s="1"/>
  <c r="BH31" i="3"/>
  <c r="C27" i="60" s="1"/>
  <c r="BH32" i="3"/>
  <c r="C28" i="60" s="1"/>
  <c r="BH42" i="3"/>
  <c r="C38" i="60" s="1"/>
  <c r="BH43" i="3"/>
  <c r="C39" i="60" s="1"/>
  <c r="BH44" i="3"/>
  <c r="BG13"/>
  <c r="BG14"/>
  <c r="C10" i="59" s="1"/>
  <c r="BG15" i="3"/>
  <c r="BG16"/>
  <c r="C12" i="59" s="1"/>
  <c r="BG17" i="3"/>
  <c r="BG18"/>
  <c r="BG19"/>
  <c r="C15" i="59" s="1"/>
  <c r="E15" s="1"/>
  <c r="BG26" i="3"/>
  <c r="C22" i="59" s="1"/>
  <c r="BG27" i="3"/>
  <c r="C23" i="59" s="1"/>
  <c r="BG28" i="3"/>
  <c r="C24" i="59" s="1"/>
  <c r="BG29" i="3"/>
  <c r="C25" i="59" s="1"/>
  <c r="BG31" i="3"/>
  <c r="C27" i="59" s="1"/>
  <c r="BG32" i="3"/>
  <c r="C28" i="59" s="1"/>
  <c r="BG42" i="3"/>
  <c r="C38" i="59" s="1"/>
  <c r="BG43" i="3"/>
  <c r="C39" i="59" s="1"/>
  <c r="BG44" i="3"/>
  <c r="BF13"/>
  <c r="BF14"/>
  <c r="C10" i="58" s="1"/>
  <c r="BF15" i="3"/>
  <c r="BF16"/>
  <c r="C12" i="58" s="1"/>
  <c r="BF17" i="3"/>
  <c r="BF18"/>
  <c r="BF19"/>
  <c r="C15" i="58" s="1"/>
  <c r="BF26" i="3"/>
  <c r="C22" i="58" s="1"/>
  <c r="BF27" i="3"/>
  <c r="C23" i="58" s="1"/>
  <c r="BF28" i="3"/>
  <c r="C24" i="58" s="1"/>
  <c r="BF29" i="3"/>
  <c r="C25" i="58" s="1"/>
  <c r="BF31" i="3"/>
  <c r="C27" i="58" s="1"/>
  <c r="BF32" i="3"/>
  <c r="C28" i="58" s="1"/>
  <c r="BF42" i="3"/>
  <c r="C38" i="58" s="1"/>
  <c r="BF43" i="3"/>
  <c r="C39" i="58" s="1"/>
  <c r="BF44" i="3"/>
  <c r="BE13"/>
  <c r="BE14"/>
  <c r="C10" i="57" s="1"/>
  <c r="BE15" i="3"/>
  <c r="BE16"/>
  <c r="C12" i="57" s="1"/>
  <c r="BE17" i="3"/>
  <c r="BE18"/>
  <c r="BE19"/>
  <c r="C15" i="57" s="1"/>
  <c r="BE26" i="3"/>
  <c r="C22" i="57" s="1"/>
  <c r="BE27" i="3"/>
  <c r="C23" i="57" s="1"/>
  <c r="BE28" i="3"/>
  <c r="C24" i="57" s="1"/>
  <c r="BE29" i="3"/>
  <c r="C25" i="57" s="1"/>
  <c r="BE31" i="3"/>
  <c r="C27" i="57" s="1"/>
  <c r="BE32" i="3"/>
  <c r="C28" i="57" s="1"/>
  <c r="BE42" i="3"/>
  <c r="C38" i="57" s="1"/>
  <c r="BE43" i="3"/>
  <c r="C39" i="57" s="1"/>
  <c r="BE44" i="3"/>
  <c r="BD13"/>
  <c r="BD14"/>
  <c r="C10" i="56" s="1"/>
  <c r="BD15" i="3"/>
  <c r="BD16"/>
  <c r="C12" i="56" s="1"/>
  <c r="BD17" i="3"/>
  <c r="BD18"/>
  <c r="BD19"/>
  <c r="C15" i="56" s="1"/>
  <c r="BD26" i="3"/>
  <c r="C22" i="56" s="1"/>
  <c r="BD27" i="3"/>
  <c r="C23" i="56" s="1"/>
  <c r="BD28" i="3"/>
  <c r="C24" i="56" s="1"/>
  <c r="BD29" i="3"/>
  <c r="C25" i="56" s="1"/>
  <c r="BD31" i="3"/>
  <c r="C27" i="56" s="1"/>
  <c r="BD32" i="3"/>
  <c r="C28" i="56" s="1"/>
  <c r="BD42" i="3"/>
  <c r="C38" i="56" s="1"/>
  <c r="BD43" i="3"/>
  <c r="C39" i="56" s="1"/>
  <c r="BD44" i="3"/>
  <c r="BC13"/>
  <c r="BC14"/>
  <c r="C10" i="98" s="1"/>
  <c r="BC15" i="3"/>
  <c r="BC16"/>
  <c r="C12" i="98" s="1"/>
  <c r="BC17" i="3"/>
  <c r="D13" i="98" s="1"/>
  <c r="BC18" i="3"/>
  <c r="D14" i="98" s="1"/>
  <c r="BC19" i="3"/>
  <c r="C15" i="98" s="1"/>
  <c r="BC26" i="3"/>
  <c r="C22" i="98" s="1"/>
  <c r="BC27" i="3"/>
  <c r="C23" i="98" s="1"/>
  <c r="BC28" i="3"/>
  <c r="C24" i="98" s="1"/>
  <c r="BC29" i="3"/>
  <c r="C25" i="98" s="1"/>
  <c r="BC31" i="3"/>
  <c r="C27" i="98" s="1"/>
  <c r="BC32" i="3"/>
  <c r="C28" i="98" s="1"/>
  <c r="BC42" i="3"/>
  <c r="C38" i="98" s="1"/>
  <c r="BC43" i="3"/>
  <c r="C39" i="98" s="1"/>
  <c r="BC44" i="3"/>
  <c r="D40" i="98" s="1"/>
  <c r="BB13" i="3"/>
  <c r="BB14"/>
  <c r="C10" i="55" s="1"/>
  <c r="BB15" i="3"/>
  <c r="BB16"/>
  <c r="C12" i="55" s="1"/>
  <c r="BB17" i="3"/>
  <c r="D13" i="55" s="1"/>
  <c r="BB18" i="3"/>
  <c r="D14" i="55" s="1"/>
  <c r="BB19" i="3"/>
  <c r="C15" i="55" s="1"/>
  <c r="BB26" i="3"/>
  <c r="C22" i="55" s="1"/>
  <c r="BB27" i="3"/>
  <c r="C23" i="55" s="1"/>
  <c r="BB28" i="3"/>
  <c r="C24" i="55" s="1"/>
  <c r="BB29" i="3"/>
  <c r="C25" i="55" s="1"/>
  <c r="BB31" i="3"/>
  <c r="C27" i="55" s="1"/>
  <c r="BB32" i="3"/>
  <c r="C28" i="55" s="1"/>
  <c r="BB42" i="3"/>
  <c r="C38" i="55" s="1"/>
  <c r="BB43" i="3"/>
  <c r="C39" i="55" s="1"/>
  <c r="BB44" i="3"/>
  <c r="D40" i="55" s="1"/>
  <c r="BA13" i="3"/>
  <c r="BA14"/>
  <c r="C10" i="54" s="1"/>
  <c r="BA15" i="3"/>
  <c r="BA16"/>
  <c r="C12" i="54" s="1"/>
  <c r="BA17" i="3"/>
  <c r="BA18"/>
  <c r="BA19"/>
  <c r="C15" i="54" s="1"/>
  <c r="BA26" i="3"/>
  <c r="C22" i="54" s="1"/>
  <c r="BA27" i="3"/>
  <c r="C23" i="54" s="1"/>
  <c r="BA28" i="3"/>
  <c r="C24" i="54" s="1"/>
  <c r="BA29" i="3"/>
  <c r="C25" i="54" s="1"/>
  <c r="BA31" i="3"/>
  <c r="C27" i="54" s="1"/>
  <c r="BA32" i="3"/>
  <c r="C28" i="54" s="1"/>
  <c r="BA42" i="3"/>
  <c r="C38" i="54" s="1"/>
  <c r="BA43" i="3"/>
  <c r="C39" i="54" s="1"/>
  <c r="BA44" i="3"/>
  <c r="AZ13"/>
  <c r="AZ14"/>
  <c r="C10" i="53" s="1"/>
  <c r="AZ15" i="3"/>
  <c r="AZ16"/>
  <c r="C12" i="53" s="1"/>
  <c r="AZ17" i="3"/>
  <c r="AZ18"/>
  <c r="AZ19"/>
  <c r="C15" i="53" s="1"/>
  <c r="AZ26" i="3"/>
  <c r="C22" i="53" s="1"/>
  <c r="AZ27" i="3"/>
  <c r="C23" i="53" s="1"/>
  <c r="AZ28" i="3"/>
  <c r="C24" i="53" s="1"/>
  <c r="AZ29" i="3"/>
  <c r="C25" i="53" s="1"/>
  <c r="AZ31" i="3"/>
  <c r="C27" i="53" s="1"/>
  <c r="AZ32" i="3"/>
  <c r="C28" i="53" s="1"/>
  <c r="AZ42" i="3"/>
  <c r="C38" i="53" s="1"/>
  <c r="AZ43" i="3"/>
  <c r="C39" i="53" s="1"/>
  <c r="AZ44" i="3"/>
  <c r="AY13"/>
  <c r="AY14"/>
  <c r="C10" i="52" s="1"/>
  <c r="AY15" i="3"/>
  <c r="AY16"/>
  <c r="C12" i="52" s="1"/>
  <c r="AY17" i="3"/>
  <c r="AY18"/>
  <c r="AY19"/>
  <c r="C15" i="52" s="1"/>
  <c r="AY26" i="3"/>
  <c r="C22" i="52" s="1"/>
  <c r="AY27" i="3"/>
  <c r="C23" i="52" s="1"/>
  <c r="AY28" i="3"/>
  <c r="C24" i="52" s="1"/>
  <c r="AY29" i="3"/>
  <c r="C25" i="52" s="1"/>
  <c r="AY31" i="3"/>
  <c r="C27" i="52" s="1"/>
  <c r="AY32" i="3"/>
  <c r="C28" i="52" s="1"/>
  <c r="AY42" i="3"/>
  <c r="C38" i="52" s="1"/>
  <c r="AY43" i="3"/>
  <c r="C39" i="52" s="1"/>
  <c r="AY44" i="3"/>
  <c r="AX13"/>
  <c r="AX14"/>
  <c r="C10" i="51" s="1"/>
  <c r="AX15" i="3"/>
  <c r="AX16"/>
  <c r="C12" i="51" s="1"/>
  <c r="AX17" i="3"/>
  <c r="D13" i="51" s="1"/>
  <c r="AX18" i="3"/>
  <c r="D14" i="51" s="1"/>
  <c r="AX19" i="3"/>
  <c r="C15" i="51" s="1"/>
  <c r="AX26" i="3"/>
  <c r="C22" i="51" s="1"/>
  <c r="AX27" i="3"/>
  <c r="C23" i="51" s="1"/>
  <c r="AX28" i="3"/>
  <c r="C24" i="51" s="1"/>
  <c r="AX29" i="3"/>
  <c r="C25" i="51" s="1"/>
  <c r="AX31" i="3"/>
  <c r="C27" i="51" s="1"/>
  <c r="AX32" i="3"/>
  <c r="C28" i="51" s="1"/>
  <c r="AX42" i="3"/>
  <c r="C38" i="51" s="1"/>
  <c r="AX43" i="3"/>
  <c r="C39" i="51" s="1"/>
  <c r="AX44" i="3"/>
  <c r="D40" i="51" s="1"/>
  <c r="AW13" i="3"/>
  <c r="AW14"/>
  <c r="C10" i="50" s="1"/>
  <c r="AW15" i="3"/>
  <c r="AW16"/>
  <c r="C12" i="50" s="1"/>
  <c r="AW17" i="3"/>
  <c r="D13" i="50" s="1"/>
  <c r="AW18" i="3"/>
  <c r="D14" i="50" s="1"/>
  <c r="AW19" i="3"/>
  <c r="C15" i="50" s="1"/>
  <c r="AW26" i="3"/>
  <c r="C22" i="50" s="1"/>
  <c r="AW27" i="3"/>
  <c r="C23" i="50" s="1"/>
  <c r="AW28" i="3"/>
  <c r="C24" i="50" s="1"/>
  <c r="AW29" i="3"/>
  <c r="C25" i="50" s="1"/>
  <c r="AW31" i="3"/>
  <c r="C27" i="50" s="1"/>
  <c r="AW32" i="3"/>
  <c r="C28" i="50" s="1"/>
  <c r="AW42" i="3"/>
  <c r="C38" i="50" s="1"/>
  <c r="AW43" i="3"/>
  <c r="C39" i="50" s="1"/>
  <c r="AW44" i="3"/>
  <c r="D40" i="50" s="1"/>
  <c r="AV13" i="3"/>
  <c r="AV14"/>
  <c r="C10" i="49" s="1"/>
  <c r="AV15" i="3"/>
  <c r="AV16"/>
  <c r="C12" i="49" s="1"/>
  <c r="AV17" i="3"/>
  <c r="D13" i="49" s="1"/>
  <c r="AV18" i="3"/>
  <c r="D14" i="49" s="1"/>
  <c r="AV19" i="3"/>
  <c r="C15" i="49" s="1"/>
  <c r="AV26" i="3"/>
  <c r="C22" i="49" s="1"/>
  <c r="AV27" i="3"/>
  <c r="C23" i="49" s="1"/>
  <c r="AV28" i="3"/>
  <c r="C24" i="49" s="1"/>
  <c r="AV29" i="3"/>
  <c r="C25" i="49" s="1"/>
  <c r="AV31" i="3"/>
  <c r="C27" i="49" s="1"/>
  <c r="AV32" i="3"/>
  <c r="C28" i="49" s="1"/>
  <c r="AV42" i="3"/>
  <c r="C38" i="49" s="1"/>
  <c r="AV43" i="3"/>
  <c r="C39" i="49" s="1"/>
  <c r="AV44" i="3"/>
  <c r="D40" i="49" s="1"/>
  <c r="AU13" i="3"/>
  <c r="AU14"/>
  <c r="C10" i="48" s="1"/>
  <c r="AU15" i="3"/>
  <c r="AU16"/>
  <c r="C12" i="48" s="1"/>
  <c r="AU17" i="3"/>
  <c r="D13" i="48" s="1"/>
  <c r="AU18" i="3"/>
  <c r="D14" i="48" s="1"/>
  <c r="AU19" i="3"/>
  <c r="C15" i="48" s="1"/>
  <c r="AU26" i="3"/>
  <c r="C22" i="48" s="1"/>
  <c r="AU27" i="3"/>
  <c r="C23" i="48" s="1"/>
  <c r="AU28" i="3"/>
  <c r="C24" i="48" s="1"/>
  <c r="AU29" i="3"/>
  <c r="C25" i="48" s="1"/>
  <c r="AU31" i="3"/>
  <c r="C27" i="48" s="1"/>
  <c r="AU32" i="3"/>
  <c r="C28" i="48" s="1"/>
  <c r="AU42" i="3"/>
  <c r="C38" i="48" s="1"/>
  <c r="AU43" i="3"/>
  <c r="C39" i="48" s="1"/>
  <c r="AU44" i="3"/>
  <c r="D40" i="48" s="1"/>
  <c r="AT13" i="3"/>
  <c r="AT14"/>
  <c r="C10" i="47" s="1"/>
  <c r="AT15" i="3"/>
  <c r="AT16"/>
  <c r="C12" i="47" s="1"/>
  <c r="AT17" i="3"/>
  <c r="D13" i="47" s="1"/>
  <c r="AT18" i="3"/>
  <c r="D14" i="47" s="1"/>
  <c r="AT19" i="3"/>
  <c r="C15" i="47" s="1"/>
  <c r="AT26" i="3"/>
  <c r="C22" i="47" s="1"/>
  <c r="AT27" i="3"/>
  <c r="C23" i="47" s="1"/>
  <c r="AT28" i="3"/>
  <c r="C24" i="47" s="1"/>
  <c r="AT29" i="3"/>
  <c r="C25" i="47" s="1"/>
  <c r="AT31" i="3"/>
  <c r="C27" i="47" s="1"/>
  <c r="AT32" i="3"/>
  <c r="C28" i="47" s="1"/>
  <c r="AT42" i="3"/>
  <c r="C38" i="47" s="1"/>
  <c r="AT43" i="3"/>
  <c r="C39" i="47" s="1"/>
  <c r="AT44" i="3"/>
  <c r="D40" i="47" s="1"/>
  <c r="AS13" i="3"/>
  <c r="AS14"/>
  <c r="C10" i="46" s="1"/>
  <c r="AS15" i="3"/>
  <c r="AS16"/>
  <c r="C12" i="46" s="1"/>
  <c r="AS17" i="3"/>
  <c r="AS18"/>
  <c r="AS19"/>
  <c r="C15" i="46" s="1"/>
  <c r="AS26" i="3"/>
  <c r="C22" i="46" s="1"/>
  <c r="AS27" i="3"/>
  <c r="C23" i="46" s="1"/>
  <c r="AS28" i="3"/>
  <c r="C24" i="46" s="1"/>
  <c r="AS29" i="3"/>
  <c r="C25" i="46" s="1"/>
  <c r="AS31" i="3"/>
  <c r="C27" i="46" s="1"/>
  <c r="AS32" i="3"/>
  <c r="C28" i="46" s="1"/>
  <c r="AS42" i="3"/>
  <c r="C38" i="46" s="1"/>
  <c r="D38" s="1"/>
  <c r="AS43" i="3"/>
  <c r="C39" i="46" s="1"/>
  <c r="E39" s="1"/>
  <c r="AS44" i="3"/>
  <c r="AR13"/>
  <c r="AR14"/>
  <c r="C10" i="45" s="1"/>
  <c r="AR15" i="3"/>
  <c r="AR16"/>
  <c r="C12" i="45" s="1"/>
  <c r="AR17" i="3"/>
  <c r="AR18"/>
  <c r="AR19"/>
  <c r="C15" i="45" s="1"/>
  <c r="AR26" i="3"/>
  <c r="C22" i="45" s="1"/>
  <c r="AR27" i="3"/>
  <c r="C23" i="45" s="1"/>
  <c r="AR28" i="3"/>
  <c r="C24" i="45" s="1"/>
  <c r="AR29" i="3"/>
  <c r="C25" i="45" s="1"/>
  <c r="AR31" i="3"/>
  <c r="C27" i="45" s="1"/>
  <c r="AR32" i="3"/>
  <c r="C28" i="45" s="1"/>
  <c r="AR42" i="3"/>
  <c r="C38" i="45" s="1"/>
  <c r="AR43" i="3"/>
  <c r="C39" i="45" s="1"/>
  <c r="AR44" i="3"/>
  <c r="AQ13"/>
  <c r="AQ14"/>
  <c r="C10" i="44" s="1"/>
  <c r="AQ15" i="3"/>
  <c r="AQ16"/>
  <c r="C12" i="44" s="1"/>
  <c r="AQ17" i="3"/>
  <c r="AQ18"/>
  <c r="AQ19"/>
  <c r="C15" i="44" s="1"/>
  <c r="AQ26" i="3"/>
  <c r="C22" i="44" s="1"/>
  <c r="AQ27" i="3"/>
  <c r="C23" i="44" s="1"/>
  <c r="AQ28" i="3"/>
  <c r="C24" i="44" s="1"/>
  <c r="AQ29" i="3"/>
  <c r="C25" i="44" s="1"/>
  <c r="AQ31" i="3"/>
  <c r="C27" i="44" s="1"/>
  <c r="AQ32" i="3"/>
  <c r="C28" i="44" s="1"/>
  <c r="AQ42" i="3"/>
  <c r="C38" i="44" s="1"/>
  <c r="AQ43" i="3"/>
  <c r="C39" i="44" s="1"/>
  <c r="AQ44" i="3"/>
  <c r="AP13"/>
  <c r="AP14"/>
  <c r="C10" i="43" s="1"/>
  <c r="AP15" i="3"/>
  <c r="AP16"/>
  <c r="C12" i="43" s="1"/>
  <c r="AP17" i="3"/>
  <c r="AP18"/>
  <c r="AP19"/>
  <c r="C15" i="43" s="1"/>
  <c r="AP26" i="3"/>
  <c r="C22" i="43" s="1"/>
  <c r="AP27" i="3"/>
  <c r="C23" i="43" s="1"/>
  <c r="AP28" i="3"/>
  <c r="C24" i="43" s="1"/>
  <c r="AP29" i="3"/>
  <c r="C25" i="43" s="1"/>
  <c r="AP31" i="3"/>
  <c r="C27" i="43" s="1"/>
  <c r="AP32" i="3"/>
  <c r="C28" i="43" s="1"/>
  <c r="AP42" i="3"/>
  <c r="C38" i="43" s="1"/>
  <c r="AP43" i="3"/>
  <c r="C39" i="43" s="1"/>
  <c r="E39" s="1"/>
  <c r="AP44" i="3"/>
  <c r="AO13"/>
  <c r="AO14"/>
  <c r="C10" i="42" s="1"/>
  <c r="AO15" i="3"/>
  <c r="AO16"/>
  <c r="C12" i="42" s="1"/>
  <c r="AO17" i="3"/>
  <c r="AO18"/>
  <c r="AO19"/>
  <c r="C15" i="42" s="1"/>
  <c r="AO26" i="3"/>
  <c r="C22" i="42" s="1"/>
  <c r="AO27" i="3"/>
  <c r="C23" i="42" s="1"/>
  <c r="AO28" i="3"/>
  <c r="C24" i="42" s="1"/>
  <c r="AO29" i="3"/>
  <c r="C25" i="42" s="1"/>
  <c r="AO31" i="3"/>
  <c r="C27" i="42" s="1"/>
  <c r="AO32" i="3"/>
  <c r="C28" i="42" s="1"/>
  <c r="AO42" i="3"/>
  <c r="C38" i="42" s="1"/>
  <c r="AO43" i="3"/>
  <c r="C39" i="42" s="1"/>
  <c r="E39" s="1"/>
  <c r="AO44" i="3"/>
  <c r="AN13"/>
  <c r="AN14"/>
  <c r="C10" i="41" s="1"/>
  <c r="AN15" i="3"/>
  <c r="AN16"/>
  <c r="C12" i="41" s="1"/>
  <c r="AN17" i="3"/>
  <c r="AN18"/>
  <c r="AN19"/>
  <c r="C15" i="41" s="1"/>
  <c r="AN26" i="3"/>
  <c r="C22" i="41" s="1"/>
  <c r="AN27" i="3"/>
  <c r="C23" i="41" s="1"/>
  <c r="AN28" i="3"/>
  <c r="C24" i="41" s="1"/>
  <c r="AN29" i="3"/>
  <c r="C25" i="41" s="1"/>
  <c r="AN31" i="3"/>
  <c r="C27" i="41" s="1"/>
  <c r="AN32" i="3"/>
  <c r="C28" i="41" s="1"/>
  <c r="AN42" i="3"/>
  <c r="C38" i="41" s="1"/>
  <c r="AN43" i="3"/>
  <c r="C39" i="41" s="1"/>
  <c r="E39" s="1"/>
  <c r="AN44" i="3"/>
  <c r="AM13"/>
  <c r="AM14"/>
  <c r="C10" i="40" s="1"/>
  <c r="AM15" i="3"/>
  <c r="AM16"/>
  <c r="C12" i="40" s="1"/>
  <c r="AM17" i="3"/>
  <c r="AM18"/>
  <c r="AM19"/>
  <c r="C15" i="40" s="1"/>
  <c r="AM26" i="3"/>
  <c r="C22" i="40" s="1"/>
  <c r="AM27" i="3"/>
  <c r="C23" i="40" s="1"/>
  <c r="AM28" i="3"/>
  <c r="C24" i="40" s="1"/>
  <c r="AM29" i="3"/>
  <c r="C25" i="40" s="1"/>
  <c r="AM31" i="3"/>
  <c r="C27" i="40" s="1"/>
  <c r="AM32" i="3"/>
  <c r="C28" i="40" s="1"/>
  <c r="AM42" i="3"/>
  <c r="C38" i="40" s="1"/>
  <c r="AM43" i="3"/>
  <c r="C39" i="40" s="1"/>
  <c r="AM44" i="3"/>
  <c r="AL13"/>
  <c r="AL14"/>
  <c r="C10" i="39" s="1"/>
  <c r="AL15" i="3"/>
  <c r="AL16"/>
  <c r="C12" i="39" s="1"/>
  <c r="AL17" i="3"/>
  <c r="AL18"/>
  <c r="AL19"/>
  <c r="C15" i="39" s="1"/>
  <c r="AL26" i="3"/>
  <c r="C22" i="39" s="1"/>
  <c r="AL27" i="3"/>
  <c r="C23" i="39" s="1"/>
  <c r="AL28" i="3"/>
  <c r="C24" i="39" s="1"/>
  <c r="AL29" i="3"/>
  <c r="C25" i="39" s="1"/>
  <c r="AL31" i="3"/>
  <c r="C27" i="39" s="1"/>
  <c r="AL32" i="3"/>
  <c r="C28" i="39" s="1"/>
  <c r="AL42" i="3"/>
  <c r="C38" i="39" s="1"/>
  <c r="AL43" i="3"/>
  <c r="C39" i="39" s="1"/>
  <c r="AL44" i="3"/>
  <c r="AK13"/>
  <c r="AK14"/>
  <c r="C10" i="38" s="1"/>
  <c r="AK15" i="3"/>
  <c r="AK16"/>
  <c r="C12" i="38" s="1"/>
  <c r="AK17" i="3"/>
  <c r="D13" i="38" s="1"/>
  <c r="AK18" i="3"/>
  <c r="D14" i="38" s="1"/>
  <c r="AK19" i="3"/>
  <c r="C15" i="38" s="1"/>
  <c r="AK26" i="3"/>
  <c r="C22" i="38" s="1"/>
  <c r="AK27" i="3"/>
  <c r="C23" i="38" s="1"/>
  <c r="AK28" i="3"/>
  <c r="C24" i="38" s="1"/>
  <c r="AK29" i="3"/>
  <c r="C25" i="38" s="1"/>
  <c r="AK31" i="3"/>
  <c r="C27" i="38" s="1"/>
  <c r="AK32" i="3"/>
  <c r="C28" i="38" s="1"/>
  <c r="AK42" i="3"/>
  <c r="C38" i="38" s="1"/>
  <c r="AK43" i="3"/>
  <c r="C39" i="38" s="1"/>
  <c r="AK44" i="3"/>
  <c r="D40" i="38" s="1"/>
  <c r="AJ13" i="3"/>
  <c r="AJ14"/>
  <c r="C10" i="37" s="1"/>
  <c r="AJ15" i="3"/>
  <c r="AJ16"/>
  <c r="C12" i="37" s="1"/>
  <c r="AJ17" i="3"/>
  <c r="AJ18"/>
  <c r="AJ19"/>
  <c r="C15" i="37" s="1"/>
  <c r="AJ26" i="3"/>
  <c r="C22" i="37" s="1"/>
  <c r="AJ27" i="3"/>
  <c r="C23" i="37" s="1"/>
  <c r="AJ28" i="3"/>
  <c r="C24" i="37" s="1"/>
  <c r="AJ29" i="3"/>
  <c r="C25" i="37" s="1"/>
  <c r="AJ31" i="3"/>
  <c r="C27" i="37" s="1"/>
  <c r="AJ32" i="3"/>
  <c r="C28" i="37" s="1"/>
  <c r="AJ42" i="3"/>
  <c r="C38" i="37" s="1"/>
  <c r="AJ43" i="3"/>
  <c r="C39" i="37" s="1"/>
  <c r="AJ44" i="3"/>
  <c r="AI13"/>
  <c r="AI14"/>
  <c r="C10" i="36" s="1"/>
  <c r="AI15" i="3"/>
  <c r="AI16"/>
  <c r="C12" i="36" s="1"/>
  <c r="AI17" i="3"/>
  <c r="AI18"/>
  <c r="AI19"/>
  <c r="C15" i="36" s="1"/>
  <c r="AI26" i="3"/>
  <c r="C22" i="36" s="1"/>
  <c r="AI27" i="3"/>
  <c r="C23" i="36" s="1"/>
  <c r="AI28" i="3"/>
  <c r="C24" i="36" s="1"/>
  <c r="AI29" i="3"/>
  <c r="C25" i="36" s="1"/>
  <c r="AI31" i="3"/>
  <c r="C27" i="36" s="1"/>
  <c r="AI32" i="3"/>
  <c r="C28" i="36" s="1"/>
  <c r="AI42" i="3"/>
  <c r="C38" i="36" s="1"/>
  <c r="AI43" i="3"/>
  <c r="C39" i="36" s="1"/>
  <c r="AI44" i="3"/>
  <c r="AH13"/>
  <c r="AH14"/>
  <c r="C10" i="35" s="1"/>
  <c r="AH15" i="3"/>
  <c r="AH16"/>
  <c r="C12" i="35" s="1"/>
  <c r="AH17" i="3"/>
  <c r="AH18"/>
  <c r="AH19"/>
  <c r="C15" i="35" s="1"/>
  <c r="AH26" i="3"/>
  <c r="C22" i="35" s="1"/>
  <c r="AH27" i="3"/>
  <c r="C23" i="35" s="1"/>
  <c r="AH28" i="3"/>
  <c r="C24" i="35" s="1"/>
  <c r="AH29" i="3"/>
  <c r="C25" i="35" s="1"/>
  <c r="AH31" i="3"/>
  <c r="C27" i="35" s="1"/>
  <c r="AH32" i="3"/>
  <c r="C28" i="35" s="1"/>
  <c r="AH42" i="3"/>
  <c r="C38" i="35" s="1"/>
  <c r="AH43" i="3"/>
  <c r="C39" i="35" s="1"/>
  <c r="AH44" i="3"/>
  <c r="AG13"/>
  <c r="AG14"/>
  <c r="C10" i="34" s="1"/>
  <c r="AG15" i="3"/>
  <c r="AG16"/>
  <c r="C12" i="34" s="1"/>
  <c r="AG17" i="3"/>
  <c r="AG18"/>
  <c r="AG19"/>
  <c r="C15" i="34" s="1"/>
  <c r="AG26" i="3"/>
  <c r="C22" i="34" s="1"/>
  <c r="AG27" i="3"/>
  <c r="C23" i="34" s="1"/>
  <c r="AG28" i="3"/>
  <c r="C24" i="34" s="1"/>
  <c r="AG29" i="3"/>
  <c r="C25" i="34" s="1"/>
  <c r="AG31" i="3"/>
  <c r="C27" i="34" s="1"/>
  <c r="AG32" i="3"/>
  <c r="C28" i="34" s="1"/>
  <c r="AG42" i="3"/>
  <c r="C38" i="34" s="1"/>
  <c r="AG43" i="3"/>
  <c r="C39" i="34" s="1"/>
  <c r="AG44" i="3"/>
  <c r="AF13"/>
  <c r="AF14"/>
  <c r="C10" i="33" s="1"/>
  <c r="AF15" i="3"/>
  <c r="AF16"/>
  <c r="C12" i="33" s="1"/>
  <c r="AF17" i="3"/>
  <c r="AF18"/>
  <c r="AF19"/>
  <c r="C15" i="33" s="1"/>
  <c r="AF26" i="3"/>
  <c r="C22" i="33" s="1"/>
  <c r="AF27" i="3"/>
  <c r="C23" i="33" s="1"/>
  <c r="AF28" i="3"/>
  <c r="C24" i="33" s="1"/>
  <c r="AF29" i="3"/>
  <c r="C25" i="33" s="1"/>
  <c r="AF31" i="3"/>
  <c r="C27" i="33" s="1"/>
  <c r="AF32" i="3"/>
  <c r="C28" i="33" s="1"/>
  <c r="AF42" i="3"/>
  <c r="C38" i="33" s="1"/>
  <c r="AF43" i="3"/>
  <c r="C39" i="33" s="1"/>
  <c r="AF44" i="3"/>
  <c r="AE13"/>
  <c r="AE14"/>
  <c r="C10" i="32" s="1"/>
  <c r="AE15" i="3"/>
  <c r="AE16"/>
  <c r="C12" i="32" s="1"/>
  <c r="AE17" i="3"/>
  <c r="AE18"/>
  <c r="AE19"/>
  <c r="C15" i="32" s="1"/>
  <c r="AE26" i="3"/>
  <c r="C22" i="32" s="1"/>
  <c r="AE27" i="3"/>
  <c r="C23" i="32" s="1"/>
  <c r="AE28" i="3"/>
  <c r="C24" i="32" s="1"/>
  <c r="AE29" i="3"/>
  <c r="C25" i="32" s="1"/>
  <c r="AE31" i="3"/>
  <c r="C27" i="32" s="1"/>
  <c r="AE32" i="3"/>
  <c r="C28" i="32" s="1"/>
  <c r="AE42" i="3"/>
  <c r="C38" i="32" s="1"/>
  <c r="AE43" i="3"/>
  <c r="C39" i="32" s="1"/>
  <c r="AE44" i="3"/>
  <c r="AD13"/>
  <c r="AD14"/>
  <c r="C10" i="31" s="1"/>
  <c r="AD15" i="3"/>
  <c r="AD16"/>
  <c r="C12" i="31" s="1"/>
  <c r="AD17" i="3"/>
  <c r="AD18"/>
  <c r="AD19"/>
  <c r="C15" i="31" s="1"/>
  <c r="AD26" i="3"/>
  <c r="C22" i="31" s="1"/>
  <c r="AD27" i="3"/>
  <c r="C23" i="31" s="1"/>
  <c r="AD28" i="3"/>
  <c r="C24" i="31" s="1"/>
  <c r="AD29" i="3"/>
  <c r="C25" i="31" s="1"/>
  <c r="AD31" i="3"/>
  <c r="C27" i="31" s="1"/>
  <c r="AD32" i="3"/>
  <c r="C28" i="31" s="1"/>
  <c r="AD42" i="3"/>
  <c r="C38" i="31" s="1"/>
  <c r="AD43" i="3"/>
  <c r="C39" i="31" s="1"/>
  <c r="AD44" i="3"/>
  <c r="AC13"/>
  <c r="AC14"/>
  <c r="C10" i="30" s="1"/>
  <c r="AC15" i="3"/>
  <c r="AC16"/>
  <c r="C12" i="30" s="1"/>
  <c r="AC17" i="3"/>
  <c r="D13" i="30" s="1"/>
  <c r="AC18" i="3"/>
  <c r="D14" i="30" s="1"/>
  <c r="AC19" i="3"/>
  <c r="C15" i="30" s="1"/>
  <c r="AC26" i="3"/>
  <c r="C22" i="30" s="1"/>
  <c r="AC27" i="3"/>
  <c r="C23" i="30" s="1"/>
  <c r="AC28" i="3"/>
  <c r="C24" i="30" s="1"/>
  <c r="AC29" i="3"/>
  <c r="C25" i="30" s="1"/>
  <c r="AC31" i="3"/>
  <c r="C27" i="30" s="1"/>
  <c r="AC32" i="3"/>
  <c r="C28" i="30" s="1"/>
  <c r="AC42" i="3"/>
  <c r="C38" i="30" s="1"/>
  <c r="AC43" i="3"/>
  <c r="C39" i="30" s="1"/>
  <c r="E39" s="1"/>
  <c r="AC44" i="3"/>
  <c r="D40" i="30" s="1"/>
  <c r="AB13" i="3"/>
  <c r="AB14"/>
  <c r="C10" i="29" s="1"/>
  <c r="AB15" i="3"/>
  <c r="AB16"/>
  <c r="C12" i="29" s="1"/>
  <c r="AB17" i="3"/>
  <c r="D13" i="29" s="1"/>
  <c r="AB18" i="3"/>
  <c r="D14" i="29" s="1"/>
  <c r="AB19" i="3"/>
  <c r="C15" i="29" s="1"/>
  <c r="AB26" i="3"/>
  <c r="C22" i="29" s="1"/>
  <c r="AB27" i="3"/>
  <c r="C23" i="29" s="1"/>
  <c r="AB28" i="3"/>
  <c r="C24" i="29" s="1"/>
  <c r="AB29" i="3"/>
  <c r="C25" i="29" s="1"/>
  <c r="AB31" i="3"/>
  <c r="C27" i="29" s="1"/>
  <c r="AB32" i="3"/>
  <c r="C28" i="29" s="1"/>
  <c r="AB42" i="3"/>
  <c r="C38" i="29" s="1"/>
  <c r="AB43" i="3"/>
  <c r="C39" i="29" s="1"/>
  <c r="E39" s="1"/>
  <c r="AB44" i="3"/>
  <c r="D40" i="29" s="1"/>
  <c r="AA13" i="3"/>
  <c r="AA14"/>
  <c r="C10" i="28" s="1"/>
  <c r="AA15" i="3"/>
  <c r="AA16"/>
  <c r="C12" i="28" s="1"/>
  <c r="AA17" i="3"/>
  <c r="D13" i="28" s="1"/>
  <c r="AA18" i="3"/>
  <c r="AA19"/>
  <c r="C15" i="28" s="1"/>
  <c r="AA26" i="3"/>
  <c r="C22" i="28" s="1"/>
  <c r="AA27" i="3"/>
  <c r="C23" i="28" s="1"/>
  <c r="AA28" i="3"/>
  <c r="C24" i="28" s="1"/>
  <c r="AA29" i="3"/>
  <c r="C25" i="28" s="1"/>
  <c r="AA31" i="3"/>
  <c r="C27" i="28" s="1"/>
  <c r="AA32" i="3"/>
  <c r="C28" i="28" s="1"/>
  <c r="AA42" i="3"/>
  <c r="C38" i="28" s="1"/>
  <c r="AA43" i="3"/>
  <c r="C39" i="28" s="1"/>
  <c r="E39" s="1"/>
  <c r="AA44" i="3"/>
  <c r="D40" i="28" s="1"/>
  <c r="Z13" i="3"/>
  <c r="Z14"/>
  <c r="C10" i="27" s="1"/>
  <c r="Z15" i="3"/>
  <c r="Z16"/>
  <c r="C12" i="27" s="1"/>
  <c r="Z17" i="3"/>
  <c r="D13" i="27" s="1"/>
  <c r="Z18" i="3"/>
  <c r="D14" i="27" s="1"/>
  <c r="Z19" i="3"/>
  <c r="C15" i="27" s="1"/>
  <c r="Z26" i="3"/>
  <c r="C22" i="27" s="1"/>
  <c r="Z27" i="3"/>
  <c r="C23" i="27" s="1"/>
  <c r="Z28" i="3"/>
  <c r="C24" i="27" s="1"/>
  <c r="Z29" i="3"/>
  <c r="C25" i="27" s="1"/>
  <c r="Z31" i="3"/>
  <c r="C27" i="27" s="1"/>
  <c r="Z32" i="3"/>
  <c r="C28" i="27" s="1"/>
  <c r="Z42" i="3"/>
  <c r="C38" i="27" s="1"/>
  <c r="Z43" i="3"/>
  <c r="C39" i="27" s="1"/>
  <c r="E39" s="1"/>
  <c r="Z44" i="3"/>
  <c r="D40" i="27" s="1"/>
  <c r="Y13" i="3"/>
  <c r="Y14"/>
  <c r="C10" i="26" s="1"/>
  <c r="Y15" i="3"/>
  <c r="Y16"/>
  <c r="C12" i="26" s="1"/>
  <c r="Y17" i="3"/>
  <c r="D13" i="26" s="1"/>
  <c r="Y18" i="3"/>
  <c r="D14" i="26" s="1"/>
  <c r="Y19" i="3"/>
  <c r="C15" i="26" s="1"/>
  <c r="Y26" i="3"/>
  <c r="C22" i="26" s="1"/>
  <c r="Y27" i="3"/>
  <c r="C23" i="26" s="1"/>
  <c r="Y28" i="3"/>
  <c r="C24" i="26" s="1"/>
  <c r="Y29" i="3"/>
  <c r="C25" i="26" s="1"/>
  <c r="Y31" i="3"/>
  <c r="C27" i="26" s="1"/>
  <c r="Y32" i="3"/>
  <c r="C28" i="26" s="1"/>
  <c r="Y42" i="3"/>
  <c r="C38" i="26" s="1"/>
  <c r="Y43" i="3"/>
  <c r="C39" i="26" s="1"/>
  <c r="E39" s="1"/>
  <c r="Y44" i="3"/>
  <c r="D40" i="26" s="1"/>
  <c r="X13" i="3"/>
  <c r="X14"/>
  <c r="C10" i="25" s="1"/>
  <c r="X15" i="3"/>
  <c r="X16"/>
  <c r="C12" i="25" s="1"/>
  <c r="X17" i="3"/>
  <c r="D13" i="25" s="1"/>
  <c r="X18" i="3"/>
  <c r="D14" i="25" s="1"/>
  <c r="X19" i="3"/>
  <c r="C15" i="25" s="1"/>
  <c r="X26" i="3"/>
  <c r="C22" i="25" s="1"/>
  <c r="X27" i="3"/>
  <c r="C23" i="25" s="1"/>
  <c r="X28" i="3"/>
  <c r="C24" i="25" s="1"/>
  <c r="X29" i="3"/>
  <c r="C25" i="25" s="1"/>
  <c r="X31" i="3"/>
  <c r="C27" i="25" s="1"/>
  <c r="X32" i="3"/>
  <c r="C28" i="25" s="1"/>
  <c r="X42" i="3"/>
  <c r="C38" i="25" s="1"/>
  <c r="X43" i="3"/>
  <c r="C39" i="25" s="1"/>
  <c r="E39" s="1"/>
  <c r="X44" i="3"/>
  <c r="D40" i="25" s="1"/>
  <c r="W13" i="3"/>
  <c r="W14"/>
  <c r="C10" i="24" s="1"/>
  <c r="W15" i="3"/>
  <c r="W16"/>
  <c r="C12" i="24" s="1"/>
  <c r="W17" i="3"/>
  <c r="D13" i="24" s="1"/>
  <c r="W18" i="3"/>
  <c r="D14" i="24" s="1"/>
  <c r="W19" i="3"/>
  <c r="C15" i="24" s="1"/>
  <c r="W26" i="3"/>
  <c r="C22" i="24" s="1"/>
  <c r="W27" i="3"/>
  <c r="C23" i="24" s="1"/>
  <c r="W28" i="3"/>
  <c r="C24" i="24" s="1"/>
  <c r="W29" i="3"/>
  <c r="C25" i="24" s="1"/>
  <c r="W31" i="3"/>
  <c r="C27" i="24" s="1"/>
  <c r="W32" i="3"/>
  <c r="C28" i="24" s="1"/>
  <c r="W42" i="3"/>
  <c r="C38" i="24" s="1"/>
  <c r="W43" i="3"/>
  <c r="C39" i="24" s="1"/>
  <c r="E39" s="1"/>
  <c r="W44" i="3"/>
  <c r="D40" i="24" s="1"/>
  <c r="V13" i="3"/>
  <c r="V14"/>
  <c r="C10" i="23" s="1"/>
  <c r="V15" i="3"/>
  <c r="V16"/>
  <c r="C12" i="23" s="1"/>
  <c r="V17" i="3"/>
  <c r="D13" i="23" s="1"/>
  <c r="V18" i="3"/>
  <c r="D14" i="23" s="1"/>
  <c r="V19" i="3"/>
  <c r="C15" i="23" s="1"/>
  <c r="V26" i="3"/>
  <c r="C22" i="23" s="1"/>
  <c r="V27" i="3"/>
  <c r="C23" i="23" s="1"/>
  <c r="V28" i="3"/>
  <c r="C24" i="23" s="1"/>
  <c r="V29" i="3"/>
  <c r="C25" i="23" s="1"/>
  <c r="V31" i="3"/>
  <c r="C27" i="23" s="1"/>
  <c r="V32" i="3"/>
  <c r="C28" i="23" s="1"/>
  <c r="V42" i="3"/>
  <c r="C38" i="23" s="1"/>
  <c r="V43" i="3"/>
  <c r="C39" i="23" s="1"/>
  <c r="E39" s="1"/>
  <c r="V44" i="3"/>
  <c r="D40" i="23" s="1"/>
  <c r="U13" i="3"/>
  <c r="U14"/>
  <c r="C10" i="22" s="1"/>
  <c r="U15" i="3"/>
  <c r="U16"/>
  <c r="C12" i="22" s="1"/>
  <c r="U17" i="3"/>
  <c r="U18"/>
  <c r="U19"/>
  <c r="C15" i="22" s="1"/>
  <c r="U26" i="3"/>
  <c r="C22" i="22" s="1"/>
  <c r="U27" i="3"/>
  <c r="C23" i="22" s="1"/>
  <c r="U28" i="3"/>
  <c r="C24" i="22" s="1"/>
  <c r="U29" i="3"/>
  <c r="C25" i="22" s="1"/>
  <c r="U31" i="3"/>
  <c r="C27" i="22" s="1"/>
  <c r="U32" i="3"/>
  <c r="C28" i="22" s="1"/>
  <c r="U42" i="3"/>
  <c r="C38" i="22" s="1"/>
  <c r="U43" i="3"/>
  <c r="C39" i="22" s="1"/>
  <c r="U44" i="3"/>
  <c r="T13"/>
  <c r="T14"/>
  <c r="C10" i="21" s="1"/>
  <c r="T15" i="3"/>
  <c r="T16"/>
  <c r="C12" i="21" s="1"/>
  <c r="T17" i="3"/>
  <c r="D13" i="21" s="1"/>
  <c r="T18" i="3"/>
  <c r="D14" i="21" s="1"/>
  <c r="T19" i="3"/>
  <c r="C15" i="21" s="1"/>
  <c r="T26" i="3"/>
  <c r="C22" i="21" s="1"/>
  <c r="T27" i="3"/>
  <c r="C23" i="21" s="1"/>
  <c r="T28" i="3"/>
  <c r="C24" i="21" s="1"/>
  <c r="T29" i="3"/>
  <c r="C25" i="21" s="1"/>
  <c r="T31" i="3"/>
  <c r="C27" i="21" s="1"/>
  <c r="T32" i="3"/>
  <c r="C28" i="21" s="1"/>
  <c r="T42" i="3"/>
  <c r="C38" i="21" s="1"/>
  <c r="T43" i="3"/>
  <c r="C39" i="21" s="1"/>
  <c r="T44" i="3"/>
  <c r="D40" i="21" s="1"/>
  <c r="S13" i="3"/>
  <c r="S14"/>
  <c r="C10" i="20" s="1"/>
  <c r="S15" i="3"/>
  <c r="S16"/>
  <c r="C12" i="20" s="1"/>
  <c r="S17" i="3"/>
  <c r="S18"/>
  <c r="S19"/>
  <c r="C15" i="20" s="1"/>
  <c r="S26" i="3"/>
  <c r="C22" i="20" s="1"/>
  <c r="S27" i="3"/>
  <c r="C23" i="20" s="1"/>
  <c r="S28" i="3"/>
  <c r="C24" i="20" s="1"/>
  <c r="S29" i="3"/>
  <c r="C25" i="20" s="1"/>
  <c r="S31" i="3"/>
  <c r="C27" i="20" s="1"/>
  <c r="S32" i="3"/>
  <c r="C28" i="20" s="1"/>
  <c r="S42" i="3"/>
  <c r="C38" i="20" s="1"/>
  <c r="S43" i="3"/>
  <c r="C39" i="20" s="1"/>
  <c r="S44" i="3"/>
  <c r="R13"/>
  <c r="R14"/>
  <c r="C10" i="19" s="1"/>
  <c r="R15" i="3"/>
  <c r="R16"/>
  <c r="C12" i="19" s="1"/>
  <c r="R17" i="3"/>
  <c r="D13" i="19" s="1"/>
  <c r="R18" i="3"/>
  <c r="D14" i="19" s="1"/>
  <c r="R19" i="3"/>
  <c r="C15" i="19" s="1"/>
  <c r="R26" i="3"/>
  <c r="C22" i="19" s="1"/>
  <c r="R27" i="3"/>
  <c r="C23" i="19" s="1"/>
  <c r="R28" i="3"/>
  <c r="C24" i="19" s="1"/>
  <c r="R29" i="3"/>
  <c r="C25" i="19" s="1"/>
  <c r="R31" i="3"/>
  <c r="C27" i="19" s="1"/>
  <c r="R32" i="3"/>
  <c r="C28" i="19" s="1"/>
  <c r="R42" i="3"/>
  <c r="C38" i="19" s="1"/>
  <c r="R43" i="3"/>
  <c r="C39" i="19" s="1"/>
  <c r="R44" i="3"/>
  <c r="D40" i="19" s="1"/>
  <c r="Q13" i="3"/>
  <c r="Q14"/>
  <c r="C10" i="18" s="1"/>
  <c r="Q15" i="3"/>
  <c r="Q16"/>
  <c r="C12" i="18" s="1"/>
  <c r="Q17" i="3"/>
  <c r="Q18"/>
  <c r="Q19"/>
  <c r="C15" i="18" s="1"/>
  <c r="Q26" i="3"/>
  <c r="C22" i="18" s="1"/>
  <c r="Q27" i="3"/>
  <c r="C23" i="18" s="1"/>
  <c r="Q28" i="3"/>
  <c r="C24" i="18" s="1"/>
  <c r="Q29" i="3"/>
  <c r="C25" i="18" s="1"/>
  <c r="Q31" i="3"/>
  <c r="C27" i="18" s="1"/>
  <c r="Q32" i="3"/>
  <c r="C28" i="18" s="1"/>
  <c r="Q42" i="3"/>
  <c r="C38" i="18" s="1"/>
  <c r="Q43" i="3"/>
  <c r="C39" i="18" s="1"/>
  <c r="Q44" i="3"/>
  <c r="P13"/>
  <c r="P14"/>
  <c r="P15"/>
  <c r="P16"/>
  <c r="C12" i="17" s="1"/>
  <c r="P17" i="3"/>
  <c r="P18"/>
  <c r="P19"/>
  <c r="C15" i="17" s="1"/>
  <c r="P26" i="3"/>
  <c r="C22" i="17" s="1"/>
  <c r="P27" i="3"/>
  <c r="C23" i="17" s="1"/>
  <c r="P28" i="3"/>
  <c r="C24" i="17" s="1"/>
  <c r="P29" i="3"/>
  <c r="C25" i="17" s="1"/>
  <c r="P31" i="3"/>
  <c r="C27" i="17" s="1"/>
  <c r="P32" i="3"/>
  <c r="C28" i="17" s="1"/>
  <c r="P42" i="3"/>
  <c r="C38" i="17" s="1"/>
  <c r="P43" i="3"/>
  <c r="C39" i="17" s="1"/>
  <c r="P44" i="3"/>
  <c r="O13"/>
  <c r="O14"/>
  <c r="C10" i="16" s="1"/>
  <c r="O15" i="3"/>
  <c r="O16"/>
  <c r="C12" i="16" s="1"/>
  <c r="O17" i="3"/>
  <c r="O18"/>
  <c r="O19"/>
  <c r="C15" i="16" s="1"/>
  <c r="O26" i="3"/>
  <c r="C22" i="16" s="1"/>
  <c r="O27" i="3"/>
  <c r="C23" i="16" s="1"/>
  <c r="O28" i="3"/>
  <c r="C24" i="16" s="1"/>
  <c r="O29" i="3"/>
  <c r="C25" i="16" s="1"/>
  <c r="O31" i="3"/>
  <c r="C27" i="16" s="1"/>
  <c r="O32" i="3"/>
  <c r="C28" i="16" s="1"/>
  <c r="O42" i="3"/>
  <c r="C38" i="16" s="1"/>
  <c r="O43" i="3"/>
  <c r="C39" i="16" s="1"/>
  <c r="O44" i="3"/>
  <c r="N13"/>
  <c r="N14"/>
  <c r="C10" i="15" s="1"/>
  <c r="N15" i="3"/>
  <c r="N16"/>
  <c r="C12" i="15" s="1"/>
  <c r="N17" i="3"/>
  <c r="N18"/>
  <c r="N19"/>
  <c r="C15" i="15" s="1"/>
  <c r="N26" i="3"/>
  <c r="C22" i="15" s="1"/>
  <c r="N27" i="3"/>
  <c r="C23" i="15" s="1"/>
  <c r="N28" i="3"/>
  <c r="C24" i="15" s="1"/>
  <c r="N29" i="3"/>
  <c r="C25" i="15" s="1"/>
  <c r="N31" i="3"/>
  <c r="C27" i="15" s="1"/>
  <c r="N32" i="3"/>
  <c r="C28" i="15" s="1"/>
  <c r="N42" i="3"/>
  <c r="C38" i="15" s="1"/>
  <c r="N43" i="3"/>
  <c r="C39" i="15" s="1"/>
  <c r="N44" i="3"/>
  <c r="M13"/>
  <c r="M14"/>
  <c r="C10" i="14" s="1"/>
  <c r="M15" i="3"/>
  <c r="M16"/>
  <c r="C12" i="14" s="1"/>
  <c r="M17" i="3"/>
  <c r="M18"/>
  <c r="M19"/>
  <c r="C15" i="14" s="1"/>
  <c r="M26" i="3"/>
  <c r="C22" i="14" s="1"/>
  <c r="M27" i="3"/>
  <c r="C23" i="14" s="1"/>
  <c r="M28" i="3"/>
  <c r="C24" i="14" s="1"/>
  <c r="M29" i="3"/>
  <c r="C25" i="14" s="1"/>
  <c r="M31" i="3"/>
  <c r="C27" i="14" s="1"/>
  <c r="M32" i="3"/>
  <c r="C28" i="14" s="1"/>
  <c r="M42" i="3"/>
  <c r="C38" i="14" s="1"/>
  <c r="M43" i="3"/>
  <c r="C39" i="14" s="1"/>
  <c r="M44" i="3"/>
  <c r="L13"/>
  <c r="L14"/>
  <c r="C10" i="13" s="1"/>
  <c r="L15" i="3"/>
  <c r="L16"/>
  <c r="C12" i="13" s="1"/>
  <c r="L17" i="3"/>
  <c r="L18"/>
  <c r="L19"/>
  <c r="C15" i="13" s="1"/>
  <c r="L26" i="3"/>
  <c r="C22" i="13" s="1"/>
  <c r="L27" i="3"/>
  <c r="C23" i="13" s="1"/>
  <c r="L28" i="3"/>
  <c r="C24" i="13" s="1"/>
  <c r="L29" i="3"/>
  <c r="C25" i="13" s="1"/>
  <c r="L31" i="3"/>
  <c r="C27" i="13" s="1"/>
  <c r="L32" i="3"/>
  <c r="C28" i="13" s="1"/>
  <c r="L42" i="3"/>
  <c r="C38" i="13" s="1"/>
  <c r="L43" i="3"/>
  <c r="C39" i="13" s="1"/>
  <c r="L44" i="3"/>
  <c r="K13"/>
  <c r="K14"/>
  <c r="C10" i="12" s="1"/>
  <c r="K15" i="3"/>
  <c r="K16"/>
  <c r="C12" i="12" s="1"/>
  <c r="K17" i="3"/>
  <c r="K18"/>
  <c r="K19"/>
  <c r="C15" i="12" s="1"/>
  <c r="K26" i="3"/>
  <c r="C22" i="12" s="1"/>
  <c r="K27" i="3"/>
  <c r="C23" i="12" s="1"/>
  <c r="K28" i="3"/>
  <c r="C24" i="12" s="1"/>
  <c r="K29" i="3"/>
  <c r="C25" i="12" s="1"/>
  <c r="K31" i="3"/>
  <c r="C27" i="12" s="1"/>
  <c r="K32" i="3"/>
  <c r="C28" i="12" s="1"/>
  <c r="K42" i="3"/>
  <c r="C38" i="12" s="1"/>
  <c r="K43" i="3"/>
  <c r="C39" i="12" s="1"/>
  <c r="K44" i="3"/>
  <c r="J13"/>
  <c r="J14"/>
  <c r="C10" i="11" s="1"/>
  <c r="J15" i="3"/>
  <c r="J16"/>
  <c r="C12" i="11" s="1"/>
  <c r="J17" i="3"/>
  <c r="J18"/>
  <c r="J19"/>
  <c r="C15" i="11" s="1"/>
  <c r="J26" i="3"/>
  <c r="J27"/>
  <c r="C23" i="11" s="1"/>
  <c r="J28" i="3"/>
  <c r="C24" i="11" s="1"/>
  <c r="J29" i="3"/>
  <c r="C25" i="11" s="1"/>
  <c r="J31" i="3"/>
  <c r="C27" i="11" s="1"/>
  <c r="J32" i="3"/>
  <c r="C28" i="11" s="1"/>
  <c r="J42" i="3"/>
  <c r="C38" i="11" s="1"/>
  <c r="J43" i="3"/>
  <c r="C39" i="11" s="1"/>
  <c r="J44" i="3"/>
  <c r="I13"/>
  <c r="I14"/>
  <c r="C10" i="10" s="1"/>
  <c r="I15" i="3"/>
  <c r="I16"/>
  <c r="C12" i="10" s="1"/>
  <c r="I17" i="3"/>
  <c r="I18"/>
  <c r="I19"/>
  <c r="C15" i="10" s="1"/>
  <c r="I26" i="3"/>
  <c r="C22" i="10" s="1"/>
  <c r="I27" i="3"/>
  <c r="C23" i="10" s="1"/>
  <c r="I28" i="3"/>
  <c r="C24" i="10" s="1"/>
  <c r="I29" i="3"/>
  <c r="C25" i="10" s="1"/>
  <c r="I31" i="3"/>
  <c r="C27" i="10" s="1"/>
  <c r="I32" i="3"/>
  <c r="C28" i="10" s="1"/>
  <c r="I42" i="3"/>
  <c r="C38" i="10" s="1"/>
  <c r="I43" i="3"/>
  <c r="C39" i="10" s="1"/>
  <c r="I44" i="3"/>
  <c r="H13"/>
  <c r="H14"/>
  <c r="C10" i="9" s="1"/>
  <c r="H15" i="3"/>
  <c r="C11" i="9" s="1"/>
  <c r="D11" s="1"/>
  <c r="H16" i="3"/>
  <c r="C12" i="9" s="1"/>
  <c r="H17" i="3"/>
  <c r="H18"/>
  <c r="H19"/>
  <c r="C15" i="9" s="1"/>
  <c r="H26" i="3"/>
  <c r="C22" i="9" s="1"/>
  <c r="H27" i="3"/>
  <c r="C23" i="9" s="1"/>
  <c r="H28" i="3"/>
  <c r="C24" i="9" s="1"/>
  <c r="H29" i="3"/>
  <c r="C25" i="9" s="1"/>
  <c r="H31" i="3"/>
  <c r="C27" i="9" s="1"/>
  <c r="H32" i="3"/>
  <c r="C28" i="9" s="1"/>
  <c r="H42" i="3"/>
  <c r="C38" i="9" s="1"/>
  <c r="H43" i="3"/>
  <c r="C39" i="9" s="1"/>
  <c r="H44" i="3"/>
  <c r="G13"/>
  <c r="G14"/>
  <c r="C10" i="8" s="1"/>
  <c r="G15" i="3"/>
  <c r="C11" i="8" s="1"/>
  <c r="D11" s="1"/>
  <c r="G16" i="3"/>
  <c r="C12" i="8" s="1"/>
  <c r="G17" i="3"/>
  <c r="G18"/>
  <c r="G19"/>
  <c r="C15" i="8" s="1"/>
  <c r="G26" i="3"/>
  <c r="C22" i="8" s="1"/>
  <c r="G27" i="3"/>
  <c r="C23" i="8" s="1"/>
  <c r="G28" i="3"/>
  <c r="C24" i="8" s="1"/>
  <c r="G29" i="3"/>
  <c r="C25" i="8" s="1"/>
  <c r="G31" i="3"/>
  <c r="C27" i="8" s="1"/>
  <c r="G32" i="3"/>
  <c r="C28" i="8" s="1"/>
  <c r="G42" i="3"/>
  <c r="C38" i="8" s="1"/>
  <c r="G43" i="3"/>
  <c r="C39" i="8" s="1"/>
  <c r="G44" i="3"/>
  <c r="F13"/>
  <c r="F14"/>
  <c r="C10" i="7" s="1"/>
  <c r="F15" i="3"/>
  <c r="F16"/>
  <c r="C12" i="7" s="1"/>
  <c r="F12" s="1"/>
  <c r="F17" i="3"/>
  <c r="F18"/>
  <c r="F19"/>
  <c r="C15" i="7" s="1"/>
  <c r="F26" i="3"/>
  <c r="F27"/>
  <c r="C23" i="7" s="1"/>
  <c r="F28" i="3"/>
  <c r="C24" i="7" s="1"/>
  <c r="F24" s="1"/>
  <c r="F29" i="3"/>
  <c r="C25" i="7" s="1"/>
  <c r="F31" i="3"/>
  <c r="C27" i="7" s="1"/>
  <c r="D27" s="1"/>
  <c r="F32" i="3"/>
  <c r="C28" i="7" s="1"/>
  <c r="F42" i="3"/>
  <c r="C38" i="7" s="1"/>
  <c r="F38" s="1"/>
  <c r="F43" i="3"/>
  <c r="C39" i="7" s="1"/>
  <c r="F44" i="3"/>
  <c r="E13"/>
  <c r="E14"/>
  <c r="C10" i="5" s="1"/>
  <c r="F10" s="1"/>
  <c r="E15" i="3"/>
  <c r="E16"/>
  <c r="E17"/>
  <c r="E18"/>
  <c r="D14" i="5" s="1"/>
  <c r="E19" i="3"/>
  <c r="C15" i="5" s="1"/>
  <c r="E26" i="3"/>
  <c r="C22" i="5" s="1"/>
  <c r="E27" i="3"/>
  <c r="C23" i="5" s="1"/>
  <c r="D23" s="1"/>
  <c r="E28" i="3"/>
  <c r="C24" i="5" s="1"/>
  <c r="E29" i="3"/>
  <c r="C25" i="5" s="1"/>
  <c r="E25" s="1"/>
  <c r="E31" i="3"/>
  <c r="C27" i="5" s="1"/>
  <c r="D27" s="1"/>
  <c r="E32" i="3"/>
  <c r="C28" i="5" s="1"/>
  <c r="F28" s="1"/>
  <c r="E42" i="3"/>
  <c r="C38" i="5" s="1"/>
  <c r="E43" i="3"/>
  <c r="C39" i="5" s="1"/>
  <c r="F39" s="1"/>
  <c r="E44" i="3"/>
  <c r="D40" i="5" s="1"/>
  <c r="D17" i="3"/>
  <c r="D18"/>
  <c r="D44"/>
  <c r="A4" i="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C27" i="4"/>
  <c r="F27" s="1"/>
  <c r="C9"/>
  <c r="D9" s="1"/>
  <c r="C10"/>
  <c r="D10" s="1"/>
  <c r="C11"/>
  <c r="D11" s="1"/>
  <c r="C25"/>
  <c r="D25" s="1"/>
  <c r="D40"/>
  <c r="D13"/>
  <c r="D14"/>
  <c r="D16"/>
  <c r="D17"/>
  <c r="D18"/>
  <c r="D19"/>
  <c r="D20"/>
  <c r="D21"/>
  <c r="E16"/>
  <c r="E17"/>
  <c r="E18"/>
  <c r="E19"/>
  <c r="E20"/>
  <c r="E21"/>
  <c r="F16"/>
  <c r="F17"/>
  <c r="F18"/>
  <c r="F19"/>
  <c r="F20"/>
  <c r="F21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A4"/>
  <c r="C11" i="5" l="1"/>
  <c r="D11" s="1"/>
  <c r="C22" i="11"/>
  <c r="D14" i="28"/>
  <c r="D13" i="5"/>
  <c r="C23" i="4"/>
  <c r="F23" s="1"/>
  <c r="C39"/>
  <c r="D39" s="1"/>
  <c r="C38"/>
  <c r="D38" s="1"/>
  <c r="C28"/>
  <c r="D28" s="1"/>
  <c r="C24"/>
  <c r="D24" s="1"/>
  <c r="C15"/>
  <c r="D15" s="1"/>
  <c r="C12"/>
  <c r="D12" s="1"/>
  <c r="I59" i="3"/>
  <c r="I55"/>
  <c r="I56" s="1"/>
  <c r="I57" s="1"/>
  <c r="I54" s="1"/>
  <c r="I10" i="2" s="1"/>
  <c r="C11" i="11"/>
  <c r="J59" i="3"/>
  <c r="J55"/>
  <c r="C9" i="11"/>
  <c r="J50" i="3"/>
  <c r="C11" i="12"/>
  <c r="K59" i="3"/>
  <c r="K55"/>
  <c r="C9" i="12"/>
  <c r="K50" i="3"/>
  <c r="C11" i="13"/>
  <c r="L59" i="3"/>
  <c r="L60" s="1"/>
  <c r="L61" s="1"/>
  <c r="L58" s="1"/>
  <c r="L11" i="2" s="1"/>
  <c r="L55" i="3"/>
  <c r="C9" i="13"/>
  <c r="L50" i="3"/>
  <c r="C11" i="14"/>
  <c r="M59" i="3"/>
  <c r="M55"/>
  <c r="M56" s="1"/>
  <c r="M57" s="1"/>
  <c r="M54" s="1"/>
  <c r="M10" i="2" s="1"/>
  <c r="C9" i="14"/>
  <c r="M50" i="3"/>
  <c r="C11" i="15"/>
  <c r="N59" i="3"/>
  <c r="N55"/>
  <c r="C9" i="15"/>
  <c r="N50" i="3"/>
  <c r="C11" i="16"/>
  <c r="O59" i="3"/>
  <c r="O55"/>
  <c r="C9" i="16"/>
  <c r="O50" i="3"/>
  <c r="C11" i="17"/>
  <c r="P59" i="3"/>
  <c r="P55"/>
  <c r="C9" i="17"/>
  <c r="P50" i="3"/>
  <c r="C11" i="18"/>
  <c r="Q59" i="3"/>
  <c r="Q55"/>
  <c r="Q56" s="1"/>
  <c r="Q57" s="1"/>
  <c r="Q54" s="1"/>
  <c r="Q10" i="2" s="1"/>
  <c r="C9" i="18"/>
  <c r="Q50" i="3"/>
  <c r="C11" i="19"/>
  <c r="R59" i="3"/>
  <c r="R55"/>
  <c r="C9" i="19"/>
  <c r="R50" i="3"/>
  <c r="C11" i="20"/>
  <c r="S59" i="3"/>
  <c r="S60" s="1"/>
  <c r="S61" s="1"/>
  <c r="S58" s="1"/>
  <c r="S11" i="2" s="1"/>
  <c r="S55" i="3"/>
  <c r="C9" i="20"/>
  <c r="S50" i="3"/>
  <c r="C11" i="21"/>
  <c r="T59" i="3"/>
  <c r="T55"/>
  <c r="C9" i="21"/>
  <c r="T50" i="3"/>
  <c r="C11" i="22"/>
  <c r="U59" i="3"/>
  <c r="U55"/>
  <c r="U56" s="1"/>
  <c r="U57" s="1"/>
  <c r="U54" s="1"/>
  <c r="U10" i="2" s="1"/>
  <c r="C9" i="22"/>
  <c r="U50" i="3"/>
  <c r="C11" i="23"/>
  <c r="V59" i="3"/>
  <c r="V60" s="1"/>
  <c r="V61" s="1"/>
  <c r="V55"/>
  <c r="V56" s="1"/>
  <c r="V57" s="1"/>
  <c r="C9" i="23"/>
  <c r="V50" i="3"/>
  <c r="C11" i="24"/>
  <c r="W59" i="3"/>
  <c r="W60" s="1"/>
  <c r="W61" s="1"/>
  <c r="W55"/>
  <c r="W56" s="1"/>
  <c r="W57" s="1"/>
  <c r="C9" i="24"/>
  <c r="W50" i="3"/>
  <c r="C11" i="25"/>
  <c r="X59" i="3"/>
  <c r="X60" s="1"/>
  <c r="X61" s="1"/>
  <c r="X55"/>
  <c r="X56" s="1"/>
  <c r="X57" s="1"/>
  <c r="C9" i="25"/>
  <c r="X50" i="3"/>
  <c r="C11" i="26"/>
  <c r="Y59" i="3"/>
  <c r="Y60" s="1"/>
  <c r="Y61" s="1"/>
  <c r="Y55"/>
  <c r="Y56" s="1"/>
  <c r="Y57" s="1"/>
  <c r="C9" i="26"/>
  <c r="Y50" i="3"/>
  <c r="C11" i="27"/>
  <c r="Z59" i="3"/>
  <c r="Z60" s="1"/>
  <c r="Z61" s="1"/>
  <c r="Z55"/>
  <c r="Z56" s="1"/>
  <c r="Z57" s="1"/>
  <c r="C9" i="27"/>
  <c r="Z50" i="3"/>
  <c r="C11" i="28"/>
  <c r="AA59" i="3"/>
  <c r="AA60" s="1"/>
  <c r="AA61" s="1"/>
  <c r="AA55"/>
  <c r="AA56" s="1"/>
  <c r="AA57" s="1"/>
  <c r="C9" i="28"/>
  <c r="AA50" i="3"/>
  <c r="AA51" s="1"/>
  <c r="AA52" s="1"/>
  <c r="AA49" s="1"/>
  <c r="AA8" i="2" s="1"/>
  <c r="C11" i="29"/>
  <c r="AB59" i="3"/>
  <c r="AB60" s="1"/>
  <c r="AB61" s="1"/>
  <c r="AB55"/>
  <c r="AB56" s="1"/>
  <c r="AB57" s="1"/>
  <c r="C9" i="29"/>
  <c r="AB50" i="3"/>
  <c r="C11" i="30"/>
  <c r="AC59" i="3"/>
  <c r="AC60" s="1"/>
  <c r="AC61" s="1"/>
  <c r="AC55"/>
  <c r="AC56" s="1"/>
  <c r="AC57" s="1"/>
  <c r="C9" i="30"/>
  <c r="AC50" i="3"/>
  <c r="C11" i="31"/>
  <c r="AD59" i="3"/>
  <c r="AD55"/>
  <c r="C9" i="31"/>
  <c r="AD50" i="3"/>
  <c r="C11" i="32"/>
  <c r="AE59" i="3"/>
  <c r="AE55"/>
  <c r="C9" i="32"/>
  <c r="AE50" i="3"/>
  <c r="C11" i="33"/>
  <c r="AF59" i="3"/>
  <c r="AF60" s="1"/>
  <c r="AF61" s="1"/>
  <c r="AF58" s="1"/>
  <c r="AF11" i="2" s="1"/>
  <c r="AF55" i="3"/>
  <c r="C9" i="33"/>
  <c r="AF50" i="3"/>
  <c r="C11" i="34"/>
  <c r="AG59" i="3"/>
  <c r="AG55"/>
  <c r="AG56" s="1"/>
  <c r="AG57" s="1"/>
  <c r="AG54" s="1"/>
  <c r="AG10" i="2" s="1"/>
  <c r="C9" i="34"/>
  <c r="AG50" i="3"/>
  <c r="C11" i="35"/>
  <c r="AH59" i="3"/>
  <c r="AH55"/>
  <c r="C9" i="35"/>
  <c r="AH50" i="3"/>
  <c r="C11" i="36"/>
  <c r="AI59" i="3"/>
  <c r="AI55"/>
  <c r="C9" i="36"/>
  <c r="AI50" i="3"/>
  <c r="AI51" s="1"/>
  <c r="AI52" s="1"/>
  <c r="AI49" s="1"/>
  <c r="AI8" i="2" s="1"/>
  <c r="C11" i="37"/>
  <c r="D11" s="1"/>
  <c r="AJ59" i="3"/>
  <c r="AJ55"/>
  <c r="C9" i="37"/>
  <c r="AJ50" i="3"/>
  <c r="C11" i="38"/>
  <c r="AK59" i="3"/>
  <c r="AK55"/>
  <c r="AK56" s="1"/>
  <c r="AK57" s="1"/>
  <c r="AK54" s="1"/>
  <c r="AK10" i="2" s="1"/>
  <c r="C9" i="38"/>
  <c r="AK50" i="3"/>
  <c r="C11" i="39"/>
  <c r="AL59" i="3"/>
  <c r="AL55"/>
  <c r="C9" i="39"/>
  <c r="AL50" i="3"/>
  <c r="C11" i="40"/>
  <c r="AM59" i="3"/>
  <c r="AM55"/>
  <c r="C9" i="40"/>
  <c r="AM50" i="3"/>
  <c r="C11" i="41"/>
  <c r="AN59" i="3"/>
  <c r="AN60" s="1"/>
  <c r="AN61" s="1"/>
  <c r="AN55"/>
  <c r="AN56" s="1"/>
  <c r="AN57" s="1"/>
  <c r="C9" i="41"/>
  <c r="AN50" i="3"/>
  <c r="C11" i="42"/>
  <c r="AO59" i="3"/>
  <c r="AO60" s="1"/>
  <c r="AO61" s="1"/>
  <c r="AO55"/>
  <c r="AO56" s="1"/>
  <c r="AO57" s="1"/>
  <c r="C9" i="42"/>
  <c r="AO50" i="3"/>
  <c r="C11" i="43"/>
  <c r="AP59" i="3"/>
  <c r="AP60" s="1"/>
  <c r="AP61" s="1"/>
  <c r="AP55"/>
  <c r="AP56" s="1"/>
  <c r="AP57" s="1"/>
  <c r="C9" i="43"/>
  <c r="AP50" i="3"/>
  <c r="C11" i="44"/>
  <c r="AQ59" i="3"/>
  <c r="AQ60" s="1"/>
  <c r="AQ61" s="1"/>
  <c r="AQ58" s="1"/>
  <c r="AQ11" i="2" s="1"/>
  <c r="AQ55" i="3"/>
  <c r="C9" i="44"/>
  <c r="AQ50" i="3"/>
  <c r="AQ51" s="1"/>
  <c r="AQ52" s="1"/>
  <c r="AQ49" s="1"/>
  <c r="AQ8" i="2" s="1"/>
  <c r="C11" i="45"/>
  <c r="AR59" i="3"/>
  <c r="AR60" s="1"/>
  <c r="AR61" s="1"/>
  <c r="AR58" s="1"/>
  <c r="AR11" i="2" s="1"/>
  <c r="AR55" i="3"/>
  <c r="C9" i="45"/>
  <c r="AR50" i="3"/>
  <c r="C11" i="46"/>
  <c r="AS59" i="3"/>
  <c r="AS60" s="1"/>
  <c r="AS61" s="1"/>
  <c r="AS55"/>
  <c r="AS56" s="1"/>
  <c r="AS57" s="1"/>
  <c r="C9" i="46"/>
  <c r="AS50" i="3"/>
  <c r="C11" i="47"/>
  <c r="AT59" i="3"/>
  <c r="AT55"/>
  <c r="C9" i="47"/>
  <c r="AT50" i="3"/>
  <c r="C11" i="48"/>
  <c r="AU59" i="3"/>
  <c r="AU60" s="1"/>
  <c r="AU61" s="1"/>
  <c r="AU58" s="1"/>
  <c r="AU11" i="2" s="1"/>
  <c r="AU55" i="3"/>
  <c r="C9" i="48"/>
  <c r="AU50" i="3"/>
  <c r="C11" i="49"/>
  <c r="AV59" i="3"/>
  <c r="AV60" s="1"/>
  <c r="AV61" s="1"/>
  <c r="AV58" s="1"/>
  <c r="AV11" i="2" s="1"/>
  <c r="AV55" i="3"/>
  <c r="AV56" s="1"/>
  <c r="AV57" s="1"/>
  <c r="AV54" s="1"/>
  <c r="AV10" i="2" s="1"/>
  <c r="C9" i="49"/>
  <c r="AV50" i="3"/>
  <c r="C11" i="50"/>
  <c r="AW59" i="3"/>
  <c r="AW55"/>
  <c r="C9" i="50"/>
  <c r="AW50" i="3"/>
  <c r="C11" i="51"/>
  <c r="AX59" i="3"/>
  <c r="AX55"/>
  <c r="C9" i="51"/>
  <c r="AX50" i="3"/>
  <c r="C11" i="52"/>
  <c r="AY59" i="3"/>
  <c r="AY60" s="1"/>
  <c r="AY61" s="1"/>
  <c r="AY58" s="1"/>
  <c r="AY11" i="2" s="1"/>
  <c r="AY55" i="3"/>
  <c r="C9" i="52"/>
  <c r="AY50" i="3"/>
  <c r="AY51" s="1"/>
  <c r="AY52" s="1"/>
  <c r="AY49" s="1"/>
  <c r="AY8" i="2" s="1"/>
  <c r="C11" i="53"/>
  <c r="AZ59" i="3"/>
  <c r="AZ55"/>
  <c r="C9" i="53"/>
  <c r="AZ50" i="3"/>
  <c r="C11" i="54"/>
  <c r="BA59" i="3"/>
  <c r="BA55"/>
  <c r="C9" i="54"/>
  <c r="BA50" i="3"/>
  <c r="C11" i="55"/>
  <c r="BB59" i="3"/>
  <c r="BB55"/>
  <c r="C9" i="55"/>
  <c r="BB50" i="3"/>
  <c r="C11" i="98"/>
  <c r="D11" s="1"/>
  <c r="BC59" i="3"/>
  <c r="BC60" s="1"/>
  <c r="BC61" s="1"/>
  <c r="BC58" s="1"/>
  <c r="BC11" i="2" s="1"/>
  <c r="BC55" i="3"/>
  <c r="C9" i="98"/>
  <c r="BC50" i="3"/>
  <c r="C11" i="56"/>
  <c r="BD59" i="3"/>
  <c r="BD55"/>
  <c r="C9" i="56"/>
  <c r="BD50" i="3"/>
  <c r="C11" i="57"/>
  <c r="BE59" i="3"/>
  <c r="BE55"/>
  <c r="C9" i="57"/>
  <c r="BE50" i="3"/>
  <c r="C11" i="58"/>
  <c r="BF59" i="3"/>
  <c r="BF55"/>
  <c r="C9" i="58"/>
  <c r="BF50" i="3"/>
  <c r="C11" i="59"/>
  <c r="BG59" i="3"/>
  <c r="BG55"/>
  <c r="C9" i="59"/>
  <c r="BG50" i="3"/>
  <c r="BG51" s="1"/>
  <c r="BG52" s="1"/>
  <c r="BG49" s="1"/>
  <c r="BG8" i="2" s="1"/>
  <c r="C11" i="60"/>
  <c r="D11" s="1"/>
  <c r="BH59" i="3"/>
  <c r="BH55"/>
  <c r="C9" i="60"/>
  <c r="BH50" i="3"/>
  <c r="C11" i="61"/>
  <c r="BI59" i="3"/>
  <c r="BI55"/>
  <c r="C9" i="61"/>
  <c r="BI50" i="3"/>
  <c r="C11" i="62"/>
  <c r="BJ59" i="3"/>
  <c r="BJ55"/>
  <c r="C9" i="62"/>
  <c r="BJ50" i="3"/>
  <c r="C11" i="63"/>
  <c r="BK59" i="3"/>
  <c r="BK55"/>
  <c r="C9" i="63"/>
  <c r="BK50" i="3"/>
  <c r="C11" i="64"/>
  <c r="D11" s="1"/>
  <c r="BL59" i="3"/>
  <c r="BL55"/>
  <c r="C9" i="64"/>
  <c r="BL50" i="3"/>
  <c r="C11" i="65"/>
  <c r="BM59" i="3"/>
  <c r="BM55"/>
  <c r="C9" i="65"/>
  <c r="BM50" i="3"/>
  <c r="C11" i="66"/>
  <c r="BN59" i="3"/>
  <c r="BN55"/>
  <c r="C9" i="66"/>
  <c r="BN50" i="3"/>
  <c r="C11" i="67"/>
  <c r="BO59" i="3"/>
  <c r="BO55"/>
  <c r="C9" i="67"/>
  <c r="BO50" i="3"/>
  <c r="BO51" s="1"/>
  <c r="BO52" s="1"/>
  <c r="BO49" s="1"/>
  <c r="BO8" i="2" s="1"/>
  <c r="C11" i="68"/>
  <c r="BP59" i="3"/>
  <c r="BP55"/>
  <c r="C9" i="68"/>
  <c r="BP50" i="3"/>
  <c r="C11" i="69"/>
  <c r="BQ59" i="3"/>
  <c r="BQ55"/>
  <c r="C9" i="69"/>
  <c r="BQ50" i="3"/>
  <c r="C11" i="99"/>
  <c r="D11" s="1"/>
  <c r="BR59" i="3"/>
  <c r="BR55"/>
  <c r="C9" i="99"/>
  <c r="C41" s="1"/>
  <c r="BR50" i="3"/>
  <c r="C11" i="70"/>
  <c r="BS59" i="3"/>
  <c r="BS55"/>
  <c r="C9" i="70"/>
  <c r="BS50" i="3"/>
  <c r="C11" i="71"/>
  <c r="BT59" i="3"/>
  <c r="BT55"/>
  <c r="BT56" s="1"/>
  <c r="BT57" s="1"/>
  <c r="BT54" s="1"/>
  <c r="BT10" i="2" s="1"/>
  <c r="C9" i="71"/>
  <c r="BT50" i="3"/>
  <c r="C11" i="72"/>
  <c r="BU59" i="3"/>
  <c r="BU55"/>
  <c r="C9" i="72"/>
  <c r="BU50" i="3"/>
  <c r="C11" i="73"/>
  <c r="BV59" i="3"/>
  <c r="BV55"/>
  <c r="C9" i="73"/>
  <c r="BV50" i="3"/>
  <c r="C11" i="74"/>
  <c r="D11" s="1"/>
  <c r="BW59" i="3"/>
  <c r="BW60" s="1"/>
  <c r="BW61" s="1"/>
  <c r="BW58" s="1"/>
  <c r="BW11" i="2" s="1"/>
  <c r="BW55" i="3"/>
  <c r="C9" i="74"/>
  <c r="BW50" i="3"/>
  <c r="BW51" s="1"/>
  <c r="BW52" s="1"/>
  <c r="BW49" s="1"/>
  <c r="BW8" i="2" s="1"/>
  <c r="C11" i="75"/>
  <c r="BX59" i="3"/>
  <c r="BX60" s="1"/>
  <c r="BX61" s="1"/>
  <c r="BX58" s="1"/>
  <c r="BX11" i="2" s="1"/>
  <c r="BX55" i="3"/>
  <c r="BX56" s="1"/>
  <c r="BX57" s="1"/>
  <c r="BX54" s="1"/>
  <c r="BX10" i="2" s="1"/>
  <c r="C9" i="75"/>
  <c r="BX45" i="3"/>
  <c r="BX46" s="1"/>
  <c r="BX50"/>
  <c r="C11" i="76"/>
  <c r="BY59" i="3"/>
  <c r="BY55"/>
  <c r="C9" i="76"/>
  <c r="BY50" i="3"/>
  <c r="C11" i="77"/>
  <c r="BZ59" i="3"/>
  <c r="BZ60" s="1"/>
  <c r="BZ61" s="1"/>
  <c r="BZ55"/>
  <c r="BZ56" s="1"/>
  <c r="BZ57" s="1"/>
  <c r="C9" i="77"/>
  <c r="BZ50" i="3"/>
  <c r="C11" i="78"/>
  <c r="CA59" i="3"/>
  <c r="CA60" s="1"/>
  <c r="CA61" s="1"/>
  <c r="CA55"/>
  <c r="CA56" s="1"/>
  <c r="CA57" s="1"/>
  <c r="C9" i="78"/>
  <c r="CA50" i="3"/>
  <c r="C11" i="79"/>
  <c r="CB59" i="3"/>
  <c r="CB60" s="1"/>
  <c r="CB61" s="1"/>
  <c r="CB55"/>
  <c r="CB56" s="1"/>
  <c r="CB57" s="1"/>
  <c r="C9" i="79"/>
  <c r="CB50" i="3"/>
  <c r="C11" i="80"/>
  <c r="CC59" i="3"/>
  <c r="CC60" s="1"/>
  <c r="CC61" s="1"/>
  <c r="CC55"/>
  <c r="CC56" s="1"/>
  <c r="CC57" s="1"/>
  <c r="C9" i="80"/>
  <c r="CC50" i="3"/>
  <c r="C11" i="81"/>
  <c r="CD59" i="3"/>
  <c r="CD60" s="1"/>
  <c r="CD61" s="1"/>
  <c r="CD55"/>
  <c r="CD56" s="1"/>
  <c r="CD57" s="1"/>
  <c r="C9" i="81"/>
  <c r="CD50" i="3"/>
  <c r="C11" i="82"/>
  <c r="CE59" i="3"/>
  <c r="CE60" s="1"/>
  <c r="CE61" s="1"/>
  <c r="CE58" s="1"/>
  <c r="CE11" i="2" s="1"/>
  <c r="CE55" i="3"/>
  <c r="C9" i="82"/>
  <c r="CE50" i="3"/>
  <c r="CE51" s="1"/>
  <c r="CE52" s="1"/>
  <c r="CE49" s="1"/>
  <c r="CE8" i="2" s="1"/>
  <c r="C11" i="83"/>
  <c r="CF59" i="3"/>
  <c r="CF55"/>
  <c r="C9" i="83"/>
  <c r="CF50" i="3"/>
  <c r="C11" i="84"/>
  <c r="CG59" i="3"/>
  <c r="CG55"/>
  <c r="C9" i="84"/>
  <c r="CG50" i="3"/>
  <c r="C11" i="85"/>
  <c r="CH59" i="3"/>
  <c r="CH55"/>
  <c r="C9" i="85"/>
  <c r="CH50" i="3"/>
  <c r="C11" i="86"/>
  <c r="D11" s="1"/>
  <c r="CI59" i="3"/>
  <c r="CI60" s="1"/>
  <c r="CI61" s="1"/>
  <c r="CI58" s="1"/>
  <c r="CI11" i="2" s="1"/>
  <c r="CI55" i="3"/>
  <c r="C9" i="86"/>
  <c r="CI50" i="3"/>
  <c r="C11" i="87"/>
  <c r="CJ59" i="3"/>
  <c r="CJ55"/>
  <c r="CJ56" s="1"/>
  <c r="CJ57" s="1"/>
  <c r="CJ54" s="1"/>
  <c r="CJ10" i="2" s="1"/>
  <c r="C9" i="87"/>
  <c r="CJ50" i="3"/>
  <c r="C11" i="88"/>
  <c r="CK59" i="3"/>
  <c r="CK55"/>
  <c r="C9" i="88"/>
  <c r="CK50" i="3"/>
  <c r="C11" i="89"/>
  <c r="CL59" i="3"/>
  <c r="CL55"/>
  <c r="C9" i="89"/>
  <c r="CL50" i="3"/>
  <c r="C11" i="90"/>
  <c r="CM59" i="3"/>
  <c r="CM55"/>
  <c r="C9" i="90"/>
  <c r="CM50" i="3"/>
  <c r="CM51" s="1"/>
  <c r="CM52" s="1"/>
  <c r="CM49" s="1"/>
  <c r="CM8" i="2" s="1"/>
  <c r="C11" i="91"/>
  <c r="CN59" i="3"/>
  <c r="CN60" s="1"/>
  <c r="CN61" s="1"/>
  <c r="CN58" s="1"/>
  <c r="CN11" i="2" s="1"/>
  <c r="CN55" i="3"/>
  <c r="CN56" s="1"/>
  <c r="CN57" s="1"/>
  <c r="CN54" s="1"/>
  <c r="CN10" i="2" s="1"/>
  <c r="C9" i="91"/>
  <c r="CN50" i="3"/>
  <c r="C11" i="92"/>
  <c r="CO59" i="3"/>
  <c r="CO55"/>
  <c r="C9" i="92"/>
  <c r="CO50" i="3"/>
  <c r="C11" i="93"/>
  <c r="CP59" i="3"/>
  <c r="CP55"/>
  <c r="C9" i="93"/>
  <c r="CP50" i="3"/>
  <c r="C11" i="94"/>
  <c r="CQ59" i="3"/>
  <c r="CQ55"/>
  <c r="C9" i="94"/>
  <c r="CQ50" i="3"/>
  <c r="C11" i="95"/>
  <c r="D11" s="1"/>
  <c r="CR59" i="3"/>
  <c r="CR60" s="1"/>
  <c r="CR61" s="1"/>
  <c r="CR58" s="1"/>
  <c r="CR11" i="2" s="1"/>
  <c r="CR55" i="3"/>
  <c r="C9" i="95"/>
  <c r="CR50" i="3"/>
  <c r="C11" i="96"/>
  <c r="CS59" i="3"/>
  <c r="CS55"/>
  <c r="CS56" s="1"/>
  <c r="CS57" s="1"/>
  <c r="CS54" s="1"/>
  <c r="CS10" i="2" s="1"/>
  <c r="C9" i="96"/>
  <c r="CS50" i="3"/>
  <c r="C11" i="97"/>
  <c r="D11" s="1"/>
  <c r="CT59" i="3"/>
  <c r="CT55"/>
  <c r="C9" i="97"/>
  <c r="CT50" i="3"/>
  <c r="I50"/>
  <c r="H50"/>
  <c r="H59"/>
  <c r="H55"/>
  <c r="G59"/>
  <c r="G55"/>
  <c r="G50"/>
  <c r="C22" i="7"/>
  <c r="D22" s="1"/>
  <c r="F59" i="3"/>
  <c r="F55"/>
  <c r="F50"/>
  <c r="E55"/>
  <c r="E56" s="1"/>
  <c r="E57" s="1"/>
  <c r="E54" s="1"/>
  <c r="E10" i="2" s="1"/>
  <c r="E50" i="3"/>
  <c r="E59"/>
  <c r="D50"/>
  <c r="D59"/>
  <c r="D55"/>
  <c r="C12" i="75"/>
  <c r="C39"/>
  <c r="D25" i="98"/>
  <c r="E25"/>
  <c r="F25"/>
  <c r="F15"/>
  <c r="E15"/>
  <c r="D15"/>
  <c r="F39" i="99"/>
  <c r="D39"/>
  <c r="E39"/>
  <c r="C10" i="17"/>
  <c r="F38" i="98"/>
  <c r="D38"/>
  <c r="E38"/>
  <c r="C41"/>
  <c r="C42" s="1"/>
  <c r="C43" s="1"/>
  <c r="E24"/>
  <c r="D24"/>
  <c r="F24"/>
  <c r="F10"/>
  <c r="D10"/>
  <c r="F38" i="99"/>
  <c r="D38"/>
  <c r="E38"/>
  <c r="F24"/>
  <c r="D24"/>
  <c r="E24"/>
  <c r="F10"/>
  <c r="D10"/>
  <c r="C38" i="70"/>
  <c r="C10" i="87"/>
  <c r="C10" i="93"/>
  <c r="C10" i="95"/>
  <c r="F39" i="98"/>
  <c r="D39"/>
  <c r="E39"/>
  <c r="F25" i="99"/>
  <c r="D25"/>
  <c r="E25"/>
  <c r="E15"/>
  <c r="D15"/>
  <c r="F15"/>
  <c r="E28" i="98"/>
  <c r="F28"/>
  <c r="D28"/>
  <c r="E23"/>
  <c r="F23"/>
  <c r="D23"/>
  <c r="E9"/>
  <c r="F9"/>
  <c r="D9"/>
  <c r="F28" i="99"/>
  <c r="E28"/>
  <c r="D28"/>
  <c r="F23"/>
  <c r="E23"/>
  <c r="D23"/>
  <c r="F9"/>
  <c r="D9"/>
  <c r="D27" i="98"/>
  <c r="E27"/>
  <c r="F27"/>
  <c r="D22"/>
  <c r="E22"/>
  <c r="F22"/>
  <c r="E12"/>
  <c r="F12"/>
  <c r="D12"/>
  <c r="F27" i="99"/>
  <c r="E27"/>
  <c r="D27"/>
  <c r="F22"/>
  <c r="E22"/>
  <c r="D22"/>
  <c r="F12"/>
  <c r="D12"/>
  <c r="E12"/>
  <c r="E25" i="4"/>
  <c r="E39" i="5"/>
  <c r="S45" i="3"/>
  <c r="S46" s="1"/>
  <c r="F25" i="4"/>
  <c r="V45" i="3"/>
  <c r="V46" s="1"/>
  <c r="D25" i="5"/>
  <c r="E27" i="4"/>
  <c r="D23"/>
  <c r="D22" i="5"/>
  <c r="F22"/>
  <c r="E15"/>
  <c r="F15"/>
  <c r="F24" i="4"/>
  <c r="AG45" i="3"/>
  <c r="AG46" s="1"/>
  <c r="AG47" s="1"/>
  <c r="AG53" s="1"/>
  <c r="AG9" i="2" s="1"/>
  <c r="AI45" i="3"/>
  <c r="AI46" s="1"/>
  <c r="F12" i="4"/>
  <c r="E24"/>
  <c r="D27"/>
  <c r="F25" i="5"/>
  <c r="P45" i="3"/>
  <c r="P46" s="1"/>
  <c r="D39" i="5"/>
  <c r="F23"/>
  <c r="C12"/>
  <c r="E12" i="4"/>
  <c r="E38" i="5"/>
  <c r="F38"/>
  <c r="D38"/>
  <c r="E24"/>
  <c r="F24"/>
  <c r="D24"/>
  <c r="W45" i="3"/>
  <c r="W46" s="1"/>
  <c r="W47" s="1"/>
  <c r="W53" s="1"/>
  <c r="W9" i="2" s="1"/>
  <c r="AJ45" i="3"/>
  <c r="AJ46" s="1"/>
  <c r="AK45"/>
  <c r="AK46" s="1"/>
  <c r="AK47" s="1"/>
  <c r="AK53" s="1"/>
  <c r="AK9" i="2" s="1"/>
  <c r="AL45" i="3"/>
  <c r="AM45"/>
  <c r="AM46" s="1"/>
  <c r="AM47" s="1"/>
  <c r="AM53" s="1"/>
  <c r="AM9" i="2" s="1"/>
  <c r="AZ45" i="3"/>
  <c r="AZ46" s="1"/>
  <c r="BA45"/>
  <c r="BA46" s="1"/>
  <c r="BA47" s="1"/>
  <c r="BA53" s="1"/>
  <c r="BA9" i="2" s="1"/>
  <c r="BB45" i="3"/>
  <c r="BB46" s="1"/>
  <c r="BC45"/>
  <c r="BC46" s="1"/>
  <c r="BC47" s="1"/>
  <c r="BC53" s="1"/>
  <c r="BC9" i="2" s="1"/>
  <c r="BP45" i="3"/>
  <c r="BP46" s="1"/>
  <c r="BQ45"/>
  <c r="BQ46" s="1"/>
  <c r="BQ47" s="1"/>
  <c r="BQ53" s="1"/>
  <c r="BQ9" i="2" s="1"/>
  <c r="BR45" i="3"/>
  <c r="BR46" s="1"/>
  <c r="BS45"/>
  <c r="BS46" s="1"/>
  <c r="BS47" s="1"/>
  <c r="BS53" s="1"/>
  <c r="BS9" i="2" s="1"/>
  <c r="CF45" i="3"/>
  <c r="CF46" s="1"/>
  <c r="CG45"/>
  <c r="CG46" s="1"/>
  <c r="CG47" s="1"/>
  <c r="CG53" s="1"/>
  <c r="CG9" i="2" s="1"/>
  <c r="CH45" i="3"/>
  <c r="CH46" s="1"/>
  <c r="CI45"/>
  <c r="CI46" s="1"/>
  <c r="CI47" s="1"/>
  <c r="CI53" s="1"/>
  <c r="CI9" i="2" s="1"/>
  <c r="E12" i="7"/>
  <c r="D45" i="3"/>
  <c r="F24" i="8"/>
  <c r="E24"/>
  <c r="D24"/>
  <c r="F10"/>
  <c r="D10"/>
  <c r="E25" i="9"/>
  <c r="D25"/>
  <c r="F25"/>
  <c r="F15"/>
  <c r="E15"/>
  <c r="D15"/>
  <c r="E39" i="10"/>
  <c r="D39"/>
  <c r="F39"/>
  <c r="F15"/>
  <c r="E15"/>
  <c r="D15"/>
  <c r="Q45" i="3"/>
  <c r="Q46" s="1"/>
  <c r="Q47" s="1"/>
  <c r="Q53" s="1"/>
  <c r="Q9" i="2" s="1"/>
  <c r="R45" i="3"/>
  <c r="R46" s="1"/>
  <c r="AF45"/>
  <c r="AF46" s="1"/>
  <c r="AH45"/>
  <c r="AH46" s="1"/>
  <c r="E22" i="5"/>
  <c r="E45" i="3"/>
  <c r="E46" s="1"/>
  <c r="F45"/>
  <c r="F46" s="1"/>
  <c r="C9" i="7"/>
  <c r="D9" s="1"/>
  <c r="F23" i="8"/>
  <c r="D23"/>
  <c r="E23"/>
  <c r="F38" i="9"/>
  <c r="E38"/>
  <c r="D38"/>
  <c r="D38" i="10"/>
  <c r="F38"/>
  <c r="E38"/>
  <c r="D10"/>
  <c r="F10"/>
  <c r="T45" i="3"/>
  <c r="T46" s="1"/>
  <c r="U45"/>
  <c r="U46" s="1"/>
  <c r="U47" s="1"/>
  <c r="U53" s="1"/>
  <c r="U9" i="2" s="1"/>
  <c r="F28" i="4"/>
  <c r="F27" i="8"/>
  <c r="E27"/>
  <c r="D27"/>
  <c r="F12"/>
  <c r="E12"/>
  <c r="D12"/>
  <c r="D23" i="9"/>
  <c r="F23"/>
  <c r="E23"/>
  <c r="H45" i="3"/>
  <c r="H46" s="1"/>
  <c r="C9" i="9"/>
  <c r="D23" i="10"/>
  <c r="F23"/>
  <c r="E23"/>
  <c r="K45" i="3"/>
  <c r="K46" s="1"/>
  <c r="K47" s="1"/>
  <c r="K53" s="1"/>
  <c r="K9" i="2" s="1"/>
  <c r="X45" i="3"/>
  <c r="X46" s="1"/>
  <c r="Y45"/>
  <c r="Y46" s="1"/>
  <c r="Z45"/>
  <c r="Z46" s="1"/>
  <c r="AA45"/>
  <c r="AN45"/>
  <c r="AN46" s="1"/>
  <c r="AO45"/>
  <c r="AP45"/>
  <c r="AP46" s="1"/>
  <c r="AQ45"/>
  <c r="BD45"/>
  <c r="BE45"/>
  <c r="BF45"/>
  <c r="BF46" s="1"/>
  <c r="BF47" s="1"/>
  <c r="BF53" s="1"/>
  <c r="BF9" i="2" s="1"/>
  <c r="BG45" i="3"/>
  <c r="BT45"/>
  <c r="BU45"/>
  <c r="BV45"/>
  <c r="BW45"/>
  <c r="CJ45"/>
  <c r="CK45"/>
  <c r="CL45"/>
  <c r="CL46" s="1"/>
  <c r="CL47" s="1"/>
  <c r="CL53" s="1"/>
  <c r="CL9" i="2" s="1"/>
  <c r="CM45" i="3"/>
  <c r="E24" i="7"/>
  <c r="F38" i="8"/>
  <c r="E38"/>
  <c r="D38"/>
  <c r="D39" i="9"/>
  <c r="F39"/>
  <c r="E39"/>
  <c r="E25" i="10"/>
  <c r="D25"/>
  <c r="F25"/>
  <c r="C11"/>
  <c r="D11" s="1"/>
  <c r="F9" i="4"/>
  <c r="E9"/>
  <c r="F27" i="5"/>
  <c r="F28" i="8"/>
  <c r="D28"/>
  <c r="E28"/>
  <c r="G45" i="3"/>
  <c r="G46" s="1"/>
  <c r="G47" s="1"/>
  <c r="G53" s="1"/>
  <c r="G9" i="2" s="1"/>
  <c r="C9" i="8"/>
  <c r="C41" s="1"/>
  <c r="E24" i="9"/>
  <c r="D24"/>
  <c r="F24"/>
  <c r="F10"/>
  <c r="D10"/>
  <c r="D24" i="10"/>
  <c r="F24"/>
  <c r="E24"/>
  <c r="E27" i="5"/>
  <c r="E23"/>
  <c r="F22" i="8"/>
  <c r="E22"/>
  <c r="D22"/>
  <c r="E28" i="9"/>
  <c r="D28"/>
  <c r="F28"/>
  <c r="D28" i="10"/>
  <c r="F28"/>
  <c r="E28"/>
  <c r="I45" i="3"/>
  <c r="I46" s="1"/>
  <c r="I47" s="1"/>
  <c r="I53" s="1"/>
  <c r="I9" i="2" s="1"/>
  <c r="C9" i="10"/>
  <c r="J45" i="3"/>
  <c r="J46" s="1"/>
  <c r="F22" i="4"/>
  <c r="E23"/>
  <c r="E39"/>
  <c r="D10" i="5"/>
  <c r="C9"/>
  <c r="C11" i="7"/>
  <c r="D11" s="1"/>
  <c r="F39" i="8"/>
  <c r="E39"/>
  <c r="D39"/>
  <c r="F25"/>
  <c r="E25"/>
  <c r="D25"/>
  <c r="E15"/>
  <c r="D15"/>
  <c r="F15"/>
  <c r="E27" i="9"/>
  <c r="F27"/>
  <c r="D27"/>
  <c r="D22"/>
  <c r="E22"/>
  <c r="F22"/>
  <c r="E12"/>
  <c r="D12"/>
  <c r="F12"/>
  <c r="D27" i="10"/>
  <c r="E27"/>
  <c r="F27"/>
  <c r="D22"/>
  <c r="E22"/>
  <c r="F22"/>
  <c r="D12"/>
  <c r="F12"/>
  <c r="E12"/>
  <c r="L45" i="3"/>
  <c r="L46" s="1"/>
  <c r="M45"/>
  <c r="N45"/>
  <c r="N46" s="1"/>
  <c r="O45"/>
  <c r="O46" s="1"/>
  <c r="O47" s="1"/>
  <c r="O53" s="1"/>
  <c r="O9" i="2" s="1"/>
  <c r="AB45" i="3"/>
  <c r="AB46" s="1"/>
  <c r="AC45"/>
  <c r="AC46" s="1"/>
  <c r="AD45"/>
  <c r="AD46" s="1"/>
  <c r="AE45"/>
  <c r="AE46" s="1"/>
  <c r="AE47" s="1"/>
  <c r="AE53" s="1"/>
  <c r="AE9" i="2" s="1"/>
  <c r="AR45" i="3"/>
  <c r="AS45"/>
  <c r="AS46" s="1"/>
  <c r="AT45"/>
  <c r="AU45"/>
  <c r="BH45"/>
  <c r="BI45"/>
  <c r="BJ45"/>
  <c r="BJ46" s="1"/>
  <c r="BJ47" s="1"/>
  <c r="BJ53" s="1"/>
  <c r="BJ9" i="2" s="1"/>
  <c r="BK45" i="3"/>
  <c r="BY45"/>
  <c r="BZ45"/>
  <c r="CA45"/>
  <c r="CA46" s="1"/>
  <c r="CA47" s="1"/>
  <c r="CA53" s="1"/>
  <c r="CA9" i="2" s="1"/>
  <c r="CN45" i="3"/>
  <c r="CO45"/>
  <c r="CP45"/>
  <c r="CP46" s="1"/>
  <c r="CP47" s="1"/>
  <c r="CP53" s="1"/>
  <c r="CQ45"/>
  <c r="E38" i="7"/>
  <c r="AV45" i="3"/>
  <c r="AW45"/>
  <c r="AX45"/>
  <c r="AY45"/>
  <c r="BL45"/>
  <c r="BL46" s="1"/>
  <c r="BM45"/>
  <c r="BN45"/>
  <c r="BN46" s="1"/>
  <c r="BN47" s="1"/>
  <c r="BN53" s="1"/>
  <c r="BN9" i="2" s="1"/>
  <c r="BO45" i="3"/>
  <c r="CB45"/>
  <c r="CC45"/>
  <c r="CD45"/>
  <c r="CE45"/>
  <c r="CE46" s="1"/>
  <c r="CE47" s="1"/>
  <c r="CE53" s="1"/>
  <c r="CE9" i="2" s="1"/>
  <c r="CR45" i="3"/>
  <c r="CS45"/>
  <c r="CT45"/>
  <c r="CT46" s="1"/>
  <c r="CT47" s="1"/>
  <c r="CT53" s="1"/>
  <c r="CT9" i="2" s="1"/>
  <c r="D11" i="94"/>
  <c r="D11" i="92"/>
  <c r="D11" i="93"/>
  <c r="D11" i="90"/>
  <c r="D11" i="89"/>
  <c r="D11" i="84"/>
  <c r="D11" i="96"/>
  <c r="D11" i="88"/>
  <c r="D11" i="82"/>
  <c r="D11" i="81"/>
  <c r="D11" i="91"/>
  <c r="D11" i="80"/>
  <c r="D11" i="79"/>
  <c r="D11" i="78"/>
  <c r="D11" i="77"/>
  <c r="D11" i="76"/>
  <c r="D11" i="70"/>
  <c r="D11" i="87"/>
  <c r="D11" i="85"/>
  <c r="D11" i="83"/>
  <c r="D11" i="75"/>
  <c r="D11" i="69"/>
  <c r="D11" i="68"/>
  <c r="D11" i="67"/>
  <c r="D11" i="66"/>
  <c r="D11" i="59"/>
  <c r="D11" i="58"/>
  <c r="D11" i="57"/>
  <c r="D11" i="56"/>
  <c r="D11" i="55"/>
  <c r="D11" i="54"/>
  <c r="D11" i="46"/>
  <c r="D11" i="45"/>
  <c r="D11" i="42"/>
  <c r="D11" i="65"/>
  <c r="D11" i="61"/>
  <c r="D11" i="53"/>
  <c r="D11" i="51"/>
  <c r="D11" i="49"/>
  <c r="D11" i="48"/>
  <c r="D11" i="43"/>
  <c r="D11" i="41"/>
  <c r="D11" i="40"/>
  <c r="D11" i="72"/>
  <c r="D11" i="73"/>
  <c r="D11" i="71"/>
  <c r="D11" i="63"/>
  <c r="D11" i="62"/>
  <c r="D11" i="52"/>
  <c r="D11" i="50"/>
  <c r="D11" i="47"/>
  <c r="D11" i="39"/>
  <c r="D11" i="35"/>
  <c r="D11" i="34"/>
  <c r="D11" i="27"/>
  <c r="D11" i="25"/>
  <c r="D11" i="23"/>
  <c r="D11" i="44"/>
  <c r="D11" i="38"/>
  <c r="D11" i="33"/>
  <c r="D11" i="32"/>
  <c r="D11" i="31"/>
  <c r="D11" i="29"/>
  <c r="D11" i="28"/>
  <c r="D11" i="26"/>
  <c r="D11" i="24"/>
  <c r="D11" i="18"/>
  <c r="D11" i="21"/>
  <c r="D11" i="19"/>
  <c r="D11" i="17"/>
  <c r="D11" i="15"/>
  <c r="D11" i="14"/>
  <c r="D11" i="12"/>
  <c r="D11" i="11"/>
  <c r="D11" i="16"/>
  <c r="D11" i="36"/>
  <c r="D11" i="30"/>
  <c r="D11" i="22"/>
  <c r="D11" i="20"/>
  <c r="D11" i="13"/>
  <c r="D15" i="5"/>
  <c r="E28"/>
  <c r="D28"/>
  <c r="CF47" i="3"/>
  <c r="CF53" s="1"/>
  <c r="CF9" i="2" s="1"/>
  <c r="BP47" i="3"/>
  <c r="BP53" s="1"/>
  <c r="BP9" i="2" s="1"/>
  <c r="AL46" i="3"/>
  <c r="F15" i="4"/>
  <c r="E15"/>
  <c r="E39" i="7"/>
  <c r="F39"/>
  <c r="D39"/>
  <c r="D28"/>
  <c r="E28"/>
  <c r="F28"/>
  <c r="D15"/>
  <c r="E15"/>
  <c r="F15"/>
  <c r="C41" i="4"/>
  <c r="F38"/>
  <c r="E38"/>
  <c r="E25" i="7"/>
  <c r="F25"/>
  <c r="D25"/>
  <c r="D23"/>
  <c r="E23"/>
  <c r="F23"/>
  <c r="F10" i="4"/>
  <c r="F39"/>
  <c r="E22"/>
  <c r="E28"/>
  <c r="D38" i="7"/>
  <c r="F27"/>
  <c r="D24"/>
  <c r="F22"/>
  <c r="D12"/>
  <c r="E27"/>
  <c r="E22"/>
  <c r="C42" i="99" l="1"/>
  <c r="C43" s="1"/>
  <c r="E9"/>
  <c r="E41" s="1"/>
  <c r="E42" s="1"/>
  <c r="E43" s="1"/>
  <c r="D46" i="3"/>
  <c r="T47"/>
  <c r="T53" s="1"/>
  <c r="T9" i="2" s="1"/>
  <c r="CT51" i="3"/>
  <c r="CT52" s="1"/>
  <c r="CT56"/>
  <c r="CT57" s="1"/>
  <c r="CS60"/>
  <c r="CS61" s="1"/>
  <c r="CR51"/>
  <c r="CR52" s="1"/>
  <c r="CR56"/>
  <c r="CR57" s="1"/>
  <c r="CQ60"/>
  <c r="CQ61" s="1"/>
  <c r="CP51"/>
  <c r="CP52" s="1"/>
  <c r="CP56"/>
  <c r="CP57" s="1"/>
  <c r="CO60"/>
  <c r="CO61" s="1"/>
  <c r="CN51"/>
  <c r="CN52" s="1"/>
  <c r="CM60"/>
  <c r="CM61" s="1"/>
  <c r="CL51"/>
  <c r="CL52" s="1"/>
  <c r="CL56"/>
  <c r="CL57" s="1"/>
  <c r="CK60"/>
  <c r="CK61" s="1"/>
  <c r="CJ51"/>
  <c r="CJ52" s="1"/>
  <c r="CH51"/>
  <c r="CH52" s="1"/>
  <c r="CH56"/>
  <c r="CH57" s="1"/>
  <c r="CG60"/>
  <c r="CG61" s="1"/>
  <c r="CF51"/>
  <c r="CF52" s="1"/>
  <c r="CF56"/>
  <c r="CF57" s="1"/>
  <c r="CD51"/>
  <c r="CD52" s="1"/>
  <c r="CB51"/>
  <c r="CB52" s="1"/>
  <c r="BZ51"/>
  <c r="BZ52" s="1"/>
  <c r="BY60"/>
  <c r="BY61" s="1"/>
  <c r="BX51"/>
  <c r="BX52" s="1"/>
  <c r="BV51"/>
  <c r="BV52" s="1"/>
  <c r="BV56"/>
  <c r="BV57" s="1"/>
  <c r="BU60"/>
  <c r="BU61" s="1"/>
  <c r="BT51"/>
  <c r="BT52" s="1"/>
  <c r="BS60"/>
  <c r="BS61" s="1"/>
  <c r="BR51"/>
  <c r="BR52" s="1"/>
  <c r="BR56"/>
  <c r="BR57" s="1"/>
  <c r="BQ60"/>
  <c r="BQ61" s="1"/>
  <c r="BP51"/>
  <c r="BP52" s="1"/>
  <c r="BP56"/>
  <c r="BP57" s="1"/>
  <c r="BO60"/>
  <c r="BO61" s="1"/>
  <c r="BN51"/>
  <c r="BN52" s="1"/>
  <c r="BN56"/>
  <c r="BN57" s="1"/>
  <c r="BM60"/>
  <c r="BM61" s="1"/>
  <c r="BL51"/>
  <c r="BL52" s="1"/>
  <c r="BL56"/>
  <c r="BL57" s="1"/>
  <c r="BK60"/>
  <c r="BK61" s="1"/>
  <c r="BJ51"/>
  <c r="BJ52" s="1"/>
  <c r="BJ56"/>
  <c r="BJ57" s="1"/>
  <c r="BI60"/>
  <c r="BI61" s="1"/>
  <c r="BH51"/>
  <c r="BH52" s="1"/>
  <c r="BH56"/>
  <c r="BH57" s="1"/>
  <c r="BG60"/>
  <c r="BG61" s="1"/>
  <c r="BF51"/>
  <c r="BF52" s="1"/>
  <c r="BF56"/>
  <c r="BF57" s="1"/>
  <c r="BE60"/>
  <c r="BE61" s="1"/>
  <c r="BD51"/>
  <c r="BD52" s="1"/>
  <c r="BD56"/>
  <c r="BD57" s="1"/>
  <c r="BB51"/>
  <c r="BB52" s="1"/>
  <c r="BB56"/>
  <c r="BB57" s="1"/>
  <c r="BA60"/>
  <c r="BA61" s="1"/>
  <c r="AZ51"/>
  <c r="AZ52" s="1"/>
  <c r="AZ56"/>
  <c r="AZ57" s="1"/>
  <c r="AX51"/>
  <c r="AX52" s="1"/>
  <c r="AX56"/>
  <c r="AX57" s="1"/>
  <c r="AW60"/>
  <c r="AW61" s="1"/>
  <c r="AV51"/>
  <c r="AV52" s="1"/>
  <c r="AT51"/>
  <c r="AT52" s="1"/>
  <c r="AT56"/>
  <c r="AT57" s="1"/>
  <c r="AR51"/>
  <c r="AR52" s="1"/>
  <c r="AR56"/>
  <c r="AR57" s="1"/>
  <c r="AP51"/>
  <c r="AP52" s="1"/>
  <c r="AN51"/>
  <c r="AN52" s="1"/>
  <c r="AM60"/>
  <c r="AM61" s="1"/>
  <c r="AL51"/>
  <c r="AL52" s="1"/>
  <c r="AL56"/>
  <c r="AL57" s="1"/>
  <c r="AK60"/>
  <c r="AK61" s="1"/>
  <c r="AJ51"/>
  <c r="AJ52" s="1"/>
  <c r="AJ56"/>
  <c r="AJ57" s="1"/>
  <c r="AI60"/>
  <c r="AI61" s="1"/>
  <c r="AH51"/>
  <c r="AH52" s="1"/>
  <c r="AH56"/>
  <c r="AH57" s="1"/>
  <c r="AG60"/>
  <c r="AG61" s="1"/>
  <c r="AF51"/>
  <c r="AF52" s="1"/>
  <c r="AF56"/>
  <c r="AF57" s="1"/>
  <c r="AE60"/>
  <c r="AE61" s="1"/>
  <c r="AD51"/>
  <c r="AD52" s="1"/>
  <c r="AD56"/>
  <c r="AD57" s="1"/>
  <c r="AB51"/>
  <c r="AB52" s="1"/>
  <c r="Z51"/>
  <c r="Z52" s="1"/>
  <c r="X51"/>
  <c r="X52" s="1"/>
  <c r="V51"/>
  <c r="V52" s="1"/>
  <c r="U60"/>
  <c r="U61" s="1"/>
  <c r="T51"/>
  <c r="T52" s="1"/>
  <c r="T56"/>
  <c r="T57" s="1"/>
  <c r="R51"/>
  <c r="R52" s="1"/>
  <c r="R56"/>
  <c r="R57" s="1"/>
  <c r="Q60"/>
  <c r="Q61" s="1"/>
  <c r="P51"/>
  <c r="P52" s="1"/>
  <c r="P56"/>
  <c r="P57" s="1"/>
  <c r="O60"/>
  <c r="O61" s="1"/>
  <c r="N51"/>
  <c r="N52" s="1"/>
  <c r="N56"/>
  <c r="N57" s="1"/>
  <c r="M60"/>
  <c r="M61" s="1"/>
  <c r="L51"/>
  <c r="L52" s="1"/>
  <c r="L56"/>
  <c r="L57" s="1"/>
  <c r="K60"/>
  <c r="K61" s="1"/>
  <c r="J51"/>
  <c r="J52" s="1"/>
  <c r="J56"/>
  <c r="J57" s="1"/>
  <c r="I60"/>
  <c r="I61" s="1"/>
  <c r="I51"/>
  <c r="I52" s="1"/>
  <c r="CT60"/>
  <c r="CT61" s="1"/>
  <c r="CS51"/>
  <c r="CS52" s="1"/>
  <c r="CQ51"/>
  <c r="CQ52" s="1"/>
  <c r="CQ56"/>
  <c r="CQ57" s="1"/>
  <c r="CP60"/>
  <c r="CP61" s="1"/>
  <c r="CO51"/>
  <c r="CO52" s="1"/>
  <c r="CO56"/>
  <c r="CO57" s="1"/>
  <c r="CM56"/>
  <c r="CM57" s="1"/>
  <c r="CL60"/>
  <c r="CL61" s="1"/>
  <c r="CK51"/>
  <c r="CK52" s="1"/>
  <c r="CK56"/>
  <c r="CK57" s="1"/>
  <c r="CJ60"/>
  <c r="CJ61" s="1"/>
  <c r="CI51"/>
  <c r="CI52" s="1"/>
  <c r="CI56"/>
  <c r="CI57" s="1"/>
  <c r="CH60"/>
  <c r="CH61" s="1"/>
  <c r="CG51"/>
  <c r="CG52" s="1"/>
  <c r="CG56"/>
  <c r="CG57" s="1"/>
  <c r="CF60"/>
  <c r="CF61" s="1"/>
  <c r="CE56"/>
  <c r="CE57" s="1"/>
  <c r="CE54" s="1"/>
  <c r="CE10" i="2" s="1"/>
  <c r="CC51" i="3"/>
  <c r="CC52" s="1"/>
  <c r="CA51"/>
  <c r="CA52" s="1"/>
  <c r="BY51"/>
  <c r="BY52" s="1"/>
  <c r="BY56"/>
  <c r="BY57" s="1"/>
  <c r="BW56"/>
  <c r="BW57" s="1"/>
  <c r="BV60"/>
  <c r="BV61" s="1"/>
  <c r="BU51"/>
  <c r="BU52" s="1"/>
  <c r="BU56"/>
  <c r="BU57" s="1"/>
  <c r="BT60"/>
  <c r="BT61" s="1"/>
  <c r="BS51"/>
  <c r="BS52" s="1"/>
  <c r="BS56"/>
  <c r="BS57" s="1"/>
  <c r="BR60"/>
  <c r="BR61" s="1"/>
  <c r="BQ51"/>
  <c r="BQ52" s="1"/>
  <c r="BQ56"/>
  <c r="BQ57" s="1"/>
  <c r="BP60"/>
  <c r="BP61" s="1"/>
  <c r="BO56"/>
  <c r="BO57" s="1"/>
  <c r="BN60"/>
  <c r="BN61" s="1"/>
  <c r="BM51"/>
  <c r="BM52" s="1"/>
  <c r="BM56"/>
  <c r="BM57" s="1"/>
  <c r="BL60"/>
  <c r="BL61" s="1"/>
  <c r="BK51"/>
  <c r="BK52" s="1"/>
  <c r="BK56"/>
  <c r="BK57" s="1"/>
  <c r="BJ60"/>
  <c r="BJ61" s="1"/>
  <c r="BI51"/>
  <c r="BI52" s="1"/>
  <c r="BI56"/>
  <c r="BI57" s="1"/>
  <c r="BH60"/>
  <c r="BH61" s="1"/>
  <c r="BG56"/>
  <c r="BG57" s="1"/>
  <c r="BF60"/>
  <c r="BF61" s="1"/>
  <c r="BE51"/>
  <c r="BE52" s="1"/>
  <c r="BE56"/>
  <c r="BE57" s="1"/>
  <c r="BD60"/>
  <c r="BD61" s="1"/>
  <c r="BC51"/>
  <c r="BC52" s="1"/>
  <c r="BC56"/>
  <c r="BC57" s="1"/>
  <c r="BB60"/>
  <c r="BB61" s="1"/>
  <c r="BA51"/>
  <c r="BA52" s="1"/>
  <c r="BA56"/>
  <c r="BA57" s="1"/>
  <c r="AZ60"/>
  <c r="AZ61" s="1"/>
  <c r="AY56"/>
  <c r="AY57" s="1"/>
  <c r="AX60"/>
  <c r="AX61" s="1"/>
  <c r="AW51"/>
  <c r="AW52" s="1"/>
  <c r="AW56"/>
  <c r="AW57" s="1"/>
  <c r="AU51"/>
  <c r="AU52" s="1"/>
  <c r="AU56"/>
  <c r="AU57" s="1"/>
  <c r="AT60"/>
  <c r="AT61" s="1"/>
  <c r="AS51"/>
  <c r="AS52" s="1"/>
  <c r="AQ56"/>
  <c r="AQ57" s="1"/>
  <c r="AO51"/>
  <c r="AO52" s="1"/>
  <c r="AM51"/>
  <c r="AM52" s="1"/>
  <c r="AM56"/>
  <c r="AM57" s="1"/>
  <c r="AL60"/>
  <c r="AL61" s="1"/>
  <c r="AK51"/>
  <c r="AK52" s="1"/>
  <c r="AJ60"/>
  <c r="AJ61" s="1"/>
  <c r="AI56"/>
  <c r="AI57" s="1"/>
  <c r="AH60"/>
  <c r="AH61" s="1"/>
  <c r="AG51"/>
  <c r="AG52" s="1"/>
  <c r="AE51"/>
  <c r="AE52" s="1"/>
  <c r="AE56"/>
  <c r="AE57" s="1"/>
  <c r="AD60"/>
  <c r="AD61" s="1"/>
  <c r="AC51"/>
  <c r="AC52" s="1"/>
  <c r="Y51"/>
  <c r="Y52" s="1"/>
  <c r="W51"/>
  <c r="W52" s="1"/>
  <c r="U51"/>
  <c r="U52" s="1"/>
  <c r="T60"/>
  <c r="T61" s="1"/>
  <c r="S51"/>
  <c r="S52" s="1"/>
  <c r="S56"/>
  <c r="S57" s="1"/>
  <c r="R60"/>
  <c r="R61" s="1"/>
  <c r="R58" s="1"/>
  <c r="R11" i="2" s="1"/>
  <c r="Q51" i="3"/>
  <c r="Q52" s="1"/>
  <c r="P60"/>
  <c r="P61" s="1"/>
  <c r="O51"/>
  <c r="O52" s="1"/>
  <c r="O56"/>
  <c r="O57" s="1"/>
  <c r="N60"/>
  <c r="N61" s="1"/>
  <c r="M51"/>
  <c r="M52" s="1"/>
  <c r="K51"/>
  <c r="K52" s="1"/>
  <c r="K56"/>
  <c r="K57" s="1"/>
  <c r="J60"/>
  <c r="J61" s="1"/>
  <c r="H56"/>
  <c r="H57" s="1"/>
  <c r="H51"/>
  <c r="H52" s="1"/>
  <c r="H60"/>
  <c r="H61" s="1"/>
  <c r="G51"/>
  <c r="G52" s="1"/>
  <c r="G60"/>
  <c r="G61" s="1"/>
  <c r="G56"/>
  <c r="G57" s="1"/>
  <c r="G54" s="1"/>
  <c r="G10" i="2" s="1"/>
  <c r="F56" i="3"/>
  <c r="F57" s="1"/>
  <c r="F54" s="1"/>
  <c r="F10" i="2" s="1"/>
  <c r="F51" i="3"/>
  <c r="F52" s="1"/>
  <c r="F60"/>
  <c r="F61" s="1"/>
  <c r="E60"/>
  <c r="E61" s="1"/>
  <c r="E58" s="1"/>
  <c r="E11" i="2" s="1"/>
  <c r="E51" i="3"/>
  <c r="E52" s="1"/>
  <c r="D56"/>
  <c r="D57" s="1"/>
  <c r="D51"/>
  <c r="D52" s="1"/>
  <c r="D60"/>
  <c r="D61" s="1"/>
  <c r="C41" i="7"/>
  <c r="D41" i="4"/>
  <c r="D42" s="1"/>
  <c r="E47" i="3"/>
  <c r="C41" i="5"/>
  <c r="C42" s="1"/>
  <c r="F41" i="98"/>
  <c r="F42" s="1"/>
  <c r="F43" s="1"/>
  <c r="F41" i="99"/>
  <c r="F42" s="1"/>
  <c r="F43" s="1"/>
  <c r="D41"/>
  <c r="D42" s="1"/>
  <c r="E41" i="98"/>
  <c r="D41"/>
  <c r="D42" s="1"/>
  <c r="D43" s="1"/>
  <c r="AZ47" i="3"/>
  <c r="AZ53" s="1"/>
  <c r="AZ9" i="2" s="1"/>
  <c r="AJ47" i="3"/>
  <c r="AJ53" s="1"/>
  <c r="AJ9" i="2" s="1"/>
  <c r="S47" i="3"/>
  <c r="S53" s="1"/>
  <c r="S9" i="2" s="1"/>
  <c r="Z47" i="3"/>
  <c r="Z53" s="1"/>
  <c r="Z9" i="2" s="1"/>
  <c r="H47" i="3"/>
  <c r="H53" s="1"/>
  <c r="H9" i="2" s="1"/>
  <c r="C41" i="10"/>
  <c r="C42" s="1"/>
  <c r="C43" s="1"/>
  <c r="AH47" i="3"/>
  <c r="AH53" s="1"/>
  <c r="AH9" i="2" s="1"/>
  <c r="R47" i="3"/>
  <c r="R53" s="1"/>
  <c r="R9" i="2" s="1"/>
  <c r="BL47" i="3"/>
  <c r="BL53" s="1"/>
  <c r="BL9" i="2" s="1"/>
  <c r="AI47" i="3"/>
  <c r="AI53" s="1"/>
  <c r="AI9" i="2" s="1"/>
  <c r="F12" i="5"/>
  <c r="E12"/>
  <c r="D12"/>
  <c r="AS47" i="3"/>
  <c r="AS53" s="1"/>
  <c r="AS9" i="2" s="1"/>
  <c r="AB47" i="3"/>
  <c r="AB53" s="1"/>
  <c r="AB9" i="2" s="1"/>
  <c r="AD47" i="3"/>
  <c r="AD53" s="1"/>
  <c r="AD9" i="2" s="1"/>
  <c r="C42" i="8"/>
  <c r="C43" s="1"/>
  <c r="J47" i="3"/>
  <c r="J53" s="1"/>
  <c r="J9" i="2" s="1"/>
  <c r="N47" i="3"/>
  <c r="N53" s="1"/>
  <c r="N9" i="2" s="1"/>
  <c r="AP47" i="3"/>
  <c r="AP53" s="1"/>
  <c r="AP9" i="2" s="1"/>
  <c r="D47" i="3"/>
  <c r="D53" s="1"/>
  <c r="D9" i="2" s="1"/>
  <c r="F9" i="18"/>
  <c r="E9"/>
  <c r="D9"/>
  <c r="D9" i="15"/>
  <c r="E9"/>
  <c r="F9"/>
  <c r="F9" i="54"/>
  <c r="E9"/>
  <c r="D9"/>
  <c r="D9" i="64"/>
  <c r="F9"/>
  <c r="E9"/>
  <c r="D9" i="91"/>
  <c r="F9"/>
  <c r="E9"/>
  <c r="F9" i="89"/>
  <c r="E9"/>
  <c r="D9"/>
  <c r="D9" i="13"/>
  <c r="F9"/>
  <c r="E9"/>
  <c r="E9" i="32"/>
  <c r="D9"/>
  <c r="F9"/>
  <c r="D9" i="38"/>
  <c r="F9"/>
  <c r="E9"/>
  <c r="E9" i="33"/>
  <c r="D9"/>
  <c r="F9"/>
  <c r="D9" i="44"/>
  <c r="E9"/>
  <c r="F9"/>
  <c r="D9" i="48"/>
  <c r="F9"/>
  <c r="E9"/>
  <c r="F9" i="58"/>
  <c r="E9"/>
  <c r="D9"/>
  <c r="F9" i="45"/>
  <c r="E9"/>
  <c r="D9"/>
  <c r="E9" i="78"/>
  <c r="D9"/>
  <c r="F9"/>
  <c r="F9" i="43"/>
  <c r="D9"/>
  <c r="E9"/>
  <c r="F9" i="65"/>
  <c r="E9"/>
  <c r="D9"/>
  <c r="D9" i="66"/>
  <c r="F9"/>
  <c r="E9"/>
  <c r="D9" i="70"/>
  <c r="E9"/>
  <c r="F9"/>
  <c r="D9" i="83"/>
  <c r="F9"/>
  <c r="E9"/>
  <c r="F24" i="20"/>
  <c r="E24"/>
  <c r="D24"/>
  <c r="F24" i="24"/>
  <c r="D24"/>
  <c r="E24"/>
  <c r="F24" i="31"/>
  <c r="E24"/>
  <c r="D24"/>
  <c r="E24" i="28"/>
  <c r="F24"/>
  <c r="D24"/>
  <c r="F24" i="50"/>
  <c r="E24"/>
  <c r="D24"/>
  <c r="E24" i="52"/>
  <c r="F24"/>
  <c r="D24"/>
  <c r="E24" i="75"/>
  <c r="D24"/>
  <c r="F24"/>
  <c r="F24" i="53"/>
  <c r="D24"/>
  <c r="E24"/>
  <c r="F24" i="80"/>
  <c r="E24"/>
  <c r="D24"/>
  <c r="F24" i="45"/>
  <c r="E24"/>
  <c r="D24"/>
  <c r="F24" i="66"/>
  <c r="D24"/>
  <c r="E24"/>
  <c r="F24" i="79"/>
  <c r="E24"/>
  <c r="D24"/>
  <c r="F24" i="97"/>
  <c r="D24"/>
  <c r="E24"/>
  <c r="F24" i="96"/>
  <c r="D24"/>
  <c r="E24"/>
  <c r="F27" i="11"/>
  <c r="E27"/>
  <c r="D27"/>
  <c r="F27" i="24"/>
  <c r="D27"/>
  <c r="E27"/>
  <c r="D27" i="23"/>
  <c r="F27"/>
  <c r="E27"/>
  <c r="E27" i="22"/>
  <c r="F27"/>
  <c r="D27"/>
  <c r="F27" i="31"/>
  <c r="E27"/>
  <c r="D27"/>
  <c r="F27" i="45"/>
  <c r="E27"/>
  <c r="D27"/>
  <c r="F27" i="58"/>
  <c r="D27"/>
  <c r="E27"/>
  <c r="F27" i="65"/>
  <c r="E27"/>
  <c r="D27"/>
  <c r="F27" i="69"/>
  <c r="E27"/>
  <c r="D27"/>
  <c r="CB46" i="3"/>
  <c r="F9" i="17"/>
  <c r="E9"/>
  <c r="D9"/>
  <c r="D9" i="22"/>
  <c r="E9"/>
  <c r="F9"/>
  <c r="E9" i="20"/>
  <c r="D9"/>
  <c r="F9"/>
  <c r="D9" i="34"/>
  <c r="F9"/>
  <c r="E9"/>
  <c r="F9" i="11"/>
  <c r="E9"/>
  <c r="D9"/>
  <c r="E9" i="24"/>
  <c r="F9"/>
  <c r="D9"/>
  <c r="F9" i="37"/>
  <c r="E9"/>
  <c r="D9"/>
  <c r="F9" i="46"/>
  <c r="E9"/>
  <c r="D9"/>
  <c r="D9" i="49"/>
  <c r="F9"/>
  <c r="E9"/>
  <c r="D9" i="52"/>
  <c r="E9"/>
  <c r="F9"/>
  <c r="F9" i="56"/>
  <c r="E9"/>
  <c r="D9"/>
  <c r="E9" i="71"/>
  <c r="D9"/>
  <c r="F9"/>
  <c r="F9" i="40"/>
  <c r="E9"/>
  <c r="D9"/>
  <c r="F9" i="51"/>
  <c r="E9"/>
  <c r="D9"/>
  <c r="D9" i="75"/>
  <c r="F9"/>
  <c r="E9"/>
  <c r="D9" i="74"/>
  <c r="E9"/>
  <c r="F9"/>
  <c r="F9" i="67"/>
  <c r="D9"/>
  <c r="E9"/>
  <c r="E9" i="85"/>
  <c r="D9"/>
  <c r="F9"/>
  <c r="D9" i="84"/>
  <c r="E9"/>
  <c r="F9"/>
  <c r="F9" i="88"/>
  <c r="E9"/>
  <c r="D9"/>
  <c r="F9" i="93"/>
  <c r="E9"/>
  <c r="D9"/>
  <c r="E9" i="97"/>
  <c r="D9"/>
  <c r="F9"/>
  <c r="E24" i="15"/>
  <c r="F24"/>
  <c r="D24"/>
  <c r="E24" i="14"/>
  <c r="D24"/>
  <c r="F24"/>
  <c r="D24" i="23"/>
  <c r="F24"/>
  <c r="E24"/>
  <c r="D24" i="25"/>
  <c r="F24"/>
  <c r="E24"/>
  <c r="F24" i="32"/>
  <c r="E24"/>
  <c r="D24"/>
  <c r="E24" i="30"/>
  <c r="F24"/>
  <c r="D24"/>
  <c r="D24" i="38"/>
  <c r="E24"/>
  <c r="F24"/>
  <c r="F24" i="63"/>
  <c r="E24"/>
  <c r="D24"/>
  <c r="F24" i="58"/>
  <c r="D24"/>
  <c r="E24"/>
  <c r="F24" i="64"/>
  <c r="E24"/>
  <c r="D24"/>
  <c r="F24" i="43"/>
  <c r="D24"/>
  <c r="E24"/>
  <c r="F24" i="61"/>
  <c r="D24"/>
  <c r="E24"/>
  <c r="F24" i="39"/>
  <c r="E24"/>
  <c r="D24"/>
  <c r="F24" i="46"/>
  <c r="E24"/>
  <c r="D24"/>
  <c r="F24" i="57"/>
  <c r="E24"/>
  <c r="D24"/>
  <c r="F24" i="67"/>
  <c r="D24"/>
  <c r="E24"/>
  <c r="F24" i="70"/>
  <c r="D24"/>
  <c r="E24"/>
  <c r="F24" i="87"/>
  <c r="E24"/>
  <c r="D24"/>
  <c r="D24" i="84"/>
  <c r="F24"/>
  <c r="E24"/>
  <c r="F24" i="83"/>
  <c r="E24"/>
  <c r="D24"/>
  <c r="F24" i="92"/>
  <c r="E24"/>
  <c r="D24"/>
  <c r="F27" i="13"/>
  <c r="E27"/>
  <c r="D27"/>
  <c r="F27" i="12"/>
  <c r="E27"/>
  <c r="D27"/>
  <c r="F27" i="18"/>
  <c r="E27"/>
  <c r="D27"/>
  <c r="F27" i="37"/>
  <c r="E27"/>
  <c r="D27"/>
  <c r="F27" i="35"/>
  <c r="E27"/>
  <c r="D27"/>
  <c r="E27" i="42"/>
  <c r="F27"/>
  <c r="D27"/>
  <c r="E27" i="28"/>
  <c r="F27"/>
  <c r="D27"/>
  <c r="F27" i="32"/>
  <c r="D27"/>
  <c r="E27"/>
  <c r="F27" i="53"/>
  <c r="E27"/>
  <c r="D27"/>
  <c r="F27" i="46"/>
  <c r="E27"/>
  <c r="D27"/>
  <c r="F27" i="51"/>
  <c r="E27"/>
  <c r="D27"/>
  <c r="E27" i="48"/>
  <c r="D27"/>
  <c r="F27"/>
  <c r="E27" i="88"/>
  <c r="F27"/>
  <c r="D27"/>
  <c r="E27" i="75"/>
  <c r="D27"/>
  <c r="F27"/>
  <c r="E27" i="52"/>
  <c r="D27"/>
  <c r="F27"/>
  <c r="F27" i="81"/>
  <c r="E27"/>
  <c r="D27"/>
  <c r="E27" i="86"/>
  <c r="D27"/>
  <c r="F27"/>
  <c r="F27" i="76"/>
  <c r="D27"/>
  <c r="E27"/>
  <c r="F27" i="97"/>
  <c r="E27"/>
  <c r="D27"/>
  <c r="D27" i="84"/>
  <c r="F27"/>
  <c r="E27"/>
  <c r="F27" i="83"/>
  <c r="E27"/>
  <c r="D27"/>
  <c r="F27" i="91"/>
  <c r="E27"/>
  <c r="D27"/>
  <c r="CS46" i="3"/>
  <c r="BM46"/>
  <c r="AV46"/>
  <c r="E12" i="14"/>
  <c r="F12"/>
  <c r="D12"/>
  <c r="F12" i="25"/>
  <c r="D12"/>
  <c r="E12"/>
  <c r="F12" i="33"/>
  <c r="D12"/>
  <c r="E12"/>
  <c r="F12" i="28"/>
  <c r="D12"/>
  <c r="E12"/>
  <c r="F12" i="23"/>
  <c r="D12"/>
  <c r="E12"/>
  <c r="E12" i="30"/>
  <c r="F12"/>
  <c r="D12"/>
  <c r="E12" i="26"/>
  <c r="F12"/>
  <c r="D12"/>
  <c r="F12" i="57"/>
  <c r="E12"/>
  <c r="D12"/>
  <c r="F12" i="58"/>
  <c r="D12"/>
  <c r="E12"/>
  <c r="F12" i="59"/>
  <c r="E12"/>
  <c r="D12"/>
  <c r="F12" i="79"/>
  <c r="E12"/>
  <c r="D12"/>
  <c r="D12" i="50"/>
  <c r="F12"/>
  <c r="E12"/>
  <c r="F12" i="70"/>
  <c r="D12"/>
  <c r="E12"/>
  <c r="F12" i="43"/>
  <c r="D12"/>
  <c r="E12"/>
  <c r="E12" i="52"/>
  <c r="F12"/>
  <c r="D12"/>
  <c r="F12" i="74"/>
  <c r="E12"/>
  <c r="D12"/>
  <c r="F12" i="68"/>
  <c r="D12"/>
  <c r="E12"/>
  <c r="F12" i="84"/>
  <c r="E12"/>
  <c r="D12"/>
  <c r="F12" i="81"/>
  <c r="E12"/>
  <c r="D12"/>
  <c r="E12" i="94"/>
  <c r="F12"/>
  <c r="D12"/>
  <c r="F12" i="90"/>
  <c r="D12"/>
  <c r="E12"/>
  <c r="F12" i="97"/>
  <c r="D12"/>
  <c r="E12"/>
  <c r="F22" i="12"/>
  <c r="E22"/>
  <c r="D22"/>
  <c r="F22" i="18"/>
  <c r="E22"/>
  <c r="D22"/>
  <c r="E22" i="19"/>
  <c r="F22"/>
  <c r="D22"/>
  <c r="F22" i="37"/>
  <c r="E22"/>
  <c r="D22"/>
  <c r="F22" i="35"/>
  <c r="E22"/>
  <c r="D22"/>
  <c r="F22" i="29"/>
  <c r="E22"/>
  <c r="D22"/>
  <c r="F22" i="33"/>
  <c r="D22"/>
  <c r="E22"/>
  <c r="F22" i="54"/>
  <c r="E22"/>
  <c r="D22"/>
  <c r="F22" i="58"/>
  <c r="D22"/>
  <c r="E22"/>
  <c r="F22" i="59"/>
  <c r="D22"/>
  <c r="E22"/>
  <c r="F22" i="46"/>
  <c r="E22"/>
  <c r="D22"/>
  <c r="F22" i="68"/>
  <c r="D22"/>
  <c r="E22"/>
  <c r="F22" i="65"/>
  <c r="E22"/>
  <c r="D22"/>
  <c r="F22" i="47"/>
  <c r="D22"/>
  <c r="E22"/>
  <c r="F22" i="40"/>
  <c r="D22"/>
  <c r="E22"/>
  <c r="E22" i="86"/>
  <c r="D22"/>
  <c r="F22"/>
  <c r="F22" i="81"/>
  <c r="E22"/>
  <c r="D22"/>
  <c r="F22" i="87"/>
  <c r="E22"/>
  <c r="D22"/>
  <c r="F22" i="79"/>
  <c r="D22"/>
  <c r="E22"/>
  <c r="F22" i="80"/>
  <c r="E22"/>
  <c r="D22"/>
  <c r="F22" i="93"/>
  <c r="E22"/>
  <c r="D22"/>
  <c r="CN46" i="3"/>
  <c r="AR46"/>
  <c r="E15" i="16"/>
  <c r="F15"/>
  <c r="D15"/>
  <c r="D15" i="33"/>
  <c r="F15"/>
  <c r="E15"/>
  <c r="D15" i="14"/>
  <c r="F15"/>
  <c r="E15"/>
  <c r="F15" i="22"/>
  <c r="E15"/>
  <c r="D15"/>
  <c r="E15" i="37"/>
  <c r="F15"/>
  <c r="D15"/>
  <c r="E15" i="29"/>
  <c r="F15"/>
  <c r="D15"/>
  <c r="E15" i="38"/>
  <c r="D15"/>
  <c r="F15"/>
  <c r="E15" i="48"/>
  <c r="F15"/>
  <c r="D15"/>
  <c r="E15" i="50"/>
  <c r="F15"/>
  <c r="D15"/>
  <c r="E15" i="53"/>
  <c r="F15"/>
  <c r="D15"/>
  <c r="E15" i="45"/>
  <c r="F15"/>
  <c r="D15"/>
  <c r="E15" i="65"/>
  <c r="F15"/>
  <c r="D15"/>
  <c r="E15" i="61"/>
  <c r="F15"/>
  <c r="D15"/>
  <c r="E15" i="62"/>
  <c r="F15"/>
  <c r="D15"/>
  <c r="F15" i="44"/>
  <c r="D15"/>
  <c r="E15"/>
  <c r="E15" i="72"/>
  <c r="F15"/>
  <c r="D15"/>
  <c r="D15" i="85"/>
  <c r="F15"/>
  <c r="E15"/>
  <c r="D15" i="78"/>
  <c r="F15"/>
  <c r="E15"/>
  <c r="E15" i="84"/>
  <c r="F15"/>
  <c r="D15"/>
  <c r="E15" i="83"/>
  <c r="F15"/>
  <c r="D15"/>
  <c r="E15" i="93"/>
  <c r="F15"/>
  <c r="D15"/>
  <c r="F28" i="16"/>
  <c r="E28"/>
  <c r="D28"/>
  <c r="D28" i="23"/>
  <c r="F28"/>
  <c r="E28"/>
  <c r="F28" i="31"/>
  <c r="D28"/>
  <c r="E28"/>
  <c r="F28" i="32"/>
  <c r="E28"/>
  <c r="D28"/>
  <c r="F28" i="24"/>
  <c r="E28"/>
  <c r="D28"/>
  <c r="F28" i="36"/>
  <c r="E28"/>
  <c r="D28"/>
  <c r="E28" i="30"/>
  <c r="F28"/>
  <c r="D28"/>
  <c r="F28" i="45"/>
  <c r="E28"/>
  <c r="D28"/>
  <c r="F28" i="46"/>
  <c r="E28"/>
  <c r="D28"/>
  <c r="F28" i="54"/>
  <c r="E28"/>
  <c r="D28"/>
  <c r="F28" i="85"/>
  <c r="D28"/>
  <c r="E28"/>
  <c r="F28" i="59"/>
  <c r="D28"/>
  <c r="E28"/>
  <c r="F28" i="40"/>
  <c r="E28"/>
  <c r="D28"/>
  <c r="F28" i="51"/>
  <c r="E28"/>
  <c r="D28"/>
  <c r="F28" i="65"/>
  <c r="E28"/>
  <c r="D28"/>
  <c r="F28" i="68"/>
  <c r="D28"/>
  <c r="E28"/>
  <c r="F28" i="66"/>
  <c r="D28"/>
  <c r="E28"/>
  <c r="F28" i="76"/>
  <c r="D28"/>
  <c r="E28"/>
  <c r="F28" i="91"/>
  <c r="D28"/>
  <c r="E28"/>
  <c r="E28" i="88"/>
  <c r="F28"/>
  <c r="D28"/>
  <c r="D28" i="94"/>
  <c r="F28"/>
  <c r="E28"/>
  <c r="F39" i="13"/>
  <c r="E39"/>
  <c r="D39"/>
  <c r="D39" i="23"/>
  <c r="F39" s="1"/>
  <c r="F39" i="12"/>
  <c r="D39"/>
  <c r="E39"/>
  <c r="D39" i="29"/>
  <c r="F39" s="1"/>
  <c r="F39" i="20"/>
  <c r="E39"/>
  <c r="D39"/>
  <c r="F39" i="40"/>
  <c r="E39"/>
  <c r="D39"/>
  <c r="D39" i="30"/>
  <c r="F39" s="1"/>
  <c r="F39" i="39"/>
  <c r="E39"/>
  <c r="D39"/>
  <c r="F39" i="47"/>
  <c r="D39"/>
  <c r="E39"/>
  <c r="F39" i="60"/>
  <c r="E39"/>
  <c r="D39"/>
  <c r="F39" i="50"/>
  <c r="E39"/>
  <c r="D39"/>
  <c r="F39" i="73"/>
  <c r="D39"/>
  <c r="E39"/>
  <c r="F39" i="82"/>
  <c r="E39"/>
  <c r="D39"/>
  <c r="E39" i="44"/>
  <c r="D39"/>
  <c r="F39"/>
  <c r="F39" i="54"/>
  <c r="D39"/>
  <c r="E39"/>
  <c r="F39" i="67"/>
  <c r="E39"/>
  <c r="D39"/>
  <c r="F39" i="66"/>
  <c r="E39"/>
  <c r="D39"/>
  <c r="F39" i="88"/>
  <c r="E39"/>
  <c r="D39"/>
  <c r="F39" i="72"/>
  <c r="E39"/>
  <c r="D39"/>
  <c r="F39" i="96"/>
  <c r="E39"/>
  <c r="D39"/>
  <c r="F39" i="83"/>
  <c r="E39"/>
  <c r="D39"/>
  <c r="F39" i="90"/>
  <c r="D39"/>
  <c r="E39"/>
  <c r="CJ46" i="3"/>
  <c r="BV46"/>
  <c r="BD46"/>
  <c r="D10" i="14"/>
  <c r="F10"/>
  <c r="F10" i="33"/>
  <c r="D10"/>
  <c r="F10" i="32"/>
  <c r="D10"/>
  <c r="D10" i="16"/>
  <c r="F10"/>
  <c r="D10" i="23"/>
  <c r="F10"/>
  <c r="F10" i="35"/>
  <c r="D10"/>
  <c r="F10" i="39"/>
  <c r="D10"/>
  <c r="F10" i="45"/>
  <c r="D10"/>
  <c r="D10" i="48"/>
  <c r="F10"/>
  <c r="F10" i="47"/>
  <c r="D10"/>
  <c r="F10" i="62"/>
  <c r="D10"/>
  <c r="D10" i="44"/>
  <c r="F10"/>
  <c r="F10" i="85"/>
  <c r="D10"/>
  <c r="D10" i="50"/>
  <c r="F10"/>
  <c r="D10" i="60"/>
  <c r="F10"/>
  <c r="F10" i="72"/>
  <c r="D10"/>
  <c r="F10" i="79"/>
  <c r="D10"/>
  <c r="F10" i="68"/>
  <c r="D10"/>
  <c r="D10" i="92"/>
  <c r="F10"/>
  <c r="D10" i="88"/>
  <c r="F10"/>
  <c r="D10" i="91"/>
  <c r="F10"/>
  <c r="F10" i="97"/>
  <c r="D10"/>
  <c r="F23" i="12"/>
  <c r="E23"/>
  <c r="D23"/>
  <c r="F23" i="19"/>
  <c r="D23"/>
  <c r="E23"/>
  <c r="F23" i="20"/>
  <c r="E23"/>
  <c r="D23"/>
  <c r="E23" i="14"/>
  <c r="F23"/>
  <c r="D23"/>
  <c r="F23" i="31"/>
  <c r="D23"/>
  <c r="E23"/>
  <c r="F23" i="33"/>
  <c r="D23"/>
  <c r="E23"/>
  <c r="D23" i="38"/>
  <c r="F23"/>
  <c r="E23"/>
  <c r="E23" i="44"/>
  <c r="F23"/>
  <c r="D23"/>
  <c r="E23" i="49"/>
  <c r="D23"/>
  <c r="F23"/>
  <c r="F23" i="45"/>
  <c r="E23"/>
  <c r="D23"/>
  <c r="F23" i="60"/>
  <c r="E23"/>
  <c r="D23"/>
  <c r="F23" i="64"/>
  <c r="D23"/>
  <c r="E23"/>
  <c r="E23" i="42"/>
  <c r="F23"/>
  <c r="D23"/>
  <c r="F23" i="58"/>
  <c r="D23"/>
  <c r="E23"/>
  <c r="F23" i="71"/>
  <c r="D23"/>
  <c r="E23"/>
  <c r="F23" i="76"/>
  <c r="D23"/>
  <c r="E23"/>
  <c r="F23" i="78"/>
  <c r="D23"/>
  <c r="E23"/>
  <c r="F23" i="69"/>
  <c r="E23"/>
  <c r="D23"/>
  <c r="D23" i="84"/>
  <c r="E23"/>
  <c r="F23"/>
  <c r="E23" i="88"/>
  <c r="F23"/>
  <c r="D23"/>
  <c r="F23" i="91"/>
  <c r="D23"/>
  <c r="E23"/>
  <c r="F23" i="96"/>
  <c r="E23"/>
  <c r="D23"/>
  <c r="E25" i="15"/>
  <c r="F25"/>
  <c r="D25"/>
  <c r="E25" i="34"/>
  <c r="D25"/>
  <c r="F25"/>
  <c r="D25" i="25"/>
  <c r="F25"/>
  <c r="E25"/>
  <c r="F25" i="19"/>
  <c r="D25"/>
  <c r="E25"/>
  <c r="F25" i="33"/>
  <c r="D25"/>
  <c r="E25"/>
  <c r="F25" i="43"/>
  <c r="E25"/>
  <c r="D25"/>
  <c r="E25" i="30"/>
  <c r="F25"/>
  <c r="D25"/>
  <c r="F25" i="40"/>
  <c r="E25"/>
  <c r="D25"/>
  <c r="E25" i="48"/>
  <c r="D25"/>
  <c r="F25"/>
  <c r="F25" i="61"/>
  <c r="E25"/>
  <c r="D25"/>
  <c r="F25" i="71"/>
  <c r="D25"/>
  <c r="E25"/>
  <c r="F25" i="78"/>
  <c r="D25"/>
  <c r="E25"/>
  <c r="F25" i="87"/>
  <c r="E25"/>
  <c r="D25"/>
  <c r="E25" i="44"/>
  <c r="D25"/>
  <c r="F25"/>
  <c r="F25" i="55"/>
  <c r="D25"/>
  <c r="E25"/>
  <c r="E25" i="52"/>
  <c r="F25"/>
  <c r="D25"/>
  <c r="F25" i="96"/>
  <c r="E25"/>
  <c r="D25"/>
  <c r="F25" i="82"/>
  <c r="E25"/>
  <c r="D25"/>
  <c r="F25" i="85"/>
  <c r="D25"/>
  <c r="E25"/>
  <c r="F25" i="77"/>
  <c r="E25"/>
  <c r="D25"/>
  <c r="F25" i="90"/>
  <c r="D25"/>
  <c r="E25"/>
  <c r="F25" i="94"/>
  <c r="E25"/>
  <c r="D25"/>
  <c r="E38" i="26"/>
  <c r="D38"/>
  <c r="F38"/>
  <c r="C41"/>
  <c r="C42" s="1"/>
  <c r="C43" s="1"/>
  <c r="F38" i="15"/>
  <c r="C41"/>
  <c r="C42" s="1"/>
  <c r="D38"/>
  <c r="E38"/>
  <c r="C41" i="23"/>
  <c r="C42" s="1"/>
  <c r="D38"/>
  <c r="F38"/>
  <c r="E38"/>
  <c r="E38" i="34"/>
  <c r="C41"/>
  <c r="C42" s="1"/>
  <c r="C43" s="1"/>
  <c r="D38"/>
  <c r="F38"/>
  <c r="F38" i="32"/>
  <c r="C41"/>
  <c r="C42" s="1"/>
  <c r="C43" s="1"/>
  <c r="E38"/>
  <c r="D38"/>
  <c r="E38" i="30"/>
  <c r="C41"/>
  <c r="C42" s="1"/>
  <c r="F38"/>
  <c r="D38"/>
  <c r="E38" i="38"/>
  <c r="F38"/>
  <c r="D38"/>
  <c r="C41"/>
  <c r="C42" s="1"/>
  <c r="C43" s="1"/>
  <c r="F38" i="63"/>
  <c r="E38"/>
  <c r="D38"/>
  <c r="C41"/>
  <c r="C42" s="1"/>
  <c r="C43" s="1"/>
  <c r="F38" i="58"/>
  <c r="C41"/>
  <c r="C42" s="1"/>
  <c r="D38"/>
  <c r="E38"/>
  <c r="E38" i="86"/>
  <c r="C41"/>
  <c r="C42" s="1"/>
  <c r="C43" s="1"/>
  <c r="D38"/>
  <c r="F38"/>
  <c r="E38" i="42"/>
  <c r="D38"/>
  <c r="C41"/>
  <c r="C42" s="1"/>
  <c r="F38"/>
  <c r="F38" i="53"/>
  <c r="D38"/>
  <c r="C41"/>
  <c r="C42" s="1"/>
  <c r="C43" s="1"/>
  <c r="E38"/>
  <c r="F38" i="79"/>
  <c r="C41"/>
  <c r="C42" s="1"/>
  <c r="E38"/>
  <c r="D38"/>
  <c r="F38" i="46"/>
  <c r="C41"/>
  <c r="C42" s="1"/>
  <c r="C43" s="1"/>
  <c r="E38"/>
  <c r="F38" i="57"/>
  <c r="C41"/>
  <c r="C42" s="1"/>
  <c r="C43" s="1"/>
  <c r="E38"/>
  <c r="D38"/>
  <c r="F38" i="67"/>
  <c r="D38"/>
  <c r="C41"/>
  <c r="C42" s="1"/>
  <c r="E38"/>
  <c r="C41" i="74"/>
  <c r="C42" s="1"/>
  <c r="C43" s="1"/>
  <c r="D38"/>
  <c r="F38"/>
  <c r="E38"/>
  <c r="F38" i="87"/>
  <c r="E38"/>
  <c r="D38"/>
  <c r="C41"/>
  <c r="F38" i="82"/>
  <c r="D38"/>
  <c r="E38"/>
  <c r="C41"/>
  <c r="C42" s="1"/>
  <c r="C43" s="1"/>
  <c r="F38" i="83"/>
  <c r="C41"/>
  <c r="E38"/>
  <c r="D38"/>
  <c r="F38" i="97"/>
  <c r="D38"/>
  <c r="C41"/>
  <c r="C42" s="1"/>
  <c r="E38"/>
  <c r="AO46" i="3"/>
  <c r="F9" i="12"/>
  <c r="E9"/>
  <c r="D9"/>
  <c r="D9" i="31"/>
  <c r="F9"/>
  <c r="E9"/>
  <c r="F9" i="35"/>
  <c r="E9"/>
  <c r="D9"/>
  <c r="D9" i="60"/>
  <c r="F9"/>
  <c r="E9"/>
  <c r="D9" i="42"/>
  <c r="E9"/>
  <c r="F9"/>
  <c r="E9" i="79"/>
  <c r="D9"/>
  <c r="F9"/>
  <c r="F9" i="95"/>
  <c r="E9"/>
  <c r="D9"/>
  <c r="F9" i="19"/>
  <c r="D9"/>
  <c r="E9"/>
  <c r="D9" i="36"/>
  <c r="F9"/>
  <c r="E9"/>
  <c r="E9" i="62"/>
  <c r="D9"/>
  <c r="F9"/>
  <c r="D9" i="73"/>
  <c r="F9"/>
  <c r="E9"/>
  <c r="D9" i="80"/>
  <c r="F9"/>
  <c r="E9"/>
  <c r="D9" i="96"/>
  <c r="F9"/>
  <c r="E9"/>
  <c r="F24" i="17"/>
  <c r="D24"/>
  <c r="E24"/>
  <c r="F24" i="37"/>
  <c r="D24"/>
  <c r="E24"/>
  <c r="E24" i="42"/>
  <c r="D24"/>
  <c r="F24"/>
  <c r="F24" i="56"/>
  <c r="E24"/>
  <c r="D24"/>
  <c r="F24" i="82"/>
  <c r="D24"/>
  <c r="E24"/>
  <c r="E24" i="94"/>
  <c r="D24"/>
  <c r="F24"/>
  <c r="E27" i="34"/>
  <c r="D27"/>
  <c r="F27"/>
  <c r="F27" i="43"/>
  <c r="E27"/>
  <c r="D27"/>
  <c r="E27" i="70"/>
  <c r="F27"/>
  <c r="D27"/>
  <c r="F27" i="90"/>
  <c r="D27"/>
  <c r="E27"/>
  <c r="D9" i="16"/>
  <c r="F9"/>
  <c r="E9"/>
  <c r="D9" i="23"/>
  <c r="E9"/>
  <c r="F9"/>
  <c r="D9" i="21"/>
  <c r="F9"/>
  <c r="E9"/>
  <c r="D9" i="14"/>
  <c r="E9"/>
  <c r="F9"/>
  <c r="D9" i="28"/>
  <c r="E9"/>
  <c r="F9"/>
  <c r="D9" i="26"/>
  <c r="E9"/>
  <c r="F9"/>
  <c r="D9" i="30"/>
  <c r="F9"/>
  <c r="E9"/>
  <c r="F9" i="57"/>
  <c r="E9"/>
  <c r="D9"/>
  <c r="D9" i="50"/>
  <c r="F9"/>
  <c r="E9"/>
  <c r="F9" i="55"/>
  <c r="E9"/>
  <c r="D9"/>
  <c r="F9" i="59"/>
  <c r="E9"/>
  <c r="D9"/>
  <c r="D9" i="63"/>
  <c r="E9"/>
  <c r="F9"/>
  <c r="F9" i="41"/>
  <c r="D9"/>
  <c r="E9"/>
  <c r="F9" i="53"/>
  <c r="E9"/>
  <c r="D9"/>
  <c r="E9" i="76"/>
  <c r="D9"/>
  <c r="F9"/>
  <c r="E9" i="77"/>
  <c r="D9"/>
  <c r="F9"/>
  <c r="F9" i="68"/>
  <c r="E9"/>
  <c r="D9"/>
  <c r="D9" i="86"/>
  <c r="F9"/>
  <c r="E9"/>
  <c r="F9" i="81"/>
  <c r="E9"/>
  <c r="D9"/>
  <c r="D9" i="92"/>
  <c r="E9"/>
  <c r="F9"/>
  <c r="D9" i="94"/>
  <c r="F9"/>
  <c r="E9"/>
  <c r="F24" i="13"/>
  <c r="E24"/>
  <c r="D24"/>
  <c r="F24" i="19"/>
  <c r="E24"/>
  <c r="D24"/>
  <c r="F24" i="11"/>
  <c r="E24"/>
  <c r="D24"/>
  <c r="E24" i="26"/>
  <c r="D24"/>
  <c r="F24"/>
  <c r="E24" i="34"/>
  <c r="D24"/>
  <c r="F24"/>
  <c r="F24" i="36"/>
  <c r="E24"/>
  <c r="D24"/>
  <c r="F24" i="33"/>
  <c r="D24"/>
  <c r="E24"/>
  <c r="F24" i="59"/>
  <c r="E24"/>
  <c r="D24"/>
  <c r="E24" i="48"/>
  <c r="D24"/>
  <c r="F24"/>
  <c r="F24" i="62"/>
  <c r="E24"/>
  <c r="D24"/>
  <c r="E24" i="86"/>
  <c r="D24"/>
  <c r="F24"/>
  <c r="F24" i="47"/>
  <c r="D24"/>
  <c r="E24"/>
  <c r="F24" i="65"/>
  <c r="D24"/>
  <c r="E24"/>
  <c r="F24" i="40"/>
  <c r="D24"/>
  <c r="E24"/>
  <c r="F24" i="54"/>
  <c r="D24"/>
  <c r="E24"/>
  <c r="F24" i="68"/>
  <c r="D24"/>
  <c r="E24"/>
  <c r="F24" i="69"/>
  <c r="D24"/>
  <c r="E24"/>
  <c r="F24" i="73"/>
  <c r="D24"/>
  <c r="E24"/>
  <c r="F24" i="78"/>
  <c r="D24"/>
  <c r="E24"/>
  <c r="F24" i="85"/>
  <c r="D24"/>
  <c r="E24"/>
  <c r="F24" i="91"/>
  <c r="E24"/>
  <c r="D24"/>
  <c r="F24" i="95"/>
  <c r="D24"/>
  <c r="E24"/>
  <c r="E27" i="14"/>
  <c r="F27"/>
  <c r="D27"/>
  <c r="E27" i="16"/>
  <c r="D27"/>
  <c r="F27"/>
  <c r="E27" i="21"/>
  <c r="D27"/>
  <c r="F27"/>
  <c r="F27" i="39"/>
  <c r="D27"/>
  <c r="E27"/>
  <c r="F27" i="19"/>
  <c r="D27"/>
  <c r="E27"/>
  <c r="F27" i="27"/>
  <c r="E27"/>
  <c r="D27"/>
  <c r="F27" i="29"/>
  <c r="E27"/>
  <c r="D27"/>
  <c r="F27" i="33"/>
  <c r="D27"/>
  <c r="E27"/>
  <c r="F27" i="56"/>
  <c r="E27"/>
  <c r="D27"/>
  <c r="F27" i="50"/>
  <c r="E27"/>
  <c r="D27"/>
  <c r="F27" i="54"/>
  <c r="E27"/>
  <c r="D27"/>
  <c r="E27" i="49"/>
  <c r="D27"/>
  <c r="F27"/>
  <c r="F27" i="89"/>
  <c r="E27"/>
  <c r="D27"/>
  <c r="F27" i="61"/>
  <c r="E27"/>
  <c r="D27"/>
  <c r="F27" i="62"/>
  <c r="D27"/>
  <c r="E27"/>
  <c r="F27" i="59"/>
  <c r="D27"/>
  <c r="E27"/>
  <c r="F27" i="71"/>
  <c r="D27"/>
  <c r="E27"/>
  <c r="F27" i="73"/>
  <c r="D27"/>
  <c r="E27"/>
  <c r="F27" i="77"/>
  <c r="D27"/>
  <c r="E27"/>
  <c r="F27" i="85"/>
  <c r="D27"/>
  <c r="E27"/>
  <c r="F27" i="96"/>
  <c r="D27"/>
  <c r="E27"/>
  <c r="F27" i="92"/>
  <c r="E27"/>
  <c r="D27"/>
  <c r="CR46" i="3"/>
  <c r="CD46"/>
  <c r="AY46"/>
  <c r="E12" i="15"/>
  <c r="F12"/>
  <c r="D12"/>
  <c r="F12" i="29"/>
  <c r="D12"/>
  <c r="E12"/>
  <c r="D12" i="13"/>
  <c r="F12"/>
  <c r="E12"/>
  <c r="F12" i="32"/>
  <c r="E12"/>
  <c r="D12"/>
  <c r="F12" i="31"/>
  <c r="D12"/>
  <c r="E12"/>
  <c r="F12" i="35"/>
  <c r="E12"/>
  <c r="D12"/>
  <c r="D12" i="36"/>
  <c r="E12"/>
  <c r="F12"/>
  <c r="E12" i="42"/>
  <c r="F12"/>
  <c r="D12"/>
  <c r="F12" i="55"/>
  <c r="E12"/>
  <c r="D12"/>
  <c r="F12" i="78"/>
  <c r="D12"/>
  <c r="E12"/>
  <c r="F12" i="62"/>
  <c r="E12"/>
  <c r="D12"/>
  <c r="D12" i="60"/>
  <c r="F12"/>
  <c r="E12"/>
  <c r="F12" i="76"/>
  <c r="D12"/>
  <c r="E12"/>
  <c r="F12" i="48"/>
  <c r="E12"/>
  <c r="D12"/>
  <c r="F12" i="53"/>
  <c r="E12"/>
  <c r="D12"/>
  <c r="F12" i="73"/>
  <c r="D12"/>
  <c r="E12"/>
  <c r="F12" i="69"/>
  <c r="E12"/>
  <c r="D12"/>
  <c r="F12" i="85"/>
  <c r="D12"/>
  <c r="E12"/>
  <c r="F12" i="82"/>
  <c r="E12"/>
  <c r="D12"/>
  <c r="D12" i="88"/>
  <c r="F12"/>
  <c r="E12"/>
  <c r="F12" i="93"/>
  <c r="D12"/>
  <c r="E12"/>
  <c r="E22" i="14"/>
  <c r="F22"/>
  <c r="D22"/>
  <c r="E22" i="16"/>
  <c r="D22"/>
  <c r="F22"/>
  <c r="E22" i="21"/>
  <c r="D22"/>
  <c r="F22"/>
  <c r="F22" i="20"/>
  <c r="D22"/>
  <c r="E22"/>
  <c r="F22" i="13"/>
  <c r="E22"/>
  <c r="D22"/>
  <c r="F22" i="27"/>
  <c r="E22"/>
  <c r="D22"/>
  <c r="E22" i="30"/>
  <c r="F22"/>
  <c r="D22"/>
  <c r="E22" i="42"/>
  <c r="F22"/>
  <c r="D22"/>
  <c r="E22" i="44"/>
  <c r="F22"/>
  <c r="D22"/>
  <c r="F22" i="45"/>
  <c r="E22"/>
  <c r="D22"/>
  <c r="F22" i="60"/>
  <c r="E22"/>
  <c r="D22"/>
  <c r="E22" i="48"/>
  <c r="D22"/>
  <c r="F22"/>
  <c r="F22" i="69"/>
  <c r="E22"/>
  <c r="D22"/>
  <c r="E22" i="75"/>
  <c r="D22"/>
  <c r="F22"/>
  <c r="E22" i="52"/>
  <c r="D22"/>
  <c r="F22"/>
  <c r="F22" i="63"/>
  <c r="D22"/>
  <c r="E22"/>
  <c r="F22" i="71"/>
  <c r="D22"/>
  <c r="E22"/>
  <c r="E22" i="88"/>
  <c r="F22"/>
  <c r="D22"/>
  <c r="F22" i="96"/>
  <c r="E22"/>
  <c r="D22"/>
  <c r="D22" i="84"/>
  <c r="F22"/>
  <c r="E22"/>
  <c r="F22" i="83"/>
  <c r="E22"/>
  <c r="D22"/>
  <c r="F22" i="91"/>
  <c r="E22"/>
  <c r="D22"/>
  <c r="CQ46" i="3"/>
  <c r="BZ46"/>
  <c r="BI46"/>
  <c r="L47"/>
  <c r="L53" s="1"/>
  <c r="L9" i="2" s="1"/>
  <c r="D9" i="8"/>
  <c r="D41" s="1"/>
  <c r="D42" s="1"/>
  <c r="D43" s="1"/>
  <c r="F9"/>
  <c r="F41" s="1"/>
  <c r="F42" s="1"/>
  <c r="F43" s="1"/>
  <c r="E9"/>
  <c r="E41" s="1"/>
  <c r="E42" s="1"/>
  <c r="E43" s="1"/>
  <c r="E15" i="13"/>
  <c r="F15"/>
  <c r="D15"/>
  <c r="E15" i="17"/>
  <c r="F15"/>
  <c r="D15"/>
  <c r="E15" i="35"/>
  <c r="F15"/>
  <c r="D15"/>
  <c r="D15" i="15"/>
  <c r="F15"/>
  <c r="E15"/>
  <c r="E15" i="23"/>
  <c r="F15"/>
  <c r="D15"/>
  <c r="E15" i="27"/>
  <c r="F15"/>
  <c r="D15"/>
  <c r="E15" i="30"/>
  <c r="F15"/>
  <c r="D15"/>
  <c r="D15" i="39"/>
  <c r="F15"/>
  <c r="E15"/>
  <c r="E15" i="49"/>
  <c r="F15"/>
  <c r="D15"/>
  <c r="F15" i="52"/>
  <c r="E15"/>
  <c r="D15"/>
  <c r="E15" i="55"/>
  <c r="F15"/>
  <c r="D15"/>
  <c r="E15" i="56"/>
  <c r="F15"/>
  <c r="D15"/>
  <c r="E15" i="69"/>
  <c r="F15"/>
  <c r="D15"/>
  <c r="E15" i="70"/>
  <c r="D15"/>
  <c r="F15"/>
  <c r="E15" i="75"/>
  <c r="F15"/>
  <c r="D15"/>
  <c r="E15" i="63"/>
  <c r="F15"/>
  <c r="D15"/>
  <c r="D15" i="73"/>
  <c r="E15"/>
  <c r="F15"/>
  <c r="E15" i="86"/>
  <c r="F15"/>
  <c r="D15"/>
  <c r="E15" i="87"/>
  <c r="F15"/>
  <c r="D15"/>
  <c r="E15" i="89"/>
  <c r="F15"/>
  <c r="D15"/>
  <c r="E15" i="97"/>
  <c r="F15"/>
  <c r="D15"/>
  <c r="E15" i="91"/>
  <c r="F15"/>
  <c r="D15"/>
  <c r="F28" i="11"/>
  <c r="E28"/>
  <c r="D28"/>
  <c r="F28" i="18"/>
  <c r="E28"/>
  <c r="D28"/>
  <c r="F28" i="20"/>
  <c r="E28"/>
  <c r="D28"/>
  <c r="E28" i="14"/>
  <c r="F28"/>
  <c r="D28"/>
  <c r="E28" i="34"/>
  <c r="D28"/>
  <c r="F28"/>
  <c r="E28" i="26"/>
  <c r="F28"/>
  <c r="D28"/>
  <c r="F28" i="37"/>
  <c r="E28"/>
  <c r="D28"/>
  <c r="E28" i="44"/>
  <c r="F28"/>
  <c r="D28"/>
  <c r="E28" i="48"/>
  <c r="D28"/>
  <c r="F28"/>
  <c r="F28" i="57"/>
  <c r="E28"/>
  <c r="D28"/>
  <c r="F28" i="60"/>
  <c r="E28"/>
  <c r="D28"/>
  <c r="F28" i="62"/>
  <c r="E28"/>
  <c r="D28"/>
  <c r="F28" i="63"/>
  <c r="D28"/>
  <c r="E28"/>
  <c r="F28" i="41"/>
  <c r="D28"/>
  <c r="E28"/>
  <c r="F28" i="53"/>
  <c r="E28"/>
  <c r="D28"/>
  <c r="F28" i="71"/>
  <c r="D28"/>
  <c r="E28"/>
  <c r="D28" i="74"/>
  <c r="E28"/>
  <c r="F28"/>
  <c r="F28" i="67"/>
  <c r="D28"/>
  <c r="E28"/>
  <c r="E28" i="86"/>
  <c r="D28"/>
  <c r="F28"/>
  <c r="F28" i="81"/>
  <c r="E28"/>
  <c r="D28"/>
  <c r="F28" i="92"/>
  <c r="D28"/>
  <c r="E28"/>
  <c r="F28" i="95"/>
  <c r="E28"/>
  <c r="D28"/>
  <c r="F39" i="15"/>
  <c r="D39"/>
  <c r="E39"/>
  <c r="F39" i="31"/>
  <c r="D39"/>
  <c r="E39"/>
  <c r="F39" i="17"/>
  <c r="E39"/>
  <c r="D39"/>
  <c r="F39" i="18"/>
  <c r="D39"/>
  <c r="E39"/>
  <c r="E39" i="22"/>
  <c r="D39"/>
  <c r="F39"/>
  <c r="D39" i="24"/>
  <c r="F39" s="1"/>
  <c r="F39" i="35"/>
  <c r="D39"/>
  <c r="E39"/>
  <c r="F39" i="32"/>
  <c r="D39"/>
  <c r="E39"/>
  <c r="E39" i="48"/>
  <c r="D39"/>
  <c r="F39"/>
  <c r="F39" i="51"/>
  <c r="D39"/>
  <c r="E39"/>
  <c r="F39" i="70"/>
  <c r="D39"/>
  <c r="E39"/>
  <c r="D39" i="81"/>
  <c r="F39" s="1"/>
  <c r="F39" i="89"/>
  <c r="E39"/>
  <c r="D39"/>
  <c r="F39" i="45"/>
  <c r="D39"/>
  <c r="E39"/>
  <c r="F39" i="55"/>
  <c r="D39"/>
  <c r="E39"/>
  <c r="F39" i="58"/>
  <c r="D39"/>
  <c r="E39"/>
  <c r="F39" i="69"/>
  <c r="E39"/>
  <c r="D39"/>
  <c r="F39" i="68"/>
  <c r="D39"/>
  <c r="E39"/>
  <c r="F39" i="85"/>
  <c r="D39"/>
  <c r="E39"/>
  <c r="D39" i="84"/>
  <c r="E39"/>
  <c r="F39"/>
  <c r="F39" i="97"/>
  <c r="E39"/>
  <c r="D39"/>
  <c r="F39" i="93"/>
  <c r="E39"/>
  <c r="D39"/>
  <c r="CM46" i="3"/>
  <c r="BU46"/>
  <c r="BU47" s="1"/>
  <c r="BU53" s="1"/>
  <c r="BU9" i="2" s="1"/>
  <c r="BG46" i="3"/>
  <c r="Y47"/>
  <c r="Y53" s="1"/>
  <c r="Y9" i="2" s="1"/>
  <c r="X47" i="3"/>
  <c r="X53" s="1"/>
  <c r="X9" i="2" s="1"/>
  <c r="D10" i="15"/>
  <c r="F10"/>
  <c r="F10" i="19"/>
  <c r="D10"/>
  <c r="D10" i="13"/>
  <c r="F10"/>
  <c r="F10" i="17"/>
  <c r="D10"/>
  <c r="F10" i="24"/>
  <c r="D10"/>
  <c r="F10" i="37"/>
  <c r="D10"/>
  <c r="D10" i="36"/>
  <c r="F10"/>
  <c r="F10" i="56"/>
  <c r="D10"/>
  <c r="D10" i="49"/>
  <c r="F10"/>
  <c r="F10" i="54"/>
  <c r="D10"/>
  <c r="D10" i="70"/>
  <c r="F10"/>
  <c r="D10" i="63"/>
  <c r="F10"/>
  <c r="D10" i="40"/>
  <c r="F10"/>
  <c r="F10" i="51"/>
  <c r="D10"/>
  <c r="D10" i="61"/>
  <c r="F10"/>
  <c r="F10" i="77"/>
  <c r="D10"/>
  <c r="D10" i="84"/>
  <c r="F10"/>
  <c r="F10" i="69"/>
  <c r="D10"/>
  <c r="F10" i="81"/>
  <c r="D10"/>
  <c r="D10" i="94"/>
  <c r="F10"/>
  <c r="F10" i="93"/>
  <c r="D10"/>
  <c r="F23" i="13"/>
  <c r="E23"/>
  <c r="D23"/>
  <c r="E23" i="22"/>
  <c r="F23"/>
  <c r="D23"/>
  <c r="E23" i="21"/>
  <c r="D23"/>
  <c r="F23"/>
  <c r="E23" i="15"/>
  <c r="F23"/>
  <c r="D23"/>
  <c r="F23" i="32"/>
  <c r="E23"/>
  <c r="D23"/>
  <c r="F23" i="35"/>
  <c r="E23"/>
  <c r="D23"/>
  <c r="F23" i="40"/>
  <c r="D23"/>
  <c r="E23"/>
  <c r="F23" i="46"/>
  <c r="E23"/>
  <c r="D23"/>
  <c r="F23" i="54"/>
  <c r="E23"/>
  <c r="D23"/>
  <c r="F23" i="47"/>
  <c r="D23"/>
  <c r="E23"/>
  <c r="F23" i="62"/>
  <c r="E23"/>
  <c r="D23"/>
  <c r="F23" i="70"/>
  <c r="D23"/>
  <c r="E23"/>
  <c r="F23" i="43"/>
  <c r="D23"/>
  <c r="E23"/>
  <c r="F23" i="59"/>
  <c r="D23"/>
  <c r="E23"/>
  <c r="F23" i="72"/>
  <c r="E23"/>
  <c r="D23"/>
  <c r="F23" i="85"/>
  <c r="D23"/>
  <c r="E23"/>
  <c r="F23" i="79"/>
  <c r="E23"/>
  <c r="D23"/>
  <c r="F23" i="77"/>
  <c r="E23"/>
  <c r="D23"/>
  <c r="F23" i="81"/>
  <c r="E23"/>
  <c r="D23"/>
  <c r="F23" i="92"/>
  <c r="D23"/>
  <c r="E23"/>
  <c r="F23" i="93"/>
  <c r="E23"/>
  <c r="D23"/>
  <c r="F23" i="97"/>
  <c r="D23"/>
  <c r="E23"/>
  <c r="F25" i="16"/>
  <c r="E25"/>
  <c r="D25"/>
  <c r="F25" i="17"/>
  <c r="E25"/>
  <c r="D25"/>
  <c r="F25" i="11"/>
  <c r="D25"/>
  <c r="E25"/>
  <c r="F25" i="31"/>
  <c r="D25"/>
  <c r="E25"/>
  <c r="F25" i="36"/>
  <c r="E25"/>
  <c r="D25"/>
  <c r="F25" i="24"/>
  <c r="E25"/>
  <c r="D25"/>
  <c r="F25" i="35"/>
  <c r="D25"/>
  <c r="E25"/>
  <c r="F25" i="32"/>
  <c r="D25"/>
  <c r="E25"/>
  <c r="E25" i="49"/>
  <c r="D25"/>
  <c r="F25"/>
  <c r="F25" i="50"/>
  <c r="E25"/>
  <c r="D25"/>
  <c r="F25" i="59"/>
  <c r="E25"/>
  <c r="D25"/>
  <c r="F25" i="66"/>
  <c r="E25"/>
  <c r="D25"/>
  <c r="F25" i="65"/>
  <c r="E25"/>
  <c r="D25"/>
  <c r="F25" i="45"/>
  <c r="D25"/>
  <c r="E25"/>
  <c r="F25" i="56"/>
  <c r="D25"/>
  <c r="E25"/>
  <c r="F25" i="58"/>
  <c r="D25"/>
  <c r="E25"/>
  <c r="F25" i="68"/>
  <c r="D25"/>
  <c r="E25"/>
  <c r="F25" i="92"/>
  <c r="E25"/>
  <c r="D25"/>
  <c r="E25" i="86"/>
  <c r="D25"/>
  <c r="F25"/>
  <c r="F25" i="79"/>
  <c r="E25"/>
  <c r="D25"/>
  <c r="F25" i="93"/>
  <c r="E25"/>
  <c r="D25"/>
  <c r="F38" i="13"/>
  <c r="E38"/>
  <c r="C41"/>
  <c r="C42" s="1"/>
  <c r="D38"/>
  <c r="F38" i="19"/>
  <c r="E38"/>
  <c r="C41"/>
  <c r="D38"/>
  <c r="F38" i="11"/>
  <c r="C41"/>
  <c r="C42" s="1"/>
  <c r="C43" s="1"/>
  <c r="E38"/>
  <c r="D38"/>
  <c r="F38" i="18"/>
  <c r="C41"/>
  <c r="C42" s="1"/>
  <c r="E38"/>
  <c r="D38"/>
  <c r="E38" i="22"/>
  <c r="F38"/>
  <c r="C41"/>
  <c r="C42" s="1"/>
  <c r="D38"/>
  <c r="F38" i="36"/>
  <c r="E38"/>
  <c r="D38"/>
  <c r="C41"/>
  <c r="C42" s="1"/>
  <c r="F38" i="33"/>
  <c r="C41"/>
  <c r="C42" s="1"/>
  <c r="C43" s="1"/>
  <c r="D38"/>
  <c r="E38"/>
  <c r="F38" i="60"/>
  <c r="E38"/>
  <c r="C41"/>
  <c r="C42" s="1"/>
  <c r="D38"/>
  <c r="F38" i="62"/>
  <c r="C41"/>
  <c r="C42" s="1"/>
  <c r="C43" s="1"/>
  <c r="E38"/>
  <c r="D38"/>
  <c r="F38" i="59"/>
  <c r="C41"/>
  <c r="D38"/>
  <c r="E38"/>
  <c r="F38" i="64"/>
  <c r="E38"/>
  <c r="D38"/>
  <c r="C41"/>
  <c r="F38" i="43"/>
  <c r="D38"/>
  <c r="E38"/>
  <c r="C41"/>
  <c r="C42" s="1"/>
  <c r="F38" i="61"/>
  <c r="C41"/>
  <c r="C42" s="1"/>
  <c r="C43" s="1"/>
  <c r="D38"/>
  <c r="E38"/>
  <c r="F38" i="39"/>
  <c r="C41"/>
  <c r="C42" s="1"/>
  <c r="E38"/>
  <c r="D38"/>
  <c r="F38" i="54"/>
  <c r="C41"/>
  <c r="C42" s="1"/>
  <c r="E38"/>
  <c r="D38"/>
  <c r="F38" i="68"/>
  <c r="C41"/>
  <c r="C42" s="1"/>
  <c r="D38"/>
  <c r="E38"/>
  <c r="F38" i="69"/>
  <c r="D38"/>
  <c r="E38"/>
  <c r="C41"/>
  <c r="C42" s="1"/>
  <c r="F38" i="77"/>
  <c r="C41"/>
  <c r="C42" s="1"/>
  <c r="C43" s="1"/>
  <c r="E38"/>
  <c r="D38"/>
  <c r="F38" i="92"/>
  <c r="E38"/>
  <c r="C41"/>
  <c r="C42" s="1"/>
  <c r="D38"/>
  <c r="C41" i="84"/>
  <c r="C42" s="1"/>
  <c r="C43" s="1"/>
  <c r="D38"/>
  <c r="F38"/>
  <c r="E38"/>
  <c r="F38" i="95"/>
  <c r="D38"/>
  <c r="C41"/>
  <c r="C42" s="1"/>
  <c r="E38"/>
  <c r="F38" i="96"/>
  <c r="D38"/>
  <c r="C41"/>
  <c r="C42" s="1"/>
  <c r="E38"/>
  <c r="AC47" i="3"/>
  <c r="AC53" s="1"/>
  <c r="AC9" i="2" s="1"/>
  <c r="D9" i="29"/>
  <c r="F9"/>
  <c r="E9"/>
  <c r="E9" i="39"/>
  <c r="D9"/>
  <c r="F9"/>
  <c r="E9" i="72"/>
  <c r="D9"/>
  <c r="F9"/>
  <c r="F9" i="61"/>
  <c r="D9"/>
  <c r="E9"/>
  <c r="F9" i="69"/>
  <c r="E9"/>
  <c r="D9"/>
  <c r="D9" i="87"/>
  <c r="F9"/>
  <c r="E9"/>
  <c r="F9" i="82"/>
  <c r="E9"/>
  <c r="D9"/>
  <c r="E24" i="16"/>
  <c r="D24"/>
  <c r="F24"/>
  <c r="E24" i="21"/>
  <c r="D24"/>
  <c r="F24"/>
  <c r="F24" i="12"/>
  <c r="D24"/>
  <c r="E24"/>
  <c r="F24" i="18"/>
  <c r="E24"/>
  <c r="D24"/>
  <c r="F24" i="29"/>
  <c r="E24"/>
  <c r="D24"/>
  <c r="F24" i="27"/>
  <c r="E24"/>
  <c r="D24"/>
  <c r="F24" i="35"/>
  <c r="D24"/>
  <c r="E24"/>
  <c r="F24" i="60"/>
  <c r="E24"/>
  <c r="D24"/>
  <c r="E24" i="49"/>
  <c r="D24"/>
  <c r="F24"/>
  <c r="F24" i="72"/>
  <c r="E24"/>
  <c r="D24"/>
  <c r="F24" i="41"/>
  <c r="D24"/>
  <c r="E24"/>
  <c r="F24" i="51"/>
  <c r="D24"/>
  <c r="E24"/>
  <c r="F24" i="77"/>
  <c r="E24"/>
  <c r="D24"/>
  <c r="E24" i="44"/>
  <c r="F24"/>
  <c r="D24"/>
  <c r="F24" i="55"/>
  <c r="E24"/>
  <c r="D24"/>
  <c r="F24" i="93"/>
  <c r="D24"/>
  <c r="E24"/>
  <c r="F24" i="71"/>
  <c r="D24"/>
  <c r="E24"/>
  <c r="F24" i="76"/>
  <c r="D24"/>
  <c r="E24"/>
  <c r="F24" i="81"/>
  <c r="D24"/>
  <c r="E24"/>
  <c r="E24" i="88"/>
  <c r="D24"/>
  <c r="F24"/>
  <c r="F24" i="89"/>
  <c r="D24"/>
  <c r="E24"/>
  <c r="F24" i="90"/>
  <c r="D24"/>
  <c r="E24"/>
  <c r="E27" i="15"/>
  <c r="F27"/>
  <c r="D27"/>
  <c r="F27" i="17"/>
  <c r="E27"/>
  <c r="D27"/>
  <c r="E27" i="26"/>
  <c r="D27"/>
  <c r="F27"/>
  <c r="F27" i="20"/>
  <c r="D27"/>
  <c r="E27"/>
  <c r="D27" i="25"/>
  <c r="F27"/>
  <c r="E27"/>
  <c r="F27" i="36"/>
  <c r="E27"/>
  <c r="D27"/>
  <c r="E27" i="30"/>
  <c r="F27"/>
  <c r="D27"/>
  <c r="F27" i="40"/>
  <c r="E27"/>
  <c r="D27"/>
  <c r="F27" i="41"/>
  <c r="E27"/>
  <c r="D27"/>
  <c r="F27" i="57"/>
  <c r="E27"/>
  <c r="D27"/>
  <c r="F27" i="60"/>
  <c r="E27"/>
  <c r="D27"/>
  <c r="F27" i="55"/>
  <c r="E27"/>
  <c r="D27"/>
  <c r="F27" i="68"/>
  <c r="D27"/>
  <c r="E27"/>
  <c r="F27" i="67"/>
  <c r="E27"/>
  <c r="D27"/>
  <c r="F27" i="66"/>
  <c r="E27"/>
  <c r="D27"/>
  <c r="F27" i="63"/>
  <c r="D27"/>
  <c r="E27"/>
  <c r="F27" i="72"/>
  <c r="D27"/>
  <c r="E27"/>
  <c r="F27" i="82"/>
  <c r="E27"/>
  <c r="D27"/>
  <c r="F27" i="78"/>
  <c r="D27"/>
  <c r="E27"/>
  <c r="F27" i="93"/>
  <c r="E27"/>
  <c r="D27"/>
  <c r="F27" i="95"/>
  <c r="E27"/>
  <c r="D27"/>
  <c r="F27" i="94"/>
  <c r="D27"/>
  <c r="E27"/>
  <c r="CC46" i="3"/>
  <c r="CC47" s="1"/>
  <c r="CC53" s="1"/>
  <c r="CC9" i="2" s="1"/>
  <c r="BO46" i="3"/>
  <c r="BO47" s="1"/>
  <c r="BO53" s="1"/>
  <c r="BO9" i="2" s="1"/>
  <c r="AX46" i="3"/>
  <c r="F12" i="11"/>
  <c r="E12"/>
  <c r="D12"/>
  <c r="F12" i="18"/>
  <c r="E12"/>
  <c r="D12"/>
  <c r="F12" i="20"/>
  <c r="E12"/>
  <c r="D12"/>
  <c r="F12" i="16"/>
  <c r="E12"/>
  <c r="D12"/>
  <c r="F12" i="17"/>
  <c r="E12"/>
  <c r="D12"/>
  <c r="D12" i="38"/>
  <c r="F12"/>
  <c r="E12"/>
  <c r="F12" i="37"/>
  <c r="E12"/>
  <c r="D12"/>
  <c r="F12" i="34"/>
  <c r="D12"/>
  <c r="E12"/>
  <c r="F12" i="47"/>
  <c r="D12"/>
  <c r="E12"/>
  <c r="F12" i="45"/>
  <c r="E12"/>
  <c r="D12"/>
  <c r="F12" i="71"/>
  <c r="D12"/>
  <c r="E12"/>
  <c r="F12" i="72"/>
  <c r="E12"/>
  <c r="D12"/>
  <c r="F12" i="63"/>
  <c r="D12"/>
  <c r="E12"/>
  <c r="F12" i="40"/>
  <c r="D12"/>
  <c r="E12"/>
  <c r="F12" i="49"/>
  <c r="E12"/>
  <c r="D12"/>
  <c r="F12" i="61"/>
  <c r="D12"/>
  <c r="E12"/>
  <c r="F12" i="66"/>
  <c r="D12"/>
  <c r="E12"/>
  <c r="F12" i="75"/>
  <c r="E12"/>
  <c r="D12"/>
  <c r="F12" i="80"/>
  <c r="D12"/>
  <c r="E12"/>
  <c r="F12" i="86"/>
  <c r="E12"/>
  <c r="D12"/>
  <c r="F12" i="91"/>
  <c r="D12"/>
  <c r="E12"/>
  <c r="F12" i="95"/>
  <c r="E12"/>
  <c r="D12"/>
  <c r="E22" i="15"/>
  <c r="F22"/>
  <c r="D22"/>
  <c r="F22" i="17"/>
  <c r="E22"/>
  <c r="D22"/>
  <c r="E22" i="22"/>
  <c r="F22"/>
  <c r="D22"/>
  <c r="D22" i="23"/>
  <c r="F22"/>
  <c r="E22"/>
  <c r="D22" i="25"/>
  <c r="F22"/>
  <c r="E22"/>
  <c r="F22" i="36"/>
  <c r="E22"/>
  <c r="D22"/>
  <c r="F22" i="31"/>
  <c r="E22"/>
  <c r="D22"/>
  <c r="F22" i="39"/>
  <c r="D22"/>
  <c r="E22"/>
  <c r="F22" i="50"/>
  <c r="E22"/>
  <c r="D22"/>
  <c r="F22" i="53"/>
  <c r="E22"/>
  <c r="D22"/>
  <c r="F22" i="41"/>
  <c r="E22"/>
  <c r="D22"/>
  <c r="E22" i="49"/>
  <c r="D22"/>
  <c r="F22"/>
  <c r="F22" i="61"/>
  <c r="E22"/>
  <c r="D22"/>
  <c r="F22" i="66"/>
  <c r="E22"/>
  <c r="D22"/>
  <c r="F22" i="62"/>
  <c r="D22"/>
  <c r="E22"/>
  <c r="F22" i="64"/>
  <c r="E22"/>
  <c r="D22"/>
  <c r="F22" i="72"/>
  <c r="D22"/>
  <c r="E22"/>
  <c r="F22" i="70"/>
  <c r="D22"/>
  <c r="E22"/>
  <c r="F22" i="77"/>
  <c r="D22"/>
  <c r="E22"/>
  <c r="F22" i="85"/>
  <c r="D22"/>
  <c r="E22"/>
  <c r="F22" i="97"/>
  <c r="E22"/>
  <c r="D22"/>
  <c r="F22" i="92"/>
  <c r="D22"/>
  <c r="E22"/>
  <c r="BY46" i="3"/>
  <c r="BY47" s="1"/>
  <c r="BY53" s="1"/>
  <c r="BY9" i="2" s="1"/>
  <c r="BH46" i="3"/>
  <c r="BH47" s="1"/>
  <c r="BH53" s="1"/>
  <c r="BH9" i="2" s="1"/>
  <c r="AU46" i="3"/>
  <c r="D9" i="5"/>
  <c r="F9"/>
  <c r="E9"/>
  <c r="E9" i="10"/>
  <c r="E41" s="1"/>
  <c r="E42" s="1"/>
  <c r="E43" s="1"/>
  <c r="D9"/>
  <c r="D41" s="1"/>
  <c r="D42" s="1"/>
  <c r="D43" s="1"/>
  <c r="F9"/>
  <c r="F41" s="1"/>
  <c r="F42" s="1"/>
  <c r="F43" s="1"/>
  <c r="E15" i="11"/>
  <c r="F15"/>
  <c r="D15"/>
  <c r="F15" i="19"/>
  <c r="E15"/>
  <c r="D15"/>
  <c r="E15" i="18"/>
  <c r="F15"/>
  <c r="D15"/>
  <c r="E15" i="20"/>
  <c r="F15"/>
  <c r="D15"/>
  <c r="E15" i="24"/>
  <c r="F15"/>
  <c r="D15"/>
  <c r="E15" i="36"/>
  <c r="F15"/>
  <c r="D15"/>
  <c r="E15" i="31"/>
  <c r="F15"/>
  <c r="D15"/>
  <c r="E15" i="46"/>
  <c r="F15"/>
  <c r="D15"/>
  <c r="E15" i="51"/>
  <c r="F15"/>
  <c r="D15"/>
  <c r="E15" i="54"/>
  <c r="F15"/>
  <c r="D15"/>
  <c r="E15" i="41"/>
  <c r="F15"/>
  <c r="D15"/>
  <c r="F15" i="59"/>
  <c r="D15"/>
  <c r="D15" i="71"/>
  <c r="F15"/>
  <c r="E15"/>
  <c r="E15" i="66"/>
  <c r="F15"/>
  <c r="D15"/>
  <c r="D15" i="76"/>
  <c r="F15"/>
  <c r="E15"/>
  <c r="E15" i="64"/>
  <c r="F15"/>
  <c r="D15"/>
  <c r="E15" i="74"/>
  <c r="F15"/>
  <c r="D15"/>
  <c r="E15" i="88"/>
  <c r="F15"/>
  <c r="D15"/>
  <c r="E15" i="77"/>
  <c r="F15"/>
  <c r="D15"/>
  <c r="E15" i="96"/>
  <c r="F15"/>
  <c r="D15"/>
  <c r="E15" i="95"/>
  <c r="F15"/>
  <c r="D15"/>
  <c r="E15" i="92"/>
  <c r="F15"/>
  <c r="D15"/>
  <c r="F28" i="12"/>
  <c r="E28"/>
  <c r="D28"/>
  <c r="F28" i="19"/>
  <c r="D28"/>
  <c r="E28"/>
  <c r="E28" i="21"/>
  <c r="D28"/>
  <c r="F28"/>
  <c r="E28" i="15"/>
  <c r="F28"/>
  <c r="D28"/>
  <c r="F28" i="17"/>
  <c r="E28"/>
  <c r="D28"/>
  <c r="F28" i="33"/>
  <c r="D28"/>
  <c r="E28"/>
  <c r="D28" i="38"/>
  <c r="F28"/>
  <c r="E28"/>
  <c r="E28" i="52"/>
  <c r="F28"/>
  <c r="D28"/>
  <c r="E28" i="49"/>
  <c r="D28"/>
  <c r="F28"/>
  <c r="F28" i="47"/>
  <c r="D28"/>
  <c r="E28"/>
  <c r="F28" i="79"/>
  <c r="E28"/>
  <c r="D28"/>
  <c r="F28" i="72"/>
  <c r="E28"/>
  <c r="D28"/>
  <c r="F28" i="64"/>
  <c r="D28"/>
  <c r="E28"/>
  <c r="E28" i="42"/>
  <c r="F28"/>
  <c r="D28"/>
  <c r="F28" i="58"/>
  <c r="D28"/>
  <c r="E28"/>
  <c r="F28" i="73"/>
  <c r="D28"/>
  <c r="E28"/>
  <c r="F28" i="78"/>
  <c r="D28"/>
  <c r="E28"/>
  <c r="F28" i="69"/>
  <c r="E28"/>
  <c r="D28"/>
  <c r="F28" i="80"/>
  <c r="D28"/>
  <c r="E28"/>
  <c r="F28" i="82"/>
  <c r="E28"/>
  <c r="D28"/>
  <c r="F28" i="89"/>
  <c r="E28"/>
  <c r="D28"/>
  <c r="F28" i="96"/>
  <c r="E28"/>
  <c r="D28"/>
  <c r="E39" i="14"/>
  <c r="F39"/>
  <c r="D39"/>
  <c r="E39" i="34"/>
  <c r="D39"/>
  <c r="F39"/>
  <c r="E39" i="21"/>
  <c r="D39"/>
  <c r="F39"/>
  <c r="F39" i="19"/>
  <c r="D39"/>
  <c r="E39"/>
  <c r="F39" i="33"/>
  <c r="D39"/>
  <c r="E39"/>
  <c r="D39" i="26"/>
  <c r="F39" s="1"/>
  <c r="F39" i="37"/>
  <c r="D39"/>
  <c r="E39"/>
  <c r="D39" i="41"/>
  <c r="F39" s="1"/>
  <c r="E39" i="49"/>
  <c r="D39"/>
  <c r="F39"/>
  <c r="F39" i="64"/>
  <c r="E39"/>
  <c r="D39"/>
  <c r="F39" i="87"/>
  <c r="E39"/>
  <c r="D39"/>
  <c r="F39" i="71"/>
  <c r="D39"/>
  <c r="E39"/>
  <c r="F39" i="61"/>
  <c r="D39"/>
  <c r="E39"/>
  <c r="D39" i="46"/>
  <c r="F39" s="1"/>
  <c r="F39" i="56"/>
  <c r="D39"/>
  <c r="E39"/>
  <c r="F39" i="59"/>
  <c r="D39"/>
  <c r="E39"/>
  <c r="E39" i="75"/>
  <c r="D39"/>
  <c r="F39"/>
  <c r="D39" i="74"/>
  <c r="E39"/>
  <c r="F39"/>
  <c r="E39" i="86"/>
  <c r="D39"/>
  <c r="F39"/>
  <c r="D39" i="77"/>
  <c r="F39" s="1"/>
  <c r="F39" i="92"/>
  <c r="D39"/>
  <c r="E39"/>
  <c r="F39" i="94"/>
  <c r="E39"/>
  <c r="D39"/>
  <c r="BT46" i="3"/>
  <c r="F9" i="7"/>
  <c r="E9"/>
  <c r="E41" s="1"/>
  <c r="E42" s="1"/>
  <c r="E43" s="1"/>
  <c r="AF47" i="3"/>
  <c r="AF53" s="1"/>
  <c r="AF9" i="2" s="1"/>
  <c r="F10" i="11"/>
  <c r="D10"/>
  <c r="F10" i="18"/>
  <c r="D10"/>
  <c r="F10" i="20"/>
  <c r="D10"/>
  <c r="D10" i="22"/>
  <c r="F10"/>
  <c r="D10" i="27"/>
  <c r="F10"/>
  <c r="D10" i="25"/>
  <c r="F10"/>
  <c r="D10" i="26"/>
  <c r="F10"/>
  <c r="D10" i="38"/>
  <c r="F10"/>
  <c r="F10" i="59"/>
  <c r="D10"/>
  <c r="F10" i="57"/>
  <c r="D10"/>
  <c r="F10" i="58"/>
  <c r="D10"/>
  <c r="F10" i="76"/>
  <c r="D10"/>
  <c r="D10" i="64"/>
  <c r="F10"/>
  <c r="D10" i="41"/>
  <c r="F10"/>
  <c r="D10" i="52"/>
  <c r="F10"/>
  <c r="F10" i="65"/>
  <c r="D10"/>
  <c r="D10" i="73"/>
  <c r="F10"/>
  <c r="F10" i="66"/>
  <c r="D10"/>
  <c r="D10" i="80"/>
  <c r="F10"/>
  <c r="D10" i="82"/>
  <c r="F10"/>
  <c r="F10" i="89"/>
  <c r="D10"/>
  <c r="D10" i="95"/>
  <c r="F10"/>
  <c r="E23" i="16"/>
  <c r="D23"/>
  <c r="F23"/>
  <c r="D23" i="23"/>
  <c r="F23"/>
  <c r="E23"/>
  <c r="D23" i="25"/>
  <c r="F23"/>
  <c r="E23"/>
  <c r="E23" i="34"/>
  <c r="D23"/>
  <c r="F23"/>
  <c r="F23" i="24"/>
  <c r="E23"/>
  <c r="D23"/>
  <c r="F23" i="36"/>
  <c r="E23"/>
  <c r="D23"/>
  <c r="E23" i="28"/>
  <c r="D23"/>
  <c r="F23"/>
  <c r="F23" i="57"/>
  <c r="E23"/>
  <c r="D23"/>
  <c r="E23" i="52"/>
  <c r="F23"/>
  <c r="D23"/>
  <c r="F23" i="50"/>
  <c r="E23"/>
  <c r="D23"/>
  <c r="F23" i="39"/>
  <c r="E23"/>
  <c r="D23"/>
  <c r="F23" i="87"/>
  <c r="E23"/>
  <c r="D23"/>
  <c r="F23" i="51"/>
  <c r="E23"/>
  <c r="D23"/>
  <c r="F23" i="61"/>
  <c r="D23"/>
  <c r="E23"/>
  <c r="F23" i="73"/>
  <c r="D23"/>
  <c r="E23"/>
  <c r="F23" i="68"/>
  <c r="D23"/>
  <c r="E23"/>
  <c r="F23" i="66"/>
  <c r="E23"/>
  <c r="D23"/>
  <c r="E23" i="86"/>
  <c r="D23"/>
  <c r="F23"/>
  <c r="F23" i="82"/>
  <c r="D23"/>
  <c r="E23"/>
  <c r="F23" i="90"/>
  <c r="D23"/>
  <c r="E23"/>
  <c r="D23" i="94"/>
  <c r="F23"/>
  <c r="E23"/>
  <c r="F25" i="13"/>
  <c r="E25"/>
  <c r="D25"/>
  <c r="D25" i="23"/>
  <c r="F25"/>
  <c r="E25"/>
  <c r="E25" i="21"/>
  <c r="D25"/>
  <c r="F25"/>
  <c r="F25" i="12"/>
  <c r="D25"/>
  <c r="E25"/>
  <c r="F25" i="20"/>
  <c r="E25"/>
  <c r="D25"/>
  <c r="F25" i="39"/>
  <c r="E25"/>
  <c r="D25"/>
  <c r="E25" i="26"/>
  <c r="F25"/>
  <c r="D25"/>
  <c r="F25" i="37"/>
  <c r="D25"/>
  <c r="E25"/>
  <c r="E25" i="42"/>
  <c r="F25"/>
  <c r="D25"/>
  <c r="F25" i="51"/>
  <c r="E25"/>
  <c r="D25"/>
  <c r="F25" i="53"/>
  <c r="E25"/>
  <c r="D25"/>
  <c r="F25" i="63"/>
  <c r="E25"/>
  <c r="D25"/>
  <c r="F25" i="67"/>
  <c r="E25"/>
  <c r="D25"/>
  <c r="F25" i="69"/>
  <c r="E25"/>
  <c r="D25"/>
  <c r="F25" i="46"/>
  <c r="D25"/>
  <c r="E25"/>
  <c r="F25" i="57"/>
  <c r="D25"/>
  <c r="E25"/>
  <c r="F25" i="62"/>
  <c r="E25"/>
  <c r="D25"/>
  <c r="D25" i="74"/>
  <c r="E25"/>
  <c r="F25"/>
  <c r="F25" i="72"/>
  <c r="E25"/>
  <c r="D25"/>
  <c r="E25" i="88"/>
  <c r="F25"/>
  <c r="D25"/>
  <c r="F25" i="83"/>
  <c r="E25"/>
  <c r="D25"/>
  <c r="F25" i="91"/>
  <c r="E25"/>
  <c r="D25"/>
  <c r="F38" i="16"/>
  <c r="E38"/>
  <c r="C41"/>
  <c r="C42" s="1"/>
  <c r="C43" s="1"/>
  <c r="D38"/>
  <c r="E38" i="21"/>
  <c r="C41"/>
  <c r="C42" s="1"/>
  <c r="D38"/>
  <c r="F38"/>
  <c r="F38" i="12"/>
  <c r="C41"/>
  <c r="C42" s="1"/>
  <c r="C43" s="1"/>
  <c r="E38"/>
  <c r="D38"/>
  <c r="F38" i="24"/>
  <c r="C41"/>
  <c r="C42" s="1"/>
  <c r="C43" s="1"/>
  <c r="D38"/>
  <c r="E38"/>
  <c r="F38" i="29"/>
  <c r="E38"/>
  <c r="C41"/>
  <c r="C42" s="1"/>
  <c r="C43" s="1"/>
  <c r="D38"/>
  <c r="F38" i="27"/>
  <c r="E38"/>
  <c r="C41"/>
  <c r="C42" s="1"/>
  <c r="D38"/>
  <c r="F38" i="35"/>
  <c r="C41"/>
  <c r="C42" s="1"/>
  <c r="C43" s="1"/>
  <c r="D38"/>
  <c r="E38"/>
  <c r="F38" i="50"/>
  <c r="E38"/>
  <c r="C41"/>
  <c r="C42" s="1"/>
  <c r="D38"/>
  <c r="E38" i="48"/>
  <c r="C41"/>
  <c r="C42" s="1"/>
  <c r="D38"/>
  <c r="F38"/>
  <c r="E38" i="75"/>
  <c r="C41"/>
  <c r="D38"/>
  <c r="F38"/>
  <c r="F38" i="40"/>
  <c r="D38"/>
  <c r="E38"/>
  <c r="C41"/>
  <c r="C42" s="1"/>
  <c r="C43" s="1"/>
  <c r="F38" i="47"/>
  <c r="C41"/>
  <c r="C42" s="1"/>
  <c r="D38"/>
  <c r="E38"/>
  <c r="F38" i="65"/>
  <c r="D38"/>
  <c r="C41"/>
  <c r="C42" s="1"/>
  <c r="E38"/>
  <c r="E38" i="44"/>
  <c r="C41"/>
  <c r="C42" s="1"/>
  <c r="F38"/>
  <c r="D38"/>
  <c r="F38" i="55"/>
  <c r="C41"/>
  <c r="C42" s="1"/>
  <c r="E38"/>
  <c r="D38"/>
  <c r="F38" i="76"/>
  <c r="C41"/>
  <c r="C42" s="1"/>
  <c r="D38"/>
  <c r="E38"/>
  <c r="F38" i="70"/>
  <c r="C41"/>
  <c r="C42" s="1"/>
  <c r="D38"/>
  <c r="E38"/>
  <c r="F38" i="73"/>
  <c r="C41"/>
  <c r="D38"/>
  <c r="E38"/>
  <c r="F38" i="78"/>
  <c r="C41"/>
  <c r="C42" s="1"/>
  <c r="D38"/>
  <c r="E38"/>
  <c r="F38" i="85"/>
  <c r="C41"/>
  <c r="C42" s="1"/>
  <c r="D38"/>
  <c r="E38"/>
  <c r="F38" i="89"/>
  <c r="D38"/>
  <c r="C41"/>
  <c r="C42" s="1"/>
  <c r="C43" s="1"/>
  <c r="E38"/>
  <c r="F38" i="90"/>
  <c r="C41"/>
  <c r="C42" s="1"/>
  <c r="D38"/>
  <c r="E38"/>
  <c r="M46" i="3"/>
  <c r="M47" s="1"/>
  <c r="M53" s="1"/>
  <c r="M9" i="2" s="1"/>
  <c r="D9" i="25"/>
  <c r="E9"/>
  <c r="F9"/>
  <c r="E9" i="47"/>
  <c r="D9"/>
  <c r="F9"/>
  <c r="F9" i="27"/>
  <c r="D9"/>
  <c r="E9"/>
  <c r="F9" i="90"/>
  <c r="E9"/>
  <c r="D9"/>
  <c r="E24" i="22"/>
  <c r="F24"/>
  <c r="D24"/>
  <c r="D24" i="74"/>
  <c r="F24"/>
  <c r="E24"/>
  <c r="D27" i="38"/>
  <c r="F27"/>
  <c r="E27"/>
  <c r="E27" i="44"/>
  <c r="F27"/>
  <c r="D27"/>
  <c r="F27" i="47"/>
  <c r="D27"/>
  <c r="E27"/>
  <c r="F27" i="64"/>
  <c r="E27"/>
  <c r="D27"/>
  <c r="D27" i="74"/>
  <c r="F27"/>
  <c r="E27"/>
  <c r="F27" i="87"/>
  <c r="E27"/>
  <c r="D27"/>
  <c r="F27" i="79"/>
  <c r="D27"/>
  <c r="E27"/>
  <c r="F27" i="80"/>
  <c r="D27"/>
  <c r="E27"/>
  <c r="AW46" i="3"/>
  <c r="F12" i="12"/>
  <c r="E12"/>
  <c r="D12"/>
  <c r="E12" i="19"/>
  <c r="F12"/>
  <c r="D12"/>
  <c r="F12" i="27"/>
  <c r="D12"/>
  <c r="E12"/>
  <c r="E12" i="22"/>
  <c r="D12"/>
  <c r="F12"/>
  <c r="F12" i="21"/>
  <c r="E12"/>
  <c r="D12"/>
  <c r="F12" i="24"/>
  <c r="E12"/>
  <c r="D12"/>
  <c r="F12" i="39"/>
  <c r="E12"/>
  <c r="D12"/>
  <c r="F12" i="46"/>
  <c r="E12"/>
  <c r="D12"/>
  <c r="F12" i="54"/>
  <c r="E12"/>
  <c r="D12"/>
  <c r="F12" i="56"/>
  <c r="E12"/>
  <c r="D12"/>
  <c r="F12" i="77"/>
  <c r="E12"/>
  <c r="D12"/>
  <c r="E12" i="44"/>
  <c r="D12"/>
  <c r="F12"/>
  <c r="F12" i="64"/>
  <c r="D12"/>
  <c r="E12"/>
  <c r="F12" i="41"/>
  <c r="D12"/>
  <c r="E12"/>
  <c r="F12" i="51"/>
  <c r="E12"/>
  <c r="D12"/>
  <c r="F12" i="65"/>
  <c r="E12"/>
  <c r="D12"/>
  <c r="F12" i="67"/>
  <c r="D12"/>
  <c r="E12"/>
  <c r="E12" i="83"/>
  <c r="D12"/>
  <c r="F12"/>
  <c r="D12" i="87"/>
  <c r="E12"/>
  <c r="F12"/>
  <c r="F12" i="92"/>
  <c r="D12"/>
  <c r="E12"/>
  <c r="F12" i="89"/>
  <c r="E12"/>
  <c r="D12"/>
  <c r="F12" i="96"/>
  <c r="E12"/>
  <c r="D12"/>
  <c r="F22" i="11"/>
  <c r="E22"/>
  <c r="D22"/>
  <c r="D22" i="38"/>
  <c r="F22"/>
  <c r="E22"/>
  <c r="E22" i="34"/>
  <c r="D22"/>
  <c r="F22"/>
  <c r="F22" i="24"/>
  <c r="D22"/>
  <c r="E22"/>
  <c r="E22" i="26"/>
  <c r="D22"/>
  <c r="F22"/>
  <c r="E22" i="28"/>
  <c r="F22"/>
  <c r="D22"/>
  <c r="F22" i="32"/>
  <c r="D22"/>
  <c r="E22"/>
  <c r="F22" i="51"/>
  <c r="E22"/>
  <c r="D22"/>
  <c r="F22" i="55"/>
  <c r="E22"/>
  <c r="D22"/>
  <c r="F22" i="56"/>
  <c r="E22"/>
  <c r="D22"/>
  <c r="F22" i="43"/>
  <c r="E22"/>
  <c r="D22"/>
  <c r="F22" i="57"/>
  <c r="E22"/>
  <c r="D22"/>
  <c r="F22" i="90"/>
  <c r="D22"/>
  <c r="E22"/>
  <c r="F22" i="82"/>
  <c r="E22"/>
  <c r="D22"/>
  <c r="F22" i="76"/>
  <c r="D22"/>
  <c r="E22"/>
  <c r="F22" i="67"/>
  <c r="E22"/>
  <c r="D22"/>
  <c r="D22" i="74"/>
  <c r="F22"/>
  <c r="E22"/>
  <c r="F22" i="73"/>
  <c r="D22"/>
  <c r="E22"/>
  <c r="F22" i="78"/>
  <c r="D22"/>
  <c r="E22"/>
  <c r="F22" i="89"/>
  <c r="E22"/>
  <c r="D22"/>
  <c r="F22" i="95"/>
  <c r="D22"/>
  <c r="E22"/>
  <c r="F22" i="94"/>
  <c r="E22"/>
  <c r="D22"/>
  <c r="CO46" i="3"/>
  <c r="BK46"/>
  <c r="AT46"/>
  <c r="AN47"/>
  <c r="AN53" s="1"/>
  <c r="AN9" i="2" s="1"/>
  <c r="E15" i="12"/>
  <c r="F15"/>
  <c r="D15"/>
  <c r="E15" i="25"/>
  <c r="F15"/>
  <c r="D15"/>
  <c r="E15" i="21"/>
  <c r="F15"/>
  <c r="D15"/>
  <c r="E15" i="34"/>
  <c r="F15"/>
  <c r="D15"/>
  <c r="F15" i="26"/>
  <c r="D15"/>
  <c r="E15"/>
  <c r="E15" i="28"/>
  <c r="F15"/>
  <c r="D15"/>
  <c r="E15" i="32"/>
  <c r="F15"/>
  <c r="D15"/>
  <c r="D15" i="47"/>
  <c r="F15"/>
  <c r="E15"/>
  <c r="E15" i="57"/>
  <c r="F15"/>
  <c r="D15"/>
  <c r="D15" i="58"/>
  <c r="F15"/>
  <c r="E15"/>
  <c r="E15" i="43"/>
  <c r="F15"/>
  <c r="D15"/>
  <c r="E15" i="60"/>
  <c r="F15"/>
  <c r="D15"/>
  <c r="E15" i="82"/>
  <c r="F15"/>
  <c r="D15"/>
  <c r="D15" i="42"/>
  <c r="F15"/>
  <c r="E15"/>
  <c r="E15" i="40"/>
  <c r="F15"/>
  <c r="D15"/>
  <c r="E15" i="67"/>
  <c r="F15"/>
  <c r="D15"/>
  <c r="E15" i="81"/>
  <c r="F15"/>
  <c r="D15"/>
  <c r="D15" i="68"/>
  <c r="F15"/>
  <c r="E15"/>
  <c r="E15" i="79"/>
  <c r="F15"/>
  <c r="D15"/>
  <c r="E15" i="80"/>
  <c r="F15"/>
  <c r="D15"/>
  <c r="D15" i="90"/>
  <c r="F15"/>
  <c r="E15"/>
  <c r="E15" i="94"/>
  <c r="F15"/>
  <c r="D15"/>
  <c r="F28" i="13"/>
  <c r="E28"/>
  <c r="D28"/>
  <c r="E28" i="22"/>
  <c r="D28"/>
  <c r="F28"/>
  <c r="D28" i="25"/>
  <c r="F28"/>
  <c r="E28"/>
  <c r="F28" i="29"/>
  <c r="D28"/>
  <c r="E28"/>
  <c r="F28" i="27"/>
  <c r="D28"/>
  <c r="E28"/>
  <c r="F28" i="35"/>
  <c r="E28"/>
  <c r="D28"/>
  <c r="E28" i="28"/>
  <c r="D28"/>
  <c r="F28"/>
  <c r="F28" i="55"/>
  <c r="E28"/>
  <c r="D28"/>
  <c r="F28" i="56"/>
  <c r="E28"/>
  <c r="D28"/>
  <c r="F28" i="50"/>
  <c r="E28"/>
  <c r="D28"/>
  <c r="F28" i="77"/>
  <c r="E28"/>
  <c r="D28"/>
  <c r="F28" i="39"/>
  <c r="E28"/>
  <c r="D28"/>
  <c r="F28" i="87"/>
  <c r="E28"/>
  <c r="D28"/>
  <c r="F28" i="43"/>
  <c r="D28"/>
  <c r="E28"/>
  <c r="F28" i="61"/>
  <c r="D28"/>
  <c r="E28"/>
  <c r="E28" i="75"/>
  <c r="D28"/>
  <c r="F28"/>
  <c r="F28" i="90"/>
  <c r="D28"/>
  <c r="E28"/>
  <c r="E28" i="70"/>
  <c r="D28"/>
  <c r="F28"/>
  <c r="D28" i="84"/>
  <c r="E28"/>
  <c r="F28"/>
  <c r="F28" i="83"/>
  <c r="D28"/>
  <c r="E28"/>
  <c r="F28" i="93"/>
  <c r="D28"/>
  <c r="E28"/>
  <c r="F28" i="97"/>
  <c r="E28"/>
  <c r="D28"/>
  <c r="F39" i="16"/>
  <c r="E39"/>
  <c r="D39"/>
  <c r="F39" i="11"/>
  <c r="D39"/>
  <c r="E39"/>
  <c r="D39" i="25"/>
  <c r="F39" s="1"/>
  <c r="D39" i="27"/>
  <c r="F39" s="1"/>
  <c r="F39" i="36"/>
  <c r="E39"/>
  <c r="D39"/>
  <c r="D39" i="28"/>
  <c r="F39" s="1"/>
  <c r="D39" i="38"/>
  <c r="E39"/>
  <c r="F39"/>
  <c r="D39" i="43"/>
  <c r="F39" s="1"/>
  <c r="F39" i="53"/>
  <c r="E39"/>
  <c r="D39"/>
  <c r="D39" i="42"/>
  <c r="F39" s="1"/>
  <c r="F39" i="65"/>
  <c r="E39"/>
  <c r="D39"/>
  <c r="D39" i="80"/>
  <c r="F39" s="1"/>
  <c r="F39" i="63"/>
  <c r="E39"/>
  <c r="D39"/>
  <c r="F39" i="52"/>
  <c r="D39"/>
  <c r="E39"/>
  <c r="F39" i="57"/>
  <c r="D39"/>
  <c r="E39"/>
  <c r="F39" i="62"/>
  <c r="E39"/>
  <c r="D39"/>
  <c r="D39" i="78"/>
  <c r="F39" s="1"/>
  <c r="F39" i="76"/>
  <c r="D39"/>
  <c r="E39"/>
  <c r="F39" i="91"/>
  <c r="E39"/>
  <c r="D39"/>
  <c r="D39" i="79"/>
  <c r="F39" s="1"/>
  <c r="F39" i="95"/>
  <c r="E39"/>
  <c r="D39"/>
  <c r="CK46" i="3"/>
  <c r="BW46"/>
  <c r="BE46"/>
  <c r="AQ46"/>
  <c r="AA46"/>
  <c r="F9" i="9"/>
  <c r="F41" s="1"/>
  <c r="F42" s="1"/>
  <c r="F43" s="1"/>
  <c r="E9"/>
  <c r="D9"/>
  <c r="D41" s="1"/>
  <c r="D42" s="1"/>
  <c r="D43" s="1"/>
  <c r="P47" i="3"/>
  <c r="P53" s="1"/>
  <c r="P9" i="2" s="1"/>
  <c r="C41" i="9"/>
  <c r="C42" s="1"/>
  <c r="C43" s="1"/>
  <c r="F10" i="12"/>
  <c r="D10"/>
  <c r="D10" i="21"/>
  <c r="F10"/>
  <c r="D10" i="31"/>
  <c r="F10"/>
  <c r="D10" i="29"/>
  <c r="F10"/>
  <c r="D10" i="30"/>
  <c r="F10"/>
  <c r="D10" i="34"/>
  <c r="F10"/>
  <c r="D10" i="28"/>
  <c r="F10"/>
  <c r="F10" i="55"/>
  <c r="D10"/>
  <c r="F10" i="46"/>
  <c r="D10"/>
  <c r="D10" i="42"/>
  <c r="F10"/>
  <c r="D10" i="75"/>
  <c r="F10"/>
  <c r="D10" i="86"/>
  <c r="F10"/>
  <c r="D10" i="74"/>
  <c r="F10"/>
  <c r="D10" i="43"/>
  <c r="F10"/>
  <c r="F10" i="53"/>
  <c r="D10"/>
  <c r="F10" i="71"/>
  <c r="D10"/>
  <c r="F10" i="78"/>
  <c r="D10"/>
  <c r="F10" i="67"/>
  <c r="D10"/>
  <c r="D10" i="83"/>
  <c r="F10"/>
  <c r="D10" i="87"/>
  <c r="F10"/>
  <c r="D10" i="90"/>
  <c r="F10"/>
  <c r="F10" i="96"/>
  <c r="D10"/>
  <c r="F23" i="11"/>
  <c r="E23"/>
  <c r="D23"/>
  <c r="F23" i="18"/>
  <c r="E23"/>
  <c r="D23"/>
  <c r="F23" i="29"/>
  <c r="D23"/>
  <c r="E23"/>
  <c r="F23" i="27"/>
  <c r="D23"/>
  <c r="E23"/>
  <c r="F23" i="17"/>
  <c r="E23"/>
  <c r="D23"/>
  <c r="E23" i="26"/>
  <c r="F23"/>
  <c r="D23"/>
  <c r="F23" i="37"/>
  <c r="E23"/>
  <c r="D23"/>
  <c r="E23" i="30"/>
  <c r="F23"/>
  <c r="D23"/>
  <c r="E23" i="48"/>
  <c r="D23"/>
  <c r="F23"/>
  <c r="F23" i="55"/>
  <c r="E23"/>
  <c r="D23"/>
  <c r="F23" i="56"/>
  <c r="E23"/>
  <c r="D23"/>
  <c r="F23" i="63"/>
  <c r="D23"/>
  <c r="E23"/>
  <c r="F23" i="41"/>
  <c r="D23"/>
  <c r="E23"/>
  <c r="F23" i="53"/>
  <c r="E23"/>
  <c r="D23"/>
  <c r="F23" i="65"/>
  <c r="E23"/>
  <c r="D23"/>
  <c r="E23" i="75"/>
  <c r="D23"/>
  <c r="F23"/>
  <c r="D23" i="74"/>
  <c r="E23"/>
  <c r="F23"/>
  <c r="F23" i="67"/>
  <c r="E23"/>
  <c r="D23"/>
  <c r="F23" i="80"/>
  <c r="D23"/>
  <c r="E23"/>
  <c r="F23" i="83"/>
  <c r="D23"/>
  <c r="E23"/>
  <c r="F23" i="89"/>
  <c r="D23"/>
  <c r="E23"/>
  <c r="F23" i="95"/>
  <c r="E23"/>
  <c r="D23"/>
  <c r="E25" i="14"/>
  <c r="F25"/>
  <c r="D25"/>
  <c r="F25" i="27"/>
  <c r="D25"/>
  <c r="E25"/>
  <c r="E25" i="22"/>
  <c r="D25"/>
  <c r="F25"/>
  <c r="F25" i="18"/>
  <c r="D25"/>
  <c r="E25"/>
  <c r="F25" i="29"/>
  <c r="D25"/>
  <c r="E25"/>
  <c r="F25" i="41"/>
  <c r="E25"/>
  <c r="D25"/>
  <c r="E25" i="28"/>
  <c r="D25"/>
  <c r="F25"/>
  <c r="D25" i="38"/>
  <c r="E25"/>
  <c r="F25"/>
  <c r="F25" i="47"/>
  <c r="D25"/>
  <c r="E25"/>
  <c r="F25" i="60"/>
  <c r="E25"/>
  <c r="D25"/>
  <c r="F25" i="64"/>
  <c r="E25"/>
  <c r="D25"/>
  <c r="E25" i="70"/>
  <c r="F25"/>
  <c r="D25"/>
  <c r="F25" i="76"/>
  <c r="D25"/>
  <c r="E25"/>
  <c r="F25" i="73"/>
  <c r="D25"/>
  <c r="E25"/>
  <c r="F25" i="54"/>
  <c r="D25"/>
  <c r="E25"/>
  <c r="F25" i="95"/>
  <c r="E25"/>
  <c r="D25"/>
  <c r="E25" i="75"/>
  <c r="D25"/>
  <c r="F25"/>
  <c r="F25" i="80"/>
  <c r="E25"/>
  <c r="D25"/>
  <c r="F25" i="81"/>
  <c r="E25"/>
  <c r="D25"/>
  <c r="D25" i="84"/>
  <c r="E25"/>
  <c r="F25"/>
  <c r="F25" i="89"/>
  <c r="E25"/>
  <c r="D25"/>
  <c r="F25" i="97"/>
  <c r="E25"/>
  <c r="D25"/>
  <c r="F38" i="20"/>
  <c r="C41"/>
  <c r="C42" s="1"/>
  <c r="C43" s="1"/>
  <c r="E38"/>
  <c r="D38"/>
  <c r="E38" i="14"/>
  <c r="D38"/>
  <c r="C41"/>
  <c r="C42" s="1"/>
  <c r="C43" s="1"/>
  <c r="F38"/>
  <c r="F38" i="17"/>
  <c r="D38"/>
  <c r="C41"/>
  <c r="C42" s="1"/>
  <c r="C43" s="1"/>
  <c r="E38"/>
  <c r="C41" i="25"/>
  <c r="C42" s="1"/>
  <c r="C43" s="1"/>
  <c r="D38"/>
  <c r="F38"/>
  <c r="E38"/>
  <c r="F38" i="31"/>
  <c r="C41"/>
  <c r="C42" s="1"/>
  <c r="C43" s="1"/>
  <c r="E38"/>
  <c r="D38"/>
  <c r="E38" i="28"/>
  <c r="C41"/>
  <c r="C42" s="1"/>
  <c r="F38"/>
  <c r="D38"/>
  <c r="F38" i="37"/>
  <c r="C41"/>
  <c r="C42" s="1"/>
  <c r="D38"/>
  <c r="E38"/>
  <c r="F38" i="52"/>
  <c r="D38"/>
  <c r="C41"/>
  <c r="C42" s="1"/>
  <c r="E38"/>
  <c r="E38" i="49"/>
  <c r="C41"/>
  <c r="D38"/>
  <c r="F38"/>
  <c r="F38" i="93"/>
  <c r="D38"/>
  <c r="C41"/>
  <c r="C42" s="1"/>
  <c r="E38"/>
  <c r="F38" i="41"/>
  <c r="D38"/>
  <c r="E38"/>
  <c r="C41"/>
  <c r="C42" s="1"/>
  <c r="C43" s="1"/>
  <c r="F38" i="51"/>
  <c r="C41"/>
  <c r="C42" s="1"/>
  <c r="D38"/>
  <c r="E38"/>
  <c r="F38" i="72"/>
  <c r="C41"/>
  <c r="C42" s="1"/>
  <c r="E38"/>
  <c r="D38"/>
  <c r="F38" i="45"/>
  <c r="C41"/>
  <c r="C42" s="1"/>
  <c r="C43" s="1"/>
  <c r="D38"/>
  <c r="E38"/>
  <c r="F38" i="56"/>
  <c r="C41"/>
  <c r="C42" s="1"/>
  <c r="C43" s="1"/>
  <c r="D38"/>
  <c r="E38"/>
  <c r="F38" i="66"/>
  <c r="D38"/>
  <c r="E38"/>
  <c r="C41"/>
  <c r="C42" s="1"/>
  <c r="F38" i="71"/>
  <c r="C41"/>
  <c r="C42" s="1"/>
  <c r="D38"/>
  <c r="E38"/>
  <c r="F38" i="80"/>
  <c r="E38"/>
  <c r="D38"/>
  <c r="C41"/>
  <c r="F38" i="81"/>
  <c r="D38"/>
  <c r="C41"/>
  <c r="C42" s="1"/>
  <c r="E38"/>
  <c r="E38" i="88"/>
  <c r="D38"/>
  <c r="C41"/>
  <c r="C42" s="1"/>
  <c r="F38"/>
  <c r="F38" i="91"/>
  <c r="E38"/>
  <c r="D38"/>
  <c r="C41"/>
  <c r="C42" s="1"/>
  <c r="E38" i="94"/>
  <c r="D38"/>
  <c r="C41"/>
  <c r="C42" s="1"/>
  <c r="F38"/>
  <c r="C43" i="5"/>
  <c r="BB47" i="3"/>
  <c r="BB53" s="1"/>
  <c r="BB9" i="2" s="1"/>
  <c r="F47" i="3"/>
  <c r="F53" s="1"/>
  <c r="F9" i="2" s="1"/>
  <c r="BR47" i="3"/>
  <c r="BR53" s="1"/>
  <c r="BR9" i="2" s="1"/>
  <c r="V47" i="3"/>
  <c r="V53" s="1"/>
  <c r="V9" i="2" s="1"/>
  <c r="CH47" i="3"/>
  <c r="CH53" s="1"/>
  <c r="CH9" i="2" s="1"/>
  <c r="AL47" i="3"/>
  <c r="AL53" s="1"/>
  <c r="AL9" i="2" s="1"/>
  <c r="C42" i="7"/>
  <c r="C43" s="1"/>
  <c r="C42" i="4"/>
  <c r="C43" s="1"/>
  <c r="E41"/>
  <c r="E42" s="1"/>
  <c r="F10" i="7"/>
  <c r="D10"/>
  <c r="D41" s="1"/>
  <c r="F41" i="4"/>
  <c r="F42" s="1"/>
  <c r="D43"/>
  <c r="E53" i="3" l="1"/>
  <c r="E9" i="2" s="1"/>
  <c r="BN58" i="3"/>
  <c r="BN11" i="2" s="1"/>
  <c r="BC54" i="3"/>
  <c r="BC10" i="2" s="1"/>
  <c r="BY54" i="3"/>
  <c r="BY10" i="2" s="1"/>
  <c r="CD49" i="3"/>
  <c r="CD8" i="2" s="1"/>
  <c r="CI54" i="3"/>
  <c r="CI10" i="2" s="1"/>
  <c r="CL58" i="3"/>
  <c r="CL11" i="2" s="1"/>
  <c r="CJ49" i="3"/>
  <c r="CJ8" i="2" s="1"/>
  <c r="CQ54" i="3"/>
  <c r="CQ10" i="2" s="1"/>
  <c r="AX58" i="3"/>
  <c r="AX11" i="2" s="1"/>
  <c r="BD49" i="3"/>
  <c r="BD8" i="2" s="1"/>
  <c r="AQ54" i="3"/>
  <c r="AQ10" i="2" s="1"/>
  <c r="AM54" i="3"/>
  <c r="AM10" i="2" s="1"/>
  <c r="E49" i="3"/>
  <c r="E8" i="2" s="1"/>
  <c r="AI54" i="3"/>
  <c r="AI10" i="2" s="1"/>
  <c r="AH49" i="3"/>
  <c r="AH8" i="2" s="1"/>
  <c r="AF54" i="3"/>
  <c r="AF10" i="2" s="1"/>
  <c r="O54" i="3"/>
  <c r="O10" i="2" s="1"/>
  <c r="O58" i="3"/>
  <c r="O11" i="2" s="1"/>
  <c r="K58" i="3"/>
  <c r="K11" i="2" s="1"/>
  <c r="J58" i="3"/>
  <c r="J11" i="2" s="1"/>
  <c r="K54" i="3"/>
  <c r="K10" i="2" s="1"/>
  <c r="K49" i="3"/>
  <c r="K8" i="2" s="1"/>
  <c r="M49" i="3"/>
  <c r="M8" i="2" s="1"/>
  <c r="N58" i="3"/>
  <c r="N11" i="2" s="1"/>
  <c r="O49" i="3"/>
  <c r="O8" i="2" s="1"/>
  <c r="P58" i="3"/>
  <c r="P11" i="2" s="1"/>
  <c r="Q49" i="3"/>
  <c r="Q8" i="2" s="1"/>
  <c r="S54" i="3"/>
  <c r="S10" i="2" s="1"/>
  <c r="S49" i="3"/>
  <c r="S8" i="2" s="1"/>
  <c r="T58" i="3"/>
  <c r="T11" i="2" s="1"/>
  <c r="U49" i="3"/>
  <c r="U8" i="2" s="1"/>
  <c r="W49" i="3"/>
  <c r="W8" i="2" s="1"/>
  <c r="Y49" i="3"/>
  <c r="Y8" i="2" s="1"/>
  <c r="AC49" i="3"/>
  <c r="AC8" i="2" s="1"/>
  <c r="AD58" i="3"/>
  <c r="AD11" i="2" s="1"/>
  <c r="AE54" i="3"/>
  <c r="AE10" i="2" s="1"/>
  <c r="AE49" i="3"/>
  <c r="AE8" i="2" s="1"/>
  <c r="AG49" i="3"/>
  <c r="AG8" i="2" s="1"/>
  <c r="AH58" i="3"/>
  <c r="AH11" i="2" s="1"/>
  <c r="AJ58" i="3"/>
  <c r="AJ11" i="2" s="1"/>
  <c r="AK49" i="3"/>
  <c r="AK8" i="2" s="1"/>
  <c r="AL58" i="3"/>
  <c r="AL11" i="2" s="1"/>
  <c r="AM49" i="3"/>
  <c r="AM8" i="2" s="1"/>
  <c r="AO49" i="3"/>
  <c r="AO8" i="2" s="1"/>
  <c r="AS49" i="3"/>
  <c r="AS8" i="2" s="1"/>
  <c r="AT58" i="3"/>
  <c r="AT11" i="2" s="1"/>
  <c r="AU54" i="3"/>
  <c r="AU10" i="2" s="1"/>
  <c r="AU49" i="3"/>
  <c r="AU8" i="2" s="1"/>
  <c r="AW54" i="3"/>
  <c r="AW10" i="2" s="1"/>
  <c r="AW49" i="3"/>
  <c r="AW8" i="2" s="1"/>
  <c r="AY54" i="3"/>
  <c r="AY10" i="2" s="1"/>
  <c r="AZ58" i="3"/>
  <c r="AZ11" i="2" s="1"/>
  <c r="BA54" i="3"/>
  <c r="BA10" i="2" s="1"/>
  <c r="BA49" i="3"/>
  <c r="BA8" i="2" s="1"/>
  <c r="BB58" i="3"/>
  <c r="BB11" i="2" s="1"/>
  <c r="BC49" i="3"/>
  <c r="BC8" i="2" s="1"/>
  <c r="BD58" i="3"/>
  <c r="BD11" i="2" s="1"/>
  <c r="BE54" i="3"/>
  <c r="BE10" i="2" s="1"/>
  <c r="BE49" i="3"/>
  <c r="BE8" i="2" s="1"/>
  <c r="BF58" i="3"/>
  <c r="BF11" i="2" s="1"/>
  <c r="BG54" i="3"/>
  <c r="BG10" i="2" s="1"/>
  <c r="BH58" i="3"/>
  <c r="BH11" i="2" s="1"/>
  <c r="BI54" i="3"/>
  <c r="BI10" i="2" s="1"/>
  <c r="BI49" i="3"/>
  <c r="BI8" i="2" s="1"/>
  <c r="BJ58" i="3"/>
  <c r="BJ11" i="2" s="1"/>
  <c r="BK54" i="3"/>
  <c r="BK10" i="2" s="1"/>
  <c r="BK49" i="3"/>
  <c r="BK8" i="2" s="1"/>
  <c r="BL58" i="3"/>
  <c r="BL11" i="2" s="1"/>
  <c r="BM54" i="3"/>
  <c r="BM49"/>
  <c r="BM8" i="2" s="1"/>
  <c r="BO54" i="3"/>
  <c r="BO10" i="2" s="1"/>
  <c r="BP58" i="3"/>
  <c r="BP11" i="2" s="1"/>
  <c r="BQ54" i="3"/>
  <c r="BQ10" i="2" s="1"/>
  <c r="BQ49" i="3"/>
  <c r="BQ8" i="2" s="1"/>
  <c r="BR58" i="3"/>
  <c r="BR11" i="2" s="1"/>
  <c r="BS54" i="3"/>
  <c r="BS10" i="2" s="1"/>
  <c r="BS49" i="3"/>
  <c r="BS8" i="2" s="1"/>
  <c r="BT58" i="3"/>
  <c r="BT11" i="2" s="1"/>
  <c r="BU54" i="3"/>
  <c r="BU10" i="2" s="1"/>
  <c r="BU49" i="3"/>
  <c r="BU8" i="2" s="1"/>
  <c r="BV58" i="3"/>
  <c r="BV11" i="2" s="1"/>
  <c r="BW54" i="3"/>
  <c r="BW10" i="2" s="1"/>
  <c r="BY49" i="3"/>
  <c r="BY8" i="2" s="1"/>
  <c r="CA49" i="3"/>
  <c r="CA8" i="2" s="1"/>
  <c r="CC49" i="3"/>
  <c r="CC8" i="2" s="1"/>
  <c r="CF58" i="3"/>
  <c r="CF11" i="2" s="1"/>
  <c r="CG54" i="3"/>
  <c r="CG10" i="2" s="1"/>
  <c r="CG49" i="3"/>
  <c r="CG8" i="2" s="1"/>
  <c r="CH58" i="3"/>
  <c r="CH11" i="2" s="1"/>
  <c r="CI49" i="3"/>
  <c r="CI8" i="2" s="1"/>
  <c r="CJ58" i="3"/>
  <c r="CJ11" i="2" s="1"/>
  <c r="CK54" i="3"/>
  <c r="CK10" i="2" s="1"/>
  <c r="CK49" i="3"/>
  <c r="CK8" i="2" s="1"/>
  <c r="CM54" i="3"/>
  <c r="CM10" i="2" s="1"/>
  <c r="CO54" i="3"/>
  <c r="CO10" i="2" s="1"/>
  <c r="CO49" i="3"/>
  <c r="CO8" i="2" s="1"/>
  <c r="CP58" i="3"/>
  <c r="CP11" i="2" s="1"/>
  <c r="CQ49" i="3"/>
  <c r="CQ8" i="2" s="1"/>
  <c r="CS49" i="3"/>
  <c r="CS8" i="2" s="1"/>
  <c r="CT58" i="3"/>
  <c r="CT11" i="2" s="1"/>
  <c r="I49" i="3"/>
  <c r="I8" i="2" s="1"/>
  <c r="I58" i="3"/>
  <c r="I11" i="2" s="1"/>
  <c r="J54" i="3"/>
  <c r="J10" i="2" s="1"/>
  <c r="J49" i="3"/>
  <c r="J8" i="2" s="1"/>
  <c r="L54" i="3"/>
  <c r="L10" i="2" s="1"/>
  <c r="L49" i="3"/>
  <c r="L8" i="2" s="1"/>
  <c r="M58" i="3"/>
  <c r="M11" i="2" s="1"/>
  <c r="N54" i="3"/>
  <c r="N10" i="2" s="1"/>
  <c r="N49" i="3"/>
  <c r="N8" i="2" s="1"/>
  <c r="P54" i="3"/>
  <c r="P10" i="2" s="1"/>
  <c r="P49" i="3"/>
  <c r="P8" i="2" s="1"/>
  <c r="Q58" i="3"/>
  <c r="Q11" i="2" s="1"/>
  <c r="R54" i="3"/>
  <c r="R10" i="2" s="1"/>
  <c r="R49" i="3"/>
  <c r="R8" i="2" s="1"/>
  <c r="T54" i="3"/>
  <c r="T10" i="2" s="1"/>
  <c r="T49" i="3"/>
  <c r="T8" i="2" s="1"/>
  <c r="U58" i="3"/>
  <c r="U11" i="2" s="1"/>
  <c r="V49" i="3"/>
  <c r="V8" i="2" s="1"/>
  <c r="X49" i="3"/>
  <c r="X8" i="2" s="1"/>
  <c r="Z49" i="3"/>
  <c r="Z8" i="2" s="1"/>
  <c r="AB49" i="3"/>
  <c r="AB8" i="2" s="1"/>
  <c r="AD54" i="3"/>
  <c r="AD10" i="2" s="1"/>
  <c r="AD49" i="3"/>
  <c r="AD8" i="2" s="1"/>
  <c r="AE58" i="3"/>
  <c r="AE11" i="2" s="1"/>
  <c r="AF49" i="3"/>
  <c r="AF8" i="2" s="1"/>
  <c r="AG58" i="3"/>
  <c r="AG11" i="2" s="1"/>
  <c r="AH54" i="3"/>
  <c r="AH10" i="2" s="1"/>
  <c r="AI58" i="3"/>
  <c r="AI11" i="2" s="1"/>
  <c r="AJ54" i="3"/>
  <c r="AJ10" i="2" s="1"/>
  <c r="AJ49" i="3"/>
  <c r="AJ8" i="2" s="1"/>
  <c r="AK58" i="3"/>
  <c r="AK11" i="2" s="1"/>
  <c r="AL54" i="3"/>
  <c r="AL10" i="2" s="1"/>
  <c r="AL49" i="3"/>
  <c r="AL8" i="2" s="1"/>
  <c r="AM58" i="3"/>
  <c r="AM11" i="2" s="1"/>
  <c r="AN49" i="3"/>
  <c r="AN8" i="2" s="1"/>
  <c r="AP49" i="3"/>
  <c r="AP8" i="2" s="1"/>
  <c r="AR54" i="3"/>
  <c r="AR10" i="2" s="1"/>
  <c r="AR49" i="3"/>
  <c r="AR8" i="2" s="1"/>
  <c r="AT54" i="3"/>
  <c r="AT10" i="2" s="1"/>
  <c r="AT49" i="3"/>
  <c r="AT8" i="2" s="1"/>
  <c r="AV49" i="3"/>
  <c r="AV8" i="2" s="1"/>
  <c r="AW58" i="3"/>
  <c r="AW11" i="2" s="1"/>
  <c r="AX54" i="3"/>
  <c r="AX10" i="2" s="1"/>
  <c r="AX49" i="3"/>
  <c r="AX8" i="2" s="1"/>
  <c r="AZ54" i="3"/>
  <c r="AZ10" i="2" s="1"/>
  <c r="AZ49" i="3"/>
  <c r="AZ8" i="2" s="1"/>
  <c r="BA58" i="3"/>
  <c r="BA11" i="2" s="1"/>
  <c r="BB54" i="3"/>
  <c r="BB10" i="2" s="1"/>
  <c r="BB49" i="3"/>
  <c r="BB8" i="2" s="1"/>
  <c r="BD54" i="3"/>
  <c r="BD10" i="2" s="1"/>
  <c r="BE58" i="3"/>
  <c r="BE11" i="2" s="1"/>
  <c r="BF54" i="3"/>
  <c r="BF10" i="2" s="1"/>
  <c r="BF49" i="3"/>
  <c r="BF8" i="2" s="1"/>
  <c r="BG58" i="3"/>
  <c r="BG11" i="2" s="1"/>
  <c r="BH54" i="3"/>
  <c r="BH10" i="2" s="1"/>
  <c r="BH49" i="3"/>
  <c r="BH8" i="2" s="1"/>
  <c r="BI58" i="3"/>
  <c r="BI11" i="2" s="1"/>
  <c r="BJ54" i="3"/>
  <c r="BJ10" i="2" s="1"/>
  <c r="BJ49" i="3"/>
  <c r="BJ8" i="2" s="1"/>
  <c r="BK58" i="3"/>
  <c r="BK11" i="2" s="1"/>
  <c r="BL54" i="3"/>
  <c r="BL10" i="2" s="1"/>
  <c r="BL49" i="3"/>
  <c r="BL8" i="2" s="1"/>
  <c r="BM58" i="3"/>
  <c r="BM11" i="2" s="1"/>
  <c r="BN54" i="3"/>
  <c r="BN49"/>
  <c r="BN8" i="2" s="1"/>
  <c r="BO58" i="3"/>
  <c r="BO11" i="2" s="1"/>
  <c r="BP54" i="3"/>
  <c r="BP10" i="2" s="1"/>
  <c r="BP49" i="3"/>
  <c r="BP8" i="2" s="1"/>
  <c r="BQ58" i="3"/>
  <c r="BQ11" i="2" s="1"/>
  <c r="BR54" i="3"/>
  <c r="BR10" i="2" s="1"/>
  <c r="BR49" i="3"/>
  <c r="BR8" i="2" s="1"/>
  <c r="BS58" i="3"/>
  <c r="BS11" i="2" s="1"/>
  <c r="BT49" i="3"/>
  <c r="BT8" i="2" s="1"/>
  <c r="BU58" i="3"/>
  <c r="BU11" i="2" s="1"/>
  <c r="BV54" i="3"/>
  <c r="BV10" i="2" s="1"/>
  <c r="BV49" i="3"/>
  <c r="BV8" i="2" s="1"/>
  <c r="BX49" i="3"/>
  <c r="BX8" i="2" s="1"/>
  <c r="BY58" i="3"/>
  <c r="BY11" i="2" s="1"/>
  <c r="BZ49" i="3"/>
  <c r="BZ8" i="2" s="1"/>
  <c r="CB49" i="3"/>
  <c r="CB8" i="2" s="1"/>
  <c r="CF54" i="3"/>
  <c r="CF10" i="2" s="1"/>
  <c r="CF49" i="3"/>
  <c r="CF8" i="2" s="1"/>
  <c r="CG58" i="3"/>
  <c r="CG11" i="2" s="1"/>
  <c r="CH54" i="3"/>
  <c r="CH10" i="2" s="1"/>
  <c r="CH49" i="3"/>
  <c r="CH8" i="2" s="1"/>
  <c r="CK58" i="3"/>
  <c r="CK11" i="2" s="1"/>
  <c r="CL54" i="3"/>
  <c r="CL10" i="2" s="1"/>
  <c r="CL49" i="3"/>
  <c r="CL8" i="2" s="1"/>
  <c r="CM58" i="3"/>
  <c r="CM11" i="2" s="1"/>
  <c r="CN49" i="3"/>
  <c r="CN8" i="2" s="1"/>
  <c r="CO58" i="3"/>
  <c r="CO11" i="2" s="1"/>
  <c r="CP54" i="3"/>
  <c r="CP49"/>
  <c r="CP8" i="2" s="1"/>
  <c r="CQ58" i="3"/>
  <c r="CQ11" i="2" s="1"/>
  <c r="CR54" i="3"/>
  <c r="CR10" i="2" s="1"/>
  <c r="CR49" i="3"/>
  <c r="CR8" i="2" s="1"/>
  <c r="CS58" i="3"/>
  <c r="CS11" i="2" s="1"/>
  <c r="CT54" i="3"/>
  <c r="CT10" i="2" s="1"/>
  <c r="CT49" i="3"/>
  <c r="CT8" i="2" s="1"/>
  <c r="H58" i="3"/>
  <c r="H11" i="2" s="1"/>
  <c r="H49" i="3"/>
  <c r="H8" i="2" s="1"/>
  <c r="H54" i="3"/>
  <c r="H10" i="2" s="1"/>
  <c r="G58" i="3"/>
  <c r="G11" i="2" s="1"/>
  <c r="G49" i="3"/>
  <c r="G8" i="2" s="1"/>
  <c r="F58" i="3"/>
  <c r="F11" i="2" s="1"/>
  <c r="F49" i="3"/>
  <c r="F8" i="2" s="1"/>
  <c r="D58" i="3"/>
  <c r="D11" i="2" s="1"/>
  <c r="D49" i="3"/>
  <c r="D8" i="2" s="1"/>
  <c r="D54" i="3"/>
  <c r="D10" i="2" s="1"/>
  <c r="D41" i="81"/>
  <c r="D42" s="1"/>
  <c r="D41" i="5"/>
  <c r="E42" i="98"/>
  <c r="E43" s="1"/>
  <c r="D43" i="99"/>
  <c r="E41" i="5"/>
  <c r="E42" s="1"/>
  <c r="F41" i="7"/>
  <c r="BE47" i="3"/>
  <c r="BE53" s="1"/>
  <c r="BE9" i="2" s="1"/>
  <c r="F41" i="5"/>
  <c r="F42" s="1"/>
  <c r="C43" i="76"/>
  <c r="C43" i="50"/>
  <c r="C43" i="95"/>
  <c r="C43" i="91"/>
  <c r="AR47" i="3"/>
  <c r="AR53" s="1"/>
  <c r="AR9" i="2" s="1"/>
  <c r="BM47" i="3"/>
  <c r="BM53" s="1"/>
  <c r="BM9" i="2" s="1"/>
  <c r="D41" i="34"/>
  <c r="D42" s="1"/>
  <c r="D43" s="1"/>
  <c r="C43" i="81"/>
  <c r="C43" i="85"/>
  <c r="C43" i="21"/>
  <c r="C43" i="54"/>
  <c r="D41" i="67"/>
  <c r="D42" s="1"/>
  <c r="D43" s="1"/>
  <c r="D41" i="60"/>
  <c r="D42" s="1"/>
  <c r="D43" s="1"/>
  <c r="C43" i="23"/>
  <c r="CJ47" i="3"/>
  <c r="CJ53" s="1"/>
  <c r="CJ9" i="2" s="1"/>
  <c r="CB47" i="3"/>
  <c r="CB53" s="1"/>
  <c r="CB9" i="2" s="1"/>
  <c r="C43" i="55"/>
  <c r="C42" i="83"/>
  <c r="C43" s="1"/>
  <c r="C42" i="49"/>
  <c r="C43" s="1"/>
  <c r="CK47" i="3"/>
  <c r="CK53" s="1"/>
  <c r="CK9" i="2" s="1"/>
  <c r="C43" i="13"/>
  <c r="C43" i="42"/>
  <c r="C43" i="28"/>
  <c r="C43" i="71"/>
  <c r="C43" i="72"/>
  <c r="C43" i="52"/>
  <c r="C43" i="47"/>
  <c r="BT47" i="3"/>
  <c r="BT53" s="1"/>
  <c r="BT9" i="2" s="1"/>
  <c r="D41" i="95"/>
  <c r="D42" s="1"/>
  <c r="D43" s="1"/>
  <c r="D41" i="51"/>
  <c r="D42" s="1"/>
  <c r="D43" s="1"/>
  <c r="D41" i="24"/>
  <c r="D42" s="1"/>
  <c r="D43" s="1"/>
  <c r="C43" i="69"/>
  <c r="E41" i="9"/>
  <c r="E42" s="1"/>
  <c r="C42" i="87"/>
  <c r="C43" s="1"/>
  <c r="C43" i="30"/>
  <c r="CS47" i="3"/>
  <c r="CS53" s="1"/>
  <c r="CS9" i="2" s="1"/>
  <c r="F41" i="49"/>
  <c r="F42" s="1"/>
  <c r="F43" s="1"/>
  <c r="F41" i="52"/>
  <c r="F42" s="1"/>
  <c r="F41" i="28"/>
  <c r="F42" s="1"/>
  <c r="F43" s="1"/>
  <c r="AA47" i="3"/>
  <c r="AA53" s="1"/>
  <c r="AA9" i="2" s="1"/>
  <c r="E41" i="78"/>
  <c r="E42" s="1"/>
  <c r="E43" s="1"/>
  <c r="F41"/>
  <c r="F42" s="1"/>
  <c r="F43" s="1"/>
  <c r="D41" i="70"/>
  <c r="D42" s="1"/>
  <c r="D43" s="1"/>
  <c r="F41" i="40"/>
  <c r="F42" s="1"/>
  <c r="F43" s="1"/>
  <c r="E41" i="75"/>
  <c r="E42" s="1"/>
  <c r="E43" s="1"/>
  <c r="F41" i="35"/>
  <c r="F42" s="1"/>
  <c r="F41" i="12"/>
  <c r="F42" s="1"/>
  <c r="F41" i="16"/>
  <c r="F41" i="95"/>
  <c r="F42" s="1"/>
  <c r="F43" s="1"/>
  <c r="D41" i="84"/>
  <c r="D42" s="1"/>
  <c r="F41" i="69"/>
  <c r="F42" s="1"/>
  <c r="F43" s="1"/>
  <c r="E41" i="54"/>
  <c r="E42" s="1"/>
  <c r="D41" i="39"/>
  <c r="D42" s="1"/>
  <c r="D43" s="1"/>
  <c r="E41" i="33"/>
  <c r="E42" s="1"/>
  <c r="E43" s="1"/>
  <c r="F41"/>
  <c r="F42" s="1"/>
  <c r="F43" s="1"/>
  <c r="F41" i="11"/>
  <c r="F42" s="1"/>
  <c r="C43" i="94"/>
  <c r="E41" i="71"/>
  <c r="E42" s="1"/>
  <c r="E43" s="1"/>
  <c r="F41"/>
  <c r="F42" s="1"/>
  <c r="F43" s="1"/>
  <c r="D41" i="56"/>
  <c r="D42" s="1"/>
  <c r="D43" s="1"/>
  <c r="F41" i="72"/>
  <c r="E41" i="28"/>
  <c r="E42" s="1"/>
  <c r="E41" i="17"/>
  <c r="E42" s="1"/>
  <c r="E43" s="1"/>
  <c r="D41" i="25"/>
  <c r="D42" s="1"/>
  <c r="D43" s="1"/>
  <c r="BX47" i="3"/>
  <c r="BX53" s="1"/>
  <c r="BX9" i="2" s="1"/>
  <c r="F41" i="89"/>
  <c r="F42" s="1"/>
  <c r="F43" s="1"/>
  <c r="E41" i="50"/>
  <c r="E42" s="1"/>
  <c r="D41" i="77"/>
  <c r="D42" s="1"/>
  <c r="D43" s="1"/>
  <c r="D41" i="18"/>
  <c r="D42" s="1"/>
  <c r="D43" s="1"/>
  <c r="F41" i="92"/>
  <c r="F42" s="1"/>
  <c r="F43" s="1"/>
  <c r="C43" i="68"/>
  <c r="C43" i="43"/>
  <c r="E41" i="60"/>
  <c r="E42" s="1"/>
  <c r="E43" s="1"/>
  <c r="C43" i="22"/>
  <c r="E41"/>
  <c r="E42" s="1"/>
  <c r="E43" s="1"/>
  <c r="E41" i="11"/>
  <c r="E42" s="1"/>
  <c r="D41" i="19"/>
  <c r="D42" s="1"/>
  <c r="D43" s="1"/>
  <c r="F41"/>
  <c r="F42" s="1"/>
  <c r="D41" i="91"/>
  <c r="D42" s="1"/>
  <c r="D43" s="1"/>
  <c r="D41" i="86"/>
  <c r="D42" s="1"/>
  <c r="D43" s="1"/>
  <c r="D41" i="27"/>
  <c r="D42" s="1"/>
  <c r="D43" s="1"/>
  <c r="D41" i="17"/>
  <c r="D42" s="1"/>
  <c r="D43" s="1"/>
  <c r="AO47" i="3"/>
  <c r="AO53" s="1"/>
  <c r="AO9" i="2" s="1"/>
  <c r="F41" i="82"/>
  <c r="F42" s="1"/>
  <c r="E41" i="57"/>
  <c r="E42" s="1"/>
  <c r="E41" i="46"/>
  <c r="E42" s="1"/>
  <c r="D41" i="79"/>
  <c r="D42" s="1"/>
  <c r="F41"/>
  <c r="F42" s="1"/>
  <c r="F41" i="86"/>
  <c r="F42" s="1"/>
  <c r="E41" i="58"/>
  <c r="E42" s="1"/>
  <c r="F41"/>
  <c r="F42" s="1"/>
  <c r="F43" s="1"/>
  <c r="E41" i="32"/>
  <c r="E42" s="1"/>
  <c r="E41" i="34"/>
  <c r="E42" s="1"/>
  <c r="F41" i="23"/>
  <c r="F42" s="1"/>
  <c r="F43" s="1"/>
  <c r="C43" i="15"/>
  <c r="E41" i="26"/>
  <c r="E42" s="1"/>
  <c r="E43" s="1"/>
  <c r="BV47" i="3"/>
  <c r="BV53" s="1"/>
  <c r="BV9" i="2" s="1"/>
  <c r="D41" i="45"/>
  <c r="D42" s="1"/>
  <c r="D43" s="1"/>
  <c r="D41" i="71"/>
  <c r="D42" s="1"/>
  <c r="F41" i="56"/>
  <c r="F42" s="1"/>
  <c r="F43" s="1"/>
  <c r="E41" i="72"/>
  <c r="E42" s="1"/>
  <c r="F41" i="41"/>
  <c r="F42" s="1"/>
  <c r="F43" s="1"/>
  <c r="F41" i="14"/>
  <c r="F42" s="1"/>
  <c r="F41" i="55"/>
  <c r="F42" s="1"/>
  <c r="F43" s="1"/>
  <c r="E41" i="27"/>
  <c r="E42" s="1"/>
  <c r="E43" s="1"/>
  <c r="D41" i="11"/>
  <c r="D42" s="1"/>
  <c r="D43" s="1"/>
  <c r="E41" i="96"/>
  <c r="E42" s="1"/>
  <c r="F41" i="91"/>
  <c r="F42" s="1"/>
  <c r="E41" i="45"/>
  <c r="E42" s="1"/>
  <c r="E41" i="41"/>
  <c r="E42" s="1"/>
  <c r="E41" i="93"/>
  <c r="E42" s="1"/>
  <c r="E41" i="25"/>
  <c r="E42" s="1"/>
  <c r="F41" i="17"/>
  <c r="F42" s="1"/>
  <c r="D41" i="14"/>
  <c r="D42" s="1"/>
  <c r="D43" s="1"/>
  <c r="E41" i="20"/>
  <c r="E42" s="1"/>
  <c r="AQ47" i="3"/>
  <c r="AQ53" s="1"/>
  <c r="AQ9" i="2" s="1"/>
  <c r="BK47" i="3"/>
  <c r="BK53" s="1"/>
  <c r="BK9" i="2" s="1"/>
  <c r="CO47" i="3"/>
  <c r="CO53" s="1"/>
  <c r="CO9" i="2" s="1"/>
  <c r="C43" i="90"/>
  <c r="D41" i="78"/>
  <c r="D42" s="1"/>
  <c r="D43" s="1"/>
  <c r="D41" i="73"/>
  <c r="E41" i="70"/>
  <c r="E42" s="1"/>
  <c r="F41"/>
  <c r="F42" s="1"/>
  <c r="F43" s="1"/>
  <c r="E41" i="55"/>
  <c r="E42" s="1"/>
  <c r="D41" i="44"/>
  <c r="D42" s="1"/>
  <c r="D43" s="1"/>
  <c r="C43" i="65"/>
  <c r="F41"/>
  <c r="F42" s="1"/>
  <c r="D41" i="75"/>
  <c r="D42" s="1"/>
  <c r="D43" s="1"/>
  <c r="F41" i="48"/>
  <c r="F42" s="1"/>
  <c r="F43" s="1"/>
  <c r="F41" i="29"/>
  <c r="F42" s="1"/>
  <c r="E41" i="12"/>
  <c r="E42" s="1"/>
  <c r="E41" i="21"/>
  <c r="E42" s="1"/>
  <c r="E43" s="1"/>
  <c r="D41" i="41"/>
  <c r="D42" s="1"/>
  <c r="D43" s="1"/>
  <c r="D41" i="31"/>
  <c r="D42" s="1"/>
  <c r="D43" s="1"/>
  <c r="E41" i="84"/>
  <c r="E42" s="1"/>
  <c r="E43" s="1"/>
  <c r="D41" i="92"/>
  <c r="D42" s="1"/>
  <c r="E41" i="69"/>
  <c r="E42" s="1"/>
  <c r="F41" i="54"/>
  <c r="F42" s="1"/>
  <c r="F41" i="43"/>
  <c r="F42" s="1"/>
  <c r="E41" i="64"/>
  <c r="E42" s="1"/>
  <c r="E43" s="1"/>
  <c r="E41" i="59"/>
  <c r="E42" s="1"/>
  <c r="E43" s="1"/>
  <c r="F41" i="62"/>
  <c r="F42" s="1"/>
  <c r="D41" i="33"/>
  <c r="D42" s="1"/>
  <c r="F43" i="5"/>
  <c r="D41" i="94"/>
  <c r="D42" s="1"/>
  <c r="C43" i="88"/>
  <c r="E41"/>
  <c r="E42" s="1"/>
  <c r="D41" i="80"/>
  <c r="D42" s="1"/>
  <c r="D43" s="1"/>
  <c r="C43" i="66"/>
  <c r="F41"/>
  <c r="F42" s="1"/>
  <c r="F43" s="1"/>
  <c r="C43" i="51"/>
  <c r="F41"/>
  <c r="F42" s="1"/>
  <c r="E41" i="49"/>
  <c r="E42" s="1"/>
  <c r="E43" s="1"/>
  <c r="D41" i="52"/>
  <c r="D42" s="1"/>
  <c r="D43" s="1"/>
  <c r="C43" i="37"/>
  <c r="D41" i="28"/>
  <c r="D42" s="1"/>
  <c r="D43" s="1"/>
  <c r="F41" i="31"/>
  <c r="F42" s="1"/>
  <c r="F41" i="25"/>
  <c r="E41" i="14"/>
  <c r="E42" s="1"/>
  <c r="E43" s="1"/>
  <c r="D41" i="40"/>
  <c r="D42" s="1"/>
  <c r="D43" s="1"/>
  <c r="D41" i="43"/>
  <c r="D42" s="1"/>
  <c r="D43" s="1"/>
  <c r="D41" i="32"/>
  <c r="D42" s="1"/>
  <c r="D43" s="1"/>
  <c r="D41" i="21"/>
  <c r="D42" s="1"/>
  <c r="D43" s="1"/>
  <c r="AW47" i="3"/>
  <c r="AW53" s="1"/>
  <c r="AW9" i="2" s="1"/>
  <c r="D41" i="90"/>
  <c r="D42" s="1"/>
  <c r="E41" i="89"/>
  <c r="E42" s="1"/>
  <c r="E43" s="1"/>
  <c r="E41" i="85"/>
  <c r="E42" s="1"/>
  <c r="E43" s="1"/>
  <c r="F41"/>
  <c r="F42" s="1"/>
  <c r="F43" s="1"/>
  <c r="C42" i="73"/>
  <c r="C43" s="1"/>
  <c r="C43" i="70"/>
  <c r="E41" i="76"/>
  <c r="E42" s="1"/>
  <c r="E43" s="1"/>
  <c r="F41"/>
  <c r="F42" s="1"/>
  <c r="F43" s="1"/>
  <c r="F41" i="44"/>
  <c r="F42" s="1"/>
  <c r="F43" s="1"/>
  <c r="E41" i="65"/>
  <c r="E42" s="1"/>
  <c r="E43" s="1"/>
  <c r="E41" i="47"/>
  <c r="E42" s="1"/>
  <c r="E43" s="1"/>
  <c r="F41"/>
  <c r="F42" s="1"/>
  <c r="F41" i="50"/>
  <c r="F42" s="1"/>
  <c r="E41" i="24"/>
  <c r="E42" s="1"/>
  <c r="F41"/>
  <c r="F42" s="1"/>
  <c r="F43" s="1"/>
  <c r="F41" i="21"/>
  <c r="F42" s="1"/>
  <c r="E41" i="16"/>
  <c r="E42" s="1"/>
  <c r="E43" s="1"/>
  <c r="D41" i="96"/>
  <c r="D42" s="1"/>
  <c r="D43" s="1"/>
  <c r="D41" i="64"/>
  <c r="D42" s="1"/>
  <c r="D43" s="1"/>
  <c r="D41" i="59"/>
  <c r="D42" s="1"/>
  <c r="D43" s="1"/>
  <c r="D41" i="46"/>
  <c r="D42" s="1"/>
  <c r="D43" s="1"/>
  <c r="D41" i="20"/>
  <c r="D42" s="1"/>
  <c r="D43" s="1"/>
  <c r="AX47" i="3"/>
  <c r="AX53" s="1"/>
  <c r="AX9" i="2" s="1"/>
  <c r="C43" i="96"/>
  <c r="F41"/>
  <c r="F42" s="1"/>
  <c r="F43" s="1"/>
  <c r="F41" i="84"/>
  <c r="F42" s="1"/>
  <c r="C43" i="92"/>
  <c r="F41" i="77"/>
  <c r="F42" s="1"/>
  <c r="F43" s="1"/>
  <c r="D41" i="68"/>
  <c r="D42" s="1"/>
  <c r="C43" i="39"/>
  <c r="F41"/>
  <c r="F42" s="1"/>
  <c r="F43" s="1"/>
  <c r="D41" i="61"/>
  <c r="D42" s="1"/>
  <c r="E41" i="43"/>
  <c r="E42" s="1"/>
  <c r="E43" s="1"/>
  <c r="C42" i="64"/>
  <c r="C43" s="1"/>
  <c r="F41"/>
  <c r="F42" s="1"/>
  <c r="F43" s="1"/>
  <c r="C43" i="60"/>
  <c r="F41"/>
  <c r="F42" s="1"/>
  <c r="F43" s="1"/>
  <c r="E41" i="36"/>
  <c r="D41" i="22"/>
  <c r="D42" s="1"/>
  <c r="D43" s="1"/>
  <c r="C43" i="18"/>
  <c r="F41"/>
  <c r="F42" s="1"/>
  <c r="C42" i="19"/>
  <c r="C43" s="1"/>
  <c r="E41" i="13"/>
  <c r="E42" s="1"/>
  <c r="E43" s="1"/>
  <c r="BG47" i="3"/>
  <c r="BG53" s="1"/>
  <c r="BG9" i="2" s="1"/>
  <c r="D41" i="87"/>
  <c r="D42" s="1"/>
  <c r="D43" s="1"/>
  <c r="D41" i="55"/>
  <c r="D42" s="1"/>
  <c r="D43" s="1"/>
  <c r="D41" i="30"/>
  <c r="D42" s="1"/>
  <c r="D43" s="1"/>
  <c r="D41" i="35"/>
  <c r="D42" s="1"/>
  <c r="D43" s="1"/>
  <c r="BI47" i="3"/>
  <c r="BI53" s="1"/>
  <c r="BI9" i="2" s="1"/>
  <c r="CQ47" i="3"/>
  <c r="CQ53" s="1"/>
  <c r="CQ9" i="2" s="1"/>
  <c r="CD47" i="3"/>
  <c r="CD53" s="1"/>
  <c r="CD9" i="2" s="1"/>
  <c r="C43" i="97"/>
  <c r="F41"/>
  <c r="F42" s="1"/>
  <c r="E41" i="83"/>
  <c r="E42" s="1"/>
  <c r="E43" s="1"/>
  <c r="E41" i="87"/>
  <c r="E42" s="1"/>
  <c r="E41" i="74"/>
  <c r="E42" s="1"/>
  <c r="E43" s="1"/>
  <c r="C43" i="67"/>
  <c r="F41"/>
  <c r="F42" s="1"/>
  <c r="F43" s="1"/>
  <c r="E41" i="53"/>
  <c r="E42" s="1"/>
  <c r="E43" s="1"/>
  <c r="F41"/>
  <c r="F42" s="1"/>
  <c r="D41" i="42"/>
  <c r="D42" s="1"/>
  <c r="D43" s="1"/>
  <c r="C43" i="58"/>
  <c r="E41" i="63"/>
  <c r="E42" s="1"/>
  <c r="D41" i="38"/>
  <c r="D42" s="1"/>
  <c r="D43" s="1"/>
  <c r="E41" i="30"/>
  <c r="E42" s="1"/>
  <c r="E43" s="1"/>
  <c r="F41" i="34"/>
  <c r="F42" s="1"/>
  <c r="D41" i="23"/>
  <c r="D42" s="1"/>
  <c r="D41" i="15"/>
  <c r="D42" s="1"/>
  <c r="D41" i="83"/>
  <c r="D42" s="1"/>
  <c r="D43" s="1"/>
  <c r="D41" i="72"/>
  <c r="D42" s="1"/>
  <c r="D43" s="1"/>
  <c r="D41" i="65"/>
  <c r="D42" s="1"/>
  <c r="D43" s="1"/>
  <c r="D41" i="48"/>
  <c r="D42" s="1"/>
  <c r="D43" s="1"/>
  <c r="AV47" i="3"/>
  <c r="AV53" s="1"/>
  <c r="AV9" i="2" s="1"/>
  <c r="F41" i="88"/>
  <c r="F42" s="1"/>
  <c r="F43" s="1"/>
  <c r="F41" i="81"/>
  <c r="F42" s="1"/>
  <c r="F43" s="1"/>
  <c r="E41" i="80"/>
  <c r="E42" s="1"/>
  <c r="E43" s="1"/>
  <c r="E41" i="51"/>
  <c r="E42" s="1"/>
  <c r="E43" s="1"/>
  <c r="F41" i="20"/>
  <c r="F42" s="1"/>
  <c r="F43" s="1"/>
  <c r="BW47" i="3"/>
  <c r="BW53" s="1"/>
  <c r="BW9" i="2" s="1"/>
  <c r="C43" i="48"/>
  <c r="D41" i="74"/>
  <c r="D42" s="1"/>
  <c r="D43" s="1"/>
  <c r="C42" i="59"/>
  <c r="C43" s="1"/>
  <c r="E41" i="62"/>
  <c r="F41" i="13"/>
  <c r="F42" s="1"/>
  <c r="F43" s="1"/>
  <c r="D41" i="89"/>
  <c r="D42" s="1"/>
  <c r="D43" s="1"/>
  <c r="D41" i="63"/>
  <c r="D42" s="1"/>
  <c r="D43" s="1"/>
  <c r="BZ47" i="3"/>
  <c r="BZ53" s="1"/>
  <c r="BZ9" i="2" s="1"/>
  <c r="E41" i="97"/>
  <c r="E42" s="1"/>
  <c r="E41" i="82"/>
  <c r="E42" s="1"/>
  <c r="F41" i="87"/>
  <c r="F41" i="74"/>
  <c r="F42" s="1"/>
  <c r="F43" s="1"/>
  <c r="E41" i="67"/>
  <c r="E42" s="1"/>
  <c r="E43" s="1"/>
  <c r="F41" i="57"/>
  <c r="F42" s="1"/>
  <c r="E41" i="79"/>
  <c r="E42" s="1"/>
  <c r="E43" s="1"/>
  <c r="E41" i="42"/>
  <c r="E42" s="1"/>
  <c r="E43" s="1"/>
  <c r="D41" i="58"/>
  <c r="D42" s="1"/>
  <c r="F41" i="63"/>
  <c r="F42" s="1"/>
  <c r="F43" s="1"/>
  <c r="F41" i="38"/>
  <c r="F42" s="1"/>
  <c r="F43" s="1"/>
  <c r="F41" i="32"/>
  <c r="F42" s="1"/>
  <c r="F43" s="1"/>
  <c r="F41" i="26"/>
  <c r="F42" s="1"/>
  <c r="F43" s="1"/>
  <c r="D41" i="93"/>
  <c r="D42" s="1"/>
  <c r="D43" s="1"/>
  <c r="D41" i="50"/>
  <c r="D42" s="1"/>
  <c r="D43" s="1"/>
  <c r="D41" i="37"/>
  <c r="D42" s="1"/>
  <c r="D43" s="1"/>
  <c r="F41" i="94"/>
  <c r="F42" s="1"/>
  <c r="F43" s="1"/>
  <c r="E41"/>
  <c r="E42" s="1"/>
  <c r="E41" i="91"/>
  <c r="E42" s="1"/>
  <c r="E43" s="1"/>
  <c r="E41" i="81"/>
  <c r="E42" s="1"/>
  <c r="C42" i="80"/>
  <c r="C43" s="1"/>
  <c r="F41"/>
  <c r="F42" s="1"/>
  <c r="F43" s="1"/>
  <c r="E41" i="66"/>
  <c r="E42" s="1"/>
  <c r="E43" s="1"/>
  <c r="E41" i="56"/>
  <c r="E42" s="1"/>
  <c r="E43" s="1"/>
  <c r="F41" i="45"/>
  <c r="F42" s="1"/>
  <c r="F43" s="1"/>
  <c r="C43" i="93"/>
  <c r="F41"/>
  <c r="F42" s="1"/>
  <c r="F43" s="1"/>
  <c r="E41" i="52"/>
  <c r="E42" s="1"/>
  <c r="E43" s="1"/>
  <c r="E41" i="37"/>
  <c r="E42" s="1"/>
  <c r="E43" s="1"/>
  <c r="F41"/>
  <c r="F42" s="1"/>
  <c r="E41" i="31"/>
  <c r="E42" s="1"/>
  <c r="D41" i="82"/>
  <c r="D42" s="1"/>
  <c r="D43" s="1"/>
  <c r="D41" i="57"/>
  <c r="D42" s="1"/>
  <c r="D43" s="1"/>
  <c r="D41" i="12"/>
  <c r="D42" s="1"/>
  <c r="D43" s="1"/>
  <c r="AT47" i="3"/>
  <c r="AT53" s="1"/>
  <c r="AT9" i="2" s="1"/>
  <c r="E41" i="90"/>
  <c r="E42" s="1"/>
  <c r="E43" s="1"/>
  <c r="F41"/>
  <c r="D41" i="85"/>
  <c r="D42" s="1"/>
  <c r="C43" i="78"/>
  <c r="E41" i="73"/>
  <c r="E42" s="1"/>
  <c r="E43" s="1"/>
  <c r="F41"/>
  <c r="F42" s="1"/>
  <c r="F43" s="1"/>
  <c r="D41" i="76"/>
  <c r="D42" s="1"/>
  <c r="C43" i="44"/>
  <c r="E41"/>
  <c r="E42" s="1"/>
  <c r="E43" s="1"/>
  <c r="D41" i="47"/>
  <c r="D42" s="1"/>
  <c r="F41" i="75"/>
  <c r="F42" s="1"/>
  <c r="F43" s="1"/>
  <c r="C42"/>
  <c r="C43" s="1"/>
  <c r="E41" i="48"/>
  <c r="E42" s="1"/>
  <c r="E43" s="1"/>
  <c r="E41" i="35"/>
  <c r="E42" s="1"/>
  <c r="C43" i="27"/>
  <c r="F41"/>
  <c r="F42" s="1"/>
  <c r="F43" s="1"/>
  <c r="E41" i="29"/>
  <c r="E42" s="1"/>
  <c r="E43" s="1"/>
  <c r="D41" i="16"/>
  <c r="D42" s="1"/>
  <c r="D41" i="88"/>
  <c r="D42" s="1"/>
  <c r="D43" s="1"/>
  <c r="D41" i="66"/>
  <c r="D42" s="1"/>
  <c r="D43" s="1"/>
  <c r="D41" i="54"/>
  <c r="D42" s="1"/>
  <c r="D43" s="1"/>
  <c r="D41" i="36"/>
  <c r="D42" s="1"/>
  <c r="D43" s="1"/>
  <c r="AU47" i="3"/>
  <c r="AU53" s="1"/>
  <c r="AU9" i="2" s="1"/>
  <c r="E41" i="40"/>
  <c r="E42" s="1"/>
  <c r="E43" s="1"/>
  <c r="E41" i="95"/>
  <c r="E42" s="1"/>
  <c r="E43" s="1"/>
  <c r="E41" i="92"/>
  <c r="E42" s="1"/>
  <c r="E43" s="1"/>
  <c r="E41" i="77"/>
  <c r="E42" s="1"/>
  <c r="E41" i="68"/>
  <c r="E42" s="1"/>
  <c r="E43" s="1"/>
  <c r="F41"/>
  <c r="F42" s="1"/>
  <c r="E41" i="39"/>
  <c r="E42" s="1"/>
  <c r="E43" s="1"/>
  <c r="E41" i="61"/>
  <c r="E42" s="1"/>
  <c r="E43" s="1"/>
  <c r="F41"/>
  <c r="F42" s="1"/>
  <c r="F43" s="1"/>
  <c r="F41" i="59"/>
  <c r="F42" s="1"/>
  <c r="F43" s="1"/>
  <c r="C43" i="36"/>
  <c r="F41"/>
  <c r="F42" s="1"/>
  <c r="F43" s="1"/>
  <c r="F41" i="22"/>
  <c r="F42" s="1"/>
  <c r="E41" i="18"/>
  <c r="E42" s="1"/>
  <c r="E43" s="1"/>
  <c r="E41" i="19"/>
  <c r="E42" s="1"/>
  <c r="E43" s="1"/>
  <c r="CM47" i="3"/>
  <c r="CM53" s="1"/>
  <c r="CM9" i="2" s="1"/>
  <c r="D41" i="97"/>
  <c r="D42" s="1"/>
  <c r="D43" s="1"/>
  <c r="D41" i="69"/>
  <c r="D42" s="1"/>
  <c r="D43" s="1"/>
  <c r="D41" i="49"/>
  <c r="D42" s="1"/>
  <c r="D43" s="1"/>
  <c r="D41" i="13"/>
  <c r="D42" s="1"/>
  <c r="D43" s="1"/>
  <c r="AY47" i="3"/>
  <c r="AY53" s="1"/>
  <c r="AY9" i="2" s="1"/>
  <c r="CR47" i="3"/>
  <c r="CR53" s="1"/>
  <c r="CR9" i="2" s="1"/>
  <c r="F41" i="83"/>
  <c r="F42" s="1"/>
  <c r="F41" i="46"/>
  <c r="F42" s="1"/>
  <c r="C43" i="79"/>
  <c r="F41" i="42"/>
  <c r="F42" s="1"/>
  <c r="E41" i="86"/>
  <c r="E42" s="1"/>
  <c r="E43" s="1"/>
  <c r="E41" i="38"/>
  <c r="E42" s="1"/>
  <c r="E43" s="1"/>
  <c r="F41" i="30"/>
  <c r="F42" s="1"/>
  <c r="F43" s="1"/>
  <c r="E41" i="23"/>
  <c r="E42" s="1"/>
  <c r="E43" s="1"/>
  <c r="E41" i="15"/>
  <c r="E42" s="1"/>
  <c r="E43" s="1"/>
  <c r="F41"/>
  <c r="F42" s="1"/>
  <c r="F43" s="1"/>
  <c r="D41" i="26"/>
  <c r="D42" s="1"/>
  <c r="D43" s="1"/>
  <c r="BD47" i="3"/>
  <c r="BD53" s="1"/>
  <c r="BD9" i="2" s="1"/>
  <c r="D41" i="62"/>
  <c r="D42" s="1"/>
  <c r="D43" s="1"/>
  <c r="D41" i="53"/>
  <c r="D42" s="1"/>
  <c r="D43" s="1"/>
  <c r="D41" i="29"/>
  <c r="D42" s="1"/>
  <c r="D43" s="1"/>
  <c r="CN47" i="3"/>
  <c r="CN53" s="1"/>
  <c r="CN9" i="2" s="1"/>
  <c r="D42" i="7"/>
  <c r="D43" s="1"/>
  <c r="F42"/>
  <c r="F43" s="1"/>
  <c r="F43" i="4"/>
  <c r="E43"/>
  <c r="D42" i="5" l="1"/>
  <c r="D43" s="1"/>
  <c r="CP9" i="2"/>
  <c r="CP10"/>
  <c r="BN10"/>
  <c r="BM10"/>
  <c r="E43" i="5"/>
  <c r="E43" i="11"/>
  <c r="D43" i="23"/>
  <c r="F43" i="65"/>
  <c r="F43" i="22"/>
  <c r="D43" i="15"/>
  <c r="F43" i="34"/>
  <c r="E43" i="9"/>
  <c r="F43" i="83"/>
  <c r="E43" i="97"/>
  <c r="F43" i="19"/>
  <c r="E43" i="82"/>
  <c r="F43" i="47"/>
  <c r="F43" i="31"/>
  <c r="D43" i="79"/>
  <c r="F43" i="37"/>
  <c r="E43" i="87"/>
  <c r="F43" i="18"/>
  <c r="F43" i="50"/>
  <c r="F42" i="25"/>
  <c r="F43" s="1"/>
  <c r="D43" i="33"/>
  <c r="F43" i="43"/>
  <c r="E43" i="69"/>
  <c r="E43" i="25"/>
  <c r="E43" i="41"/>
  <c r="E43" i="72"/>
  <c r="E43" i="34"/>
  <c r="D43" i="61"/>
  <c r="D43" i="90"/>
  <c r="D43" i="81"/>
  <c r="D43" i="94"/>
  <c r="E43" i="45"/>
  <c r="E43" i="96"/>
  <c r="F42" i="72"/>
  <c r="F43" s="1"/>
  <c r="F43" i="11"/>
  <c r="F43" i="52"/>
  <c r="F43" i="46"/>
  <c r="E43" i="35"/>
  <c r="E43" i="31"/>
  <c r="E43" i="81"/>
  <c r="E43" i="94"/>
  <c r="E43" i="24"/>
  <c r="F43" i="62"/>
  <c r="F43" i="54"/>
  <c r="D43" i="92"/>
  <c r="D42" i="73"/>
  <c r="D43" s="1"/>
  <c r="F43" i="17"/>
  <c r="E43" i="32"/>
  <c r="F43" i="79"/>
  <c r="E43" i="54"/>
  <c r="D43" i="84"/>
  <c r="F42" i="16"/>
  <c r="F43" s="1"/>
  <c r="D43"/>
  <c r="F43" i="57"/>
  <c r="F42" i="87"/>
  <c r="F43" s="1"/>
  <c r="E43" i="63"/>
  <c r="E42" i="36"/>
  <c r="E43" s="1"/>
  <c r="F43" i="84"/>
  <c r="E43" i="12"/>
  <c r="E43" i="20"/>
  <c r="D43" i="71"/>
  <c r="E43" i="58"/>
  <c r="E43" i="57"/>
  <c r="F43" i="82"/>
  <c r="F43" i="35"/>
  <c r="E43" i="50"/>
  <c r="F43" i="68"/>
  <c r="D43" i="47"/>
  <c r="D43" i="76"/>
  <c r="F42" i="90"/>
  <c r="F43" s="1"/>
  <c r="E42" i="62"/>
  <c r="E43" s="1"/>
  <c r="F43" i="97"/>
  <c r="D43" i="68"/>
  <c r="F43" i="51"/>
  <c r="E43" i="88"/>
  <c r="E43" i="46"/>
  <c r="F43" i="42"/>
  <c r="E43" i="77"/>
  <c r="D43" i="85"/>
  <c r="D43" i="58"/>
  <c r="F43" i="53"/>
  <c r="F43" i="21"/>
  <c r="F43" i="29"/>
  <c r="E43" i="55"/>
  <c r="E43" i="70"/>
  <c r="E43" i="93"/>
  <c r="F43" i="91"/>
  <c r="F43" i="14"/>
  <c r="F43" i="86"/>
  <c r="E43" i="28"/>
  <c r="F43" i="12"/>
</calcChain>
</file>

<file path=xl/sharedStrings.xml><?xml version="1.0" encoding="utf-8"?>
<sst xmlns="http://schemas.openxmlformats.org/spreadsheetml/2006/main" count="7635" uniqueCount="263">
  <si>
    <t xml:space="preserve">Розрахунок ціни на послугу з управління багатоквартирним будинком </t>
  </si>
  <si>
    <t>та перелік складових послуги</t>
  </si>
  <si>
    <t>Назва вулиці (проспекту, бульвару, тощо) та номер будинку</t>
  </si>
  <si>
    <t>№ п/п</t>
  </si>
  <si>
    <t>Складова послуги</t>
  </si>
  <si>
    <t>Гривень за кв. метр загальної площі житлового або нежитлового приміщення</t>
  </si>
  <si>
    <r>
      <t>Утримання спільного майна багатоквартирного будинку та прибудинкової території, в тому числі:</t>
    </r>
    <r>
      <rPr>
        <u/>
        <sz val="14"/>
        <color indexed="8"/>
        <rFont val="Times New Roman"/>
        <family val="1"/>
        <charset val="204"/>
      </rPr>
      <t xml:space="preserve"> </t>
    </r>
  </si>
  <si>
    <t>1.1.</t>
  </si>
  <si>
    <t xml:space="preserve">Прибирання прибудинкової території; </t>
  </si>
  <si>
    <t>1.2.</t>
  </si>
  <si>
    <t>Прибирання сходових кліток</t>
  </si>
  <si>
    <t>1.3.</t>
  </si>
  <si>
    <r>
      <t>Вивезення побутових відходів</t>
    </r>
    <r>
      <rPr>
        <sz val="14"/>
        <color indexed="8"/>
        <rFont val="Times New Roman"/>
        <family val="1"/>
        <charset val="204"/>
      </rPr>
      <t xml:space="preserve"> (збирання, зберігання, перевезення та захоронення).</t>
    </r>
  </si>
  <si>
    <t>1.4.</t>
  </si>
  <si>
    <t>Прибирання підвалів,  технічних поверхів та покрівлі;</t>
  </si>
  <si>
    <t>1.5.</t>
  </si>
  <si>
    <t>Технічне обслуговування ліфтів;</t>
  </si>
  <si>
    <t>1.6.</t>
  </si>
  <si>
    <t>Обслуговування систем диспетчеризації</t>
  </si>
  <si>
    <t>1.7.</t>
  </si>
  <si>
    <t>Технічне обслуговування внутрішньобудинкових систем:</t>
  </si>
  <si>
    <t>- гарячого водопостачання;</t>
  </si>
  <si>
    <t xml:space="preserve">- холодного водопостачання; </t>
  </si>
  <si>
    <t xml:space="preserve">- водовідведення; </t>
  </si>
  <si>
    <t xml:space="preserve">- теплопостачання; </t>
  </si>
  <si>
    <t>- зливової каналізації;</t>
  </si>
  <si>
    <t>- ліквідація аварій у внутрішньоквартирних  мережах</t>
  </si>
  <si>
    <t>1.8.</t>
  </si>
  <si>
    <t>Дератизація</t>
  </si>
  <si>
    <t>1.9.</t>
  </si>
  <si>
    <t>Дезінсекція</t>
  </si>
  <si>
    <t>1.10.</t>
  </si>
  <si>
    <t>Обслуговування димових та вентиляційних каналів</t>
  </si>
  <si>
    <t>1.11.</t>
  </si>
  <si>
    <t>Прибирання і вивезення снігу, посипання призначеної для проходу та проїзду частини прибудинкової території протиожеледними сумішами</t>
  </si>
  <si>
    <t>2.</t>
  </si>
  <si>
    <t>Поточний ремонт спільного майна багатоквартирного будинку, в тому числі:</t>
  </si>
  <si>
    <t>2.1.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</si>
  <si>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димовидалення;</t>
  </si>
  <si>
    <t>2.2.</t>
  </si>
  <si>
    <t>Поточний ремонт:</t>
  </si>
  <si>
    <t>-  конструктивних елементів;</t>
  </si>
  <si>
    <t>-  внутрішньо будинкових систем:</t>
  </si>
  <si>
    <t>-  гарячого водопостачання;</t>
  </si>
  <si>
    <t>-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</t>
  </si>
  <si>
    <t>3.</t>
  </si>
  <si>
    <t>Оплата послуг стосовно спільного майна багатоквартирного будинку, в тому числі:</t>
  </si>
  <si>
    <t>3.1.</t>
  </si>
  <si>
    <t>Експлуатація номерних знаків</t>
  </si>
  <si>
    <t>3.2.</t>
  </si>
  <si>
    <t>Освітлення місць загального користування і підвалів та підкачування води.</t>
  </si>
  <si>
    <t>3.3.</t>
  </si>
  <si>
    <t>Енергопостачання ліфтів</t>
  </si>
  <si>
    <t>4.</t>
  </si>
  <si>
    <t>Винагорода управителю</t>
  </si>
  <si>
    <t>5.</t>
  </si>
  <si>
    <t>ПДВ (або єдиний податок)</t>
  </si>
  <si>
    <t>6.</t>
  </si>
  <si>
    <t>РАЗОМ</t>
  </si>
  <si>
    <t>Адреса будинку</t>
  </si>
  <si>
    <t>вул. Д.  Самоквасова</t>
  </si>
  <si>
    <t>вул. Д. Самоквасова</t>
  </si>
  <si>
    <t>вул. Дніпровська</t>
  </si>
  <si>
    <t>вул. Заньковецької</t>
  </si>
  <si>
    <t>вул. Івана Мазепи</t>
  </si>
  <si>
    <t>вул. Попова</t>
  </si>
  <si>
    <t>вул. Текстильникiв</t>
  </si>
  <si>
    <t>вул. Харківська</t>
  </si>
  <si>
    <t>вул. Цiолковського</t>
  </si>
  <si>
    <t>вул. Ціолковського</t>
  </si>
  <si>
    <t>вул. Чудінова</t>
  </si>
  <si>
    <t>пр.Попова</t>
  </si>
  <si>
    <t>пров. Д.  Самоквасова</t>
  </si>
  <si>
    <t>пров. Д. Самоквасова</t>
  </si>
  <si>
    <t>1</t>
  </si>
  <si>
    <t>10</t>
  </si>
  <si>
    <t>11</t>
  </si>
  <si>
    <t>13</t>
  </si>
  <si>
    <t>15</t>
  </si>
  <si>
    <t>16</t>
  </si>
  <si>
    <t>17</t>
  </si>
  <si>
    <t>18</t>
  </si>
  <si>
    <t>19</t>
  </si>
  <si>
    <t>21</t>
  </si>
  <si>
    <t>23</t>
  </si>
  <si>
    <t>3</t>
  </si>
  <si>
    <t>5</t>
  </si>
  <si>
    <t>6</t>
  </si>
  <si>
    <t>6а</t>
  </si>
  <si>
    <t>7</t>
  </si>
  <si>
    <t>7а</t>
  </si>
  <si>
    <t>9</t>
  </si>
  <si>
    <t>68</t>
  </si>
  <si>
    <t>68а</t>
  </si>
  <si>
    <t>68б</t>
  </si>
  <si>
    <t>72а</t>
  </si>
  <si>
    <t>78а</t>
  </si>
  <si>
    <t>19/2</t>
  </si>
  <si>
    <t>29а</t>
  </si>
  <si>
    <t>31a</t>
  </si>
  <si>
    <t>31б</t>
  </si>
  <si>
    <t>31в</t>
  </si>
  <si>
    <t>11а</t>
  </si>
  <si>
    <t>11б</t>
  </si>
  <si>
    <t>12</t>
  </si>
  <si>
    <t>14</t>
  </si>
  <si>
    <t>15а</t>
  </si>
  <si>
    <t>17/43</t>
  </si>
  <si>
    <t>20</t>
  </si>
  <si>
    <t>22</t>
  </si>
  <si>
    <t>24</t>
  </si>
  <si>
    <t>24а</t>
  </si>
  <si>
    <t>25а</t>
  </si>
  <si>
    <t>31</t>
  </si>
  <si>
    <t>33</t>
  </si>
  <si>
    <t>34</t>
  </si>
  <si>
    <t>39</t>
  </si>
  <si>
    <t>4</t>
  </si>
  <si>
    <t>41</t>
  </si>
  <si>
    <t>8</t>
  </si>
  <si>
    <t>9а</t>
  </si>
  <si>
    <t>2</t>
  </si>
  <si>
    <t>Тариф для квартир першого поверху</t>
  </si>
  <si>
    <t>Тариф для квартир другого і вище поверхів</t>
  </si>
  <si>
    <t>Тариф для нежитлових приміщень з окремим входом</t>
  </si>
  <si>
    <t>Тариф для нежитлових приміщень без окремого входу</t>
  </si>
  <si>
    <t>1, Прибирання сходових кліток</t>
  </si>
  <si>
    <t>2, Прибирання прибудинкової території</t>
  </si>
  <si>
    <t>3, Вивезення  побутових  відходів (збирання, зберігання, перевезення, перероблення, утилізація, знешкодження та захоронення)</t>
  </si>
  <si>
    <t>4, Прибирання підваліу, технічних поверхів та покрівлі</t>
  </si>
  <si>
    <t>5, Технічне обслуговування ліфтів</t>
  </si>
  <si>
    <t>6, Обслуговування систем диспетчеризації</t>
  </si>
  <si>
    <t>7, Технічне обслуговування внутнішньобудинкових систем: гарячого водопостачання; холодного водопостачання; водовідведення; теплопостачання; зливової каналізації,</t>
  </si>
  <si>
    <t>8, Дератизація</t>
  </si>
  <si>
    <t>9, Дезінсекція</t>
  </si>
  <si>
    <t>10, Обслуговування димових та вентиляційних каналів</t>
  </si>
  <si>
    <t>11, Технічне обслуговування та поточного ремонту мереж електропостачання та електрообладнання, систем протипожежної автоматики та димовидалення</t>
  </si>
  <si>
    <t>13, Поточний ремонт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</t>
  </si>
  <si>
    <t>17, Прибирання і вивезення снігу, посипання частини прибудинкової території, призначеної для проходу та проїзду, протиожеледними сумішами</t>
  </si>
  <si>
    <t>18, Експлуатація номерних знаків на будинках</t>
  </si>
  <si>
    <t>20, Освітлення місць загального користування і підвалів та підкачування води</t>
  </si>
  <si>
    <t>21, Енергопостачання ліфтів</t>
  </si>
  <si>
    <t>Діючий тариф будинку, грн з ПДВ/м2</t>
  </si>
  <si>
    <r>
      <t>Вивезення побутових відходів</t>
    </r>
    <r>
      <rPr>
        <sz val="14"/>
        <color indexed="8"/>
        <rFont val="Times New Roman"/>
        <family val="1"/>
        <charset val="204"/>
      </rPr>
      <t xml:space="preserve"> (збирання, зберігання, перевезення та захоронення).</t>
    </r>
  </si>
  <si>
    <t>для квартир другого і вище поверхів</t>
  </si>
  <si>
    <t>для квартир першого поверху</t>
  </si>
  <si>
    <t>для нежитлових приміщень з окремим входом</t>
  </si>
  <si>
    <t>для нежитлових приміщень без окремого входу</t>
  </si>
  <si>
    <r>
      <t>Утримання спільного майна багатоквартирного будинку та прибудинкової території, в тому числі:</t>
    </r>
    <r>
      <rPr>
        <b/>
        <i/>
        <u/>
        <sz val="14"/>
        <color indexed="8"/>
        <rFont val="Times New Roman"/>
        <family val="1"/>
        <charset val="204"/>
      </rPr>
      <t xml:space="preserve"> </t>
    </r>
  </si>
  <si>
    <t>Вивезення побутових відходів (збирання, зберігання, перевезення та захоронення).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</si>
  <si>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</si>
  <si>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</si>
  <si>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</si>
  <si>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</si>
  <si>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</si>
  <si>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</si>
  <si>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</si>
  <si>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</si>
  <si>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</si>
  <si>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</si>
  <si>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</si>
  <si>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</si>
  <si>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</si>
  <si>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</si>
  <si>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</si>
  <si>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</si>
  <si>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</si>
  <si>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</si>
  <si>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</si>
  <si>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</si>
  <si>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</si>
  <si>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</si>
  <si>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</si>
  <si>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</si>
  <si>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</si>
  <si>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</si>
  <si>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</si>
  <si>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</si>
  <si>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</si>
  <si>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</si>
  <si>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</si>
  <si>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</si>
  <si>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</si>
  <si>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</si>
  <si>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</si>
  <si>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</si>
  <si>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</si>
  <si>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</si>
  <si>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</si>
  <si>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</si>
  <si>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</si>
  <si>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</si>
  <si>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</si>
  <si>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</si>
  <si>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</si>
  <si>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</si>
  <si>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</si>
  <si>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</si>
  <si>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</si>
  <si>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</si>
  <si>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</si>
  <si>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</si>
  <si>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</si>
  <si>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</si>
  <si>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</si>
  <si>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</si>
  <si>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</si>
  <si>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</si>
  <si>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</si>
  <si>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</si>
  <si>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</si>
  <si>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</si>
  <si>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</si>
  <si>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</si>
  <si>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</si>
  <si>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</si>
  <si>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</si>
  <si>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</si>
  <si>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</si>
  <si>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</si>
  <si>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</si>
  <si>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</si>
  <si>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</si>
  <si>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</si>
  <si>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</si>
  <si>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</si>
  <si>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</si>
  <si>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</si>
  <si>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</si>
  <si>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</si>
  <si>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</si>
  <si>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</si>
  <si>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</si>
  <si>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</si>
  <si>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</si>
  <si>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</si>
  <si>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</si>
  <si>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</si>
  <si>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</si>
  <si>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</si>
  <si>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</si>
  <si>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</si>
  <si>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</si>
  <si>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</si>
  <si>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</si>
  <si>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номер будинку</t>
  </si>
  <si>
    <t xml:space="preserve">Директор </t>
  </si>
  <si>
    <t>ціни на послугу з управління багатоквартирним будинком  та перелік складових послуги</t>
  </si>
  <si>
    <t>грн. з ПДВ</t>
  </si>
  <si>
    <t>РАЗОМ, грн. з ПДВ</t>
  </si>
  <si>
    <t xml:space="preserve">Розрахунок вартості надання послуги з управління на кожний багатоквартирний будинок </t>
  </si>
  <si>
    <t>С. М. Мінін</t>
  </si>
  <si>
    <r>
      <t>Утримання спільного майна багатоквартирного будинку та прибудинкової території, в тому числі:</t>
    </r>
    <r>
      <rPr>
        <u/>
        <sz val="16"/>
        <color indexed="8"/>
        <rFont val="Times New Roman"/>
        <family val="1"/>
        <charset val="204"/>
      </rPr>
      <t xml:space="preserve"> </t>
    </r>
  </si>
  <si>
    <t>ДОДАТОК</t>
  </si>
  <si>
    <t>до рішення виконавчого комітету</t>
  </si>
  <si>
    <t>Чернігівської міської ради</t>
  </si>
  <si>
    <t>"______"</t>
  </si>
  <si>
    <t>2017 року</t>
  </si>
  <si>
    <t>№ ______</t>
  </si>
  <si>
    <t>_______________________</t>
  </si>
  <si>
    <r>
      <t>грн./м</t>
    </r>
    <r>
      <rPr>
        <u/>
        <sz val="14"/>
        <color theme="1"/>
        <rFont val="Calibri"/>
        <family val="2"/>
        <charset val="204"/>
      </rPr>
      <t>²</t>
    </r>
    <r>
      <rPr>
        <u/>
        <sz val="9.8000000000000007"/>
        <color theme="1"/>
        <rFont val="Calibri"/>
        <family val="2"/>
        <charset val="204"/>
      </rPr>
      <t xml:space="preserve"> </t>
    </r>
    <r>
      <rPr>
        <u/>
        <sz val="12"/>
        <color theme="1"/>
        <rFont val="Calibri"/>
        <family val="2"/>
        <charset val="204"/>
      </rPr>
      <t>(з ПДВ)</t>
    </r>
  </si>
  <si>
    <t>Секретар міської ради</t>
  </si>
  <si>
    <t>М. П. Черненок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</si>
</sst>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3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</font>
    <font>
      <sz val="18"/>
      <color theme="1"/>
      <name val="Verdana"/>
      <family val="2"/>
      <charset val="204"/>
    </font>
    <font>
      <i/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</font>
    <font>
      <b/>
      <sz val="16"/>
      <color indexed="8"/>
      <name val="Calibri"/>
      <family val="2"/>
      <charset val="204"/>
    </font>
    <font>
      <u/>
      <sz val="16"/>
      <color indexed="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i/>
      <sz val="16"/>
      <color indexed="8"/>
      <name val="Calibri"/>
      <family val="2"/>
      <charset val="204"/>
    </font>
    <font>
      <sz val="2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</font>
    <font>
      <u/>
      <sz val="9.8000000000000007"/>
      <color theme="1"/>
      <name val="Calibri"/>
      <family val="2"/>
      <charset val="204"/>
    </font>
    <font>
      <u/>
      <sz val="12"/>
      <color theme="1"/>
      <name val="Calibri"/>
      <family val="2"/>
      <charset val="204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0" xfId="0" applyFont="1"/>
    <xf numFmtId="0" fontId="10" fillId="0" borderId="0" xfId="0" applyFont="1"/>
    <xf numFmtId="0" fontId="8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13" fillId="0" borderId="0" xfId="0" applyFont="1"/>
    <xf numFmtId="0" fontId="4" fillId="0" borderId="13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165" fontId="0" fillId="0" borderId="0" xfId="0" applyNumberFormat="1"/>
    <xf numFmtId="0" fontId="0" fillId="3" borderId="0" xfId="0" applyFill="1"/>
    <xf numFmtId="164" fontId="4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/>
    <xf numFmtId="0" fontId="16" fillId="0" borderId="0" xfId="0" applyFont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164" fontId="15" fillId="0" borderId="0" xfId="0" applyNumberFormat="1" applyFont="1" applyBorder="1"/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justify" vertical="center" shrinkToFit="1"/>
    </xf>
    <xf numFmtId="0" fontId="4" fillId="2" borderId="37" xfId="0" applyFont="1" applyFill="1" applyBorder="1" applyAlignment="1">
      <alignment horizontal="justify" vertical="center" shrinkToFit="1"/>
    </xf>
    <xf numFmtId="0" fontId="4" fillId="2" borderId="15" xfId="0" applyFont="1" applyFill="1" applyBorder="1" applyAlignment="1">
      <alignment horizontal="justify" vertical="center" shrinkToFit="1"/>
    </xf>
    <xf numFmtId="0" fontId="4" fillId="2" borderId="15" xfId="0" applyFont="1" applyFill="1" applyBorder="1" applyAlignment="1">
      <alignment shrinkToFit="1"/>
    </xf>
    <xf numFmtId="0" fontId="4" fillId="2" borderId="30" xfId="0" applyFont="1" applyFill="1" applyBorder="1" applyAlignment="1">
      <alignment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vertical="center" shrinkToFit="1"/>
    </xf>
    <xf numFmtId="0" fontId="4" fillId="0" borderId="10" xfId="0" applyFont="1" applyBorder="1" applyAlignment="1">
      <alignment horizontal="center" vertical="center" shrinkToFit="1"/>
    </xf>
    <xf numFmtId="164" fontId="4" fillId="0" borderId="10" xfId="0" applyNumberFormat="1" applyFont="1" applyBorder="1" applyAlignment="1">
      <alignment shrinkToFit="1"/>
    </xf>
    <xf numFmtId="164" fontId="4" fillId="0" borderId="27" xfId="0" applyNumberFormat="1" applyFont="1" applyBorder="1" applyAlignment="1">
      <alignment shrinkToFit="1"/>
    </xf>
    <xf numFmtId="0" fontId="4" fillId="0" borderId="10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64" fontId="4" fillId="0" borderId="14" xfId="0" applyNumberFormat="1" applyFont="1" applyBorder="1" applyAlignment="1">
      <alignment horizontal="center" vertical="center" shrinkToFit="1"/>
    </xf>
    <xf numFmtId="164" fontId="4" fillId="0" borderId="28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shrinkToFit="1"/>
    </xf>
    <xf numFmtId="0" fontId="0" fillId="0" borderId="29" xfId="0" applyBorder="1" applyAlignment="1">
      <alignment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shrinkToFit="1"/>
    </xf>
    <xf numFmtId="0" fontId="0" fillId="0" borderId="30" xfId="0" applyBorder="1" applyAlignment="1">
      <alignment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vertical="center" shrinkToFit="1"/>
    </xf>
    <xf numFmtId="0" fontId="4" fillId="2" borderId="38" xfId="0" applyFont="1" applyFill="1" applyBorder="1" applyAlignment="1">
      <alignment vertical="center" shrinkToFit="1"/>
    </xf>
    <xf numFmtId="164" fontId="4" fillId="2" borderId="10" xfId="0" applyNumberFormat="1" applyFont="1" applyFill="1" applyBorder="1" applyAlignment="1">
      <alignment shrinkToFit="1"/>
    </xf>
    <xf numFmtId="164" fontId="4" fillId="2" borderId="27" xfId="0" applyNumberFormat="1" applyFont="1" applyFill="1" applyBorder="1" applyAlignment="1">
      <alignment shrinkToFit="1"/>
    </xf>
    <xf numFmtId="0" fontId="4" fillId="2" borderId="16" xfId="0" applyFont="1" applyFill="1" applyBorder="1" applyAlignment="1">
      <alignment horizontal="justify" vertical="center" shrinkToFit="1"/>
    </xf>
    <xf numFmtId="0" fontId="4" fillId="2" borderId="38" xfId="0" applyFont="1" applyFill="1" applyBorder="1" applyAlignment="1">
      <alignment horizontal="justify" vertical="center" shrinkToFit="1"/>
    </xf>
    <xf numFmtId="0" fontId="4" fillId="2" borderId="10" xfId="0" applyFont="1" applyFill="1" applyBorder="1" applyAlignment="1">
      <alignment horizontal="justify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justify" vertical="center" shrinkToFit="1"/>
    </xf>
    <xf numFmtId="0" fontId="2" fillId="2" borderId="33" xfId="0" applyFont="1" applyFill="1" applyBorder="1" applyAlignment="1">
      <alignment horizontal="center" vertical="center" shrinkToFit="1"/>
    </xf>
    <xf numFmtId="164" fontId="2" fillId="2" borderId="33" xfId="0" applyNumberFormat="1" applyFont="1" applyFill="1" applyBorder="1" applyAlignment="1">
      <alignment shrinkToFit="1"/>
    </xf>
    <xf numFmtId="164" fontId="2" fillId="2" borderId="34" xfId="0" applyNumberFormat="1" applyFont="1" applyFill="1" applyBorder="1" applyAlignment="1">
      <alignment shrinkToFit="1"/>
    </xf>
    <xf numFmtId="0" fontId="4" fillId="0" borderId="35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0" fontId="4" fillId="0" borderId="29" xfId="0" applyFont="1" applyBorder="1" applyAlignment="1">
      <alignment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justify" vertical="center" shrinkToFit="1"/>
    </xf>
    <xf numFmtId="0" fontId="15" fillId="0" borderId="37" xfId="0" applyFont="1" applyBorder="1" applyAlignment="1">
      <alignment horizontal="justify" vertical="center" shrinkToFit="1"/>
    </xf>
    <xf numFmtId="164" fontId="15" fillId="0" borderId="12" xfId="0" applyNumberFormat="1" applyFont="1" applyBorder="1" applyAlignment="1">
      <alignment shrinkToFit="1"/>
    </xf>
    <xf numFmtId="164" fontId="15" fillId="0" borderId="25" xfId="0" applyNumberFormat="1" applyFont="1" applyBorder="1" applyAlignment="1">
      <alignment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justify" vertical="center" shrinkToFit="1"/>
    </xf>
    <xf numFmtId="164" fontId="15" fillId="0" borderId="10" xfId="0" applyNumberFormat="1" applyFont="1" applyBorder="1" applyAlignment="1">
      <alignment shrinkToFit="1"/>
    </xf>
    <xf numFmtId="164" fontId="15" fillId="0" borderId="27" xfId="0" applyNumberFormat="1" applyFont="1" applyBorder="1" applyAlignment="1">
      <alignment shrinkToFit="1"/>
    </xf>
    <xf numFmtId="0" fontId="15" fillId="0" borderId="16" xfId="0" applyFont="1" applyBorder="1" applyAlignment="1">
      <alignment horizontal="justify" vertical="center" shrinkToFit="1"/>
    </xf>
    <xf numFmtId="0" fontId="15" fillId="0" borderId="38" xfId="0" applyFont="1" applyBorder="1" applyAlignment="1">
      <alignment horizontal="justify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justify" vertical="center" shrinkToFit="1"/>
    </xf>
    <xf numFmtId="0" fontId="15" fillId="0" borderId="40" xfId="0" applyFont="1" applyBorder="1" applyAlignment="1">
      <alignment horizontal="justify" vertical="center" shrinkToFit="1"/>
    </xf>
    <xf numFmtId="164" fontId="15" fillId="0" borderId="33" xfId="0" applyNumberFormat="1" applyFont="1" applyBorder="1" applyAlignment="1">
      <alignment shrinkToFit="1"/>
    </xf>
    <xf numFmtId="164" fontId="15" fillId="0" borderId="34" xfId="0" applyNumberFormat="1" applyFont="1" applyBorder="1" applyAlignment="1">
      <alignment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justify" vertical="center" shrinkToFit="1"/>
    </xf>
    <xf numFmtId="164" fontId="15" fillId="0" borderId="0" xfId="0" applyNumberFormat="1" applyFont="1" applyBorder="1" applyAlignment="1">
      <alignment shrinkToFit="1"/>
    </xf>
    <xf numFmtId="0" fontId="17" fillId="0" borderId="0" xfId="0" applyFont="1" applyAlignment="1">
      <alignment shrinkToFit="1"/>
    </xf>
    <xf numFmtId="0" fontId="11" fillId="0" borderId="0" xfId="0" applyFont="1" applyAlignment="1">
      <alignment horizontal="left" vertical="center" shrinkToFit="1"/>
    </xf>
    <xf numFmtId="0" fontId="17" fillId="0" borderId="0" xfId="0" applyFont="1"/>
    <xf numFmtId="0" fontId="12" fillId="0" borderId="0" xfId="0" applyFont="1" applyAlignment="1">
      <alignment horizontal="center" vertical="center" shrinkToFit="1"/>
    </xf>
    <xf numFmtId="0" fontId="18" fillId="0" borderId="0" xfId="0" applyFont="1" applyAlignment="1">
      <alignment shrinkToFit="1"/>
    </xf>
    <xf numFmtId="0" fontId="12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19" fillId="0" borderId="0" xfId="0" applyNumberFormat="1" applyFont="1"/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justify" vertical="center" wrapText="1"/>
    </xf>
    <xf numFmtId="0" fontId="12" fillId="2" borderId="15" xfId="0" applyFont="1" applyFill="1" applyBorder="1" applyAlignment="1">
      <alignment horizontal="justify" vertical="center" wrapText="1"/>
    </xf>
    <xf numFmtId="0" fontId="12" fillId="2" borderId="15" xfId="0" applyFont="1" applyFill="1" applyBorder="1"/>
    <xf numFmtId="0" fontId="12" fillId="2" borderId="30" xfId="0" applyFont="1" applyFill="1" applyBorder="1"/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/>
    <xf numFmtId="164" fontId="12" fillId="0" borderId="27" xfId="0" applyNumberFormat="1" applyFont="1" applyBorder="1"/>
    <xf numFmtId="164" fontId="17" fillId="0" borderId="0" xfId="0" applyNumberFormat="1" applyFont="1"/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164" fontId="12" fillId="2" borderId="10" xfId="0" applyNumberFormat="1" applyFont="1" applyFill="1" applyBorder="1"/>
    <xf numFmtId="164" fontId="12" fillId="2" borderId="27" xfId="0" applyNumberFormat="1" applyFont="1" applyFill="1" applyBorder="1"/>
    <xf numFmtId="0" fontId="12" fillId="2" borderId="10" xfId="0" applyFont="1" applyFill="1" applyBorder="1" applyAlignment="1">
      <alignment horizontal="justify" vertical="center" wrapText="1"/>
    </xf>
    <xf numFmtId="0" fontId="12" fillId="2" borderId="10" xfId="0" applyFont="1" applyFill="1" applyBorder="1" applyAlignment="1">
      <alignment horizontal="justify" vertical="center" wrapText="1"/>
    </xf>
    <xf numFmtId="0" fontId="12" fillId="2" borderId="10" xfId="0" applyFont="1" applyFill="1" applyBorder="1" applyAlignment="1">
      <alignment horizontal="center" vertical="center" wrapText="1"/>
    </xf>
    <xf numFmtId="164" fontId="12" fillId="2" borderId="0" xfId="0" applyNumberFormat="1" applyFont="1" applyFill="1" applyBorder="1"/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justify" vertical="center" wrapText="1"/>
    </xf>
    <xf numFmtId="0" fontId="11" fillId="2" borderId="33" xfId="0" applyFont="1" applyFill="1" applyBorder="1" applyAlignment="1">
      <alignment horizontal="center" vertical="center" wrapText="1"/>
    </xf>
    <xf numFmtId="164" fontId="11" fillId="2" borderId="33" xfId="0" applyNumberFormat="1" applyFont="1" applyFill="1" applyBorder="1"/>
    <xf numFmtId="164" fontId="11" fillId="2" borderId="34" xfId="0" applyNumberFormat="1" applyFont="1" applyFill="1" applyBorder="1"/>
    <xf numFmtId="0" fontId="19" fillId="0" borderId="0" xfId="0" applyFont="1"/>
    <xf numFmtId="0" fontId="12" fillId="0" borderId="35" xfId="0" applyFont="1" applyBorder="1"/>
    <xf numFmtId="0" fontId="12" fillId="0" borderId="22" xfId="0" applyFont="1" applyBorder="1"/>
    <xf numFmtId="0" fontId="12" fillId="0" borderId="29" xfId="0" applyFont="1" applyBorder="1"/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164" fontId="21" fillId="0" borderId="12" xfId="0" applyNumberFormat="1" applyFont="1" applyBorder="1"/>
    <xf numFmtId="164" fontId="21" fillId="0" borderId="25" xfId="0" applyNumberFormat="1" applyFont="1" applyBorder="1"/>
    <xf numFmtId="164" fontId="22" fillId="0" borderId="0" xfId="0" applyNumberFormat="1" applyFont="1"/>
    <xf numFmtId="0" fontId="22" fillId="0" borderId="0" xfId="0" applyFont="1"/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164" fontId="21" fillId="0" borderId="10" xfId="0" applyNumberFormat="1" applyFont="1" applyBorder="1"/>
    <xf numFmtId="164" fontId="21" fillId="0" borderId="27" xfId="0" applyNumberFormat="1" applyFont="1" applyBorder="1"/>
    <xf numFmtId="0" fontId="21" fillId="0" borderId="10" xfId="0" applyFont="1" applyBorder="1" applyAlignment="1">
      <alignment horizontal="justify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justify" vertical="center" wrapText="1"/>
    </xf>
    <xf numFmtId="164" fontId="21" fillId="0" borderId="33" xfId="0" applyNumberFormat="1" applyFont="1" applyBorder="1"/>
    <xf numFmtId="164" fontId="21" fillId="0" borderId="34" xfId="0" applyNumberFormat="1" applyFont="1" applyBorder="1"/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6" fillId="0" borderId="0" xfId="0" applyFont="1"/>
    <xf numFmtId="0" fontId="30" fillId="0" borderId="0" xfId="0" applyFont="1"/>
    <xf numFmtId="0" fontId="23" fillId="0" borderId="0" xfId="0" applyFont="1"/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40" workbookViewId="0">
      <selection activeCell="D53" sqref="D53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(Форма)'!CT10&amp;", "&amp;'Управителю (Форма)'!CT11</f>
        <v>пров. Д. Самоквасова, 6</v>
      </c>
      <c r="B4" s="167"/>
      <c r="C4" s="167"/>
      <c r="D4" s="167"/>
      <c r="E4" s="167"/>
      <c r="F4" s="167"/>
    </row>
    <row r="5" spans="1:6" ht="19.5" thickBot="1">
      <c r="A5" s="4"/>
    </row>
    <row r="6" spans="1:6" s="62" customFormat="1" ht="32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50" t="s">
        <v>7</v>
      </c>
      <c r="B9" s="20" t="s">
        <v>8</v>
      </c>
      <c r="C9" s="51">
        <f>'Управителю (Форма)'!CT13</f>
        <v>3.5000000000000003E-2</v>
      </c>
      <c r="D9" s="51">
        <f>C9</f>
        <v>3.5000000000000003E-2</v>
      </c>
      <c r="E9" s="51">
        <f>C9</f>
        <v>3.5000000000000003E-2</v>
      </c>
      <c r="F9" s="55">
        <f>C9</f>
        <v>3.5000000000000003E-2</v>
      </c>
    </row>
    <row r="10" spans="1:6" ht="18.75">
      <c r="A10" s="50" t="s">
        <v>9</v>
      </c>
      <c r="B10" s="21" t="s">
        <v>10</v>
      </c>
      <c r="C10" s="51">
        <f>'Управителю (Форма)'!CT14</f>
        <v>0</v>
      </c>
      <c r="D10" s="51">
        <f t="shared" ref="D10:D25" si="0">C10</f>
        <v>0</v>
      </c>
      <c r="E10" s="51"/>
      <c r="F10" s="55">
        <f t="shared" ref="F10:F25" si="1">C10</f>
        <v>0</v>
      </c>
    </row>
    <row r="11" spans="1:6" ht="37.5">
      <c r="A11" s="50" t="s">
        <v>11</v>
      </c>
      <c r="B11" s="21" t="s">
        <v>12</v>
      </c>
      <c r="C11" s="51">
        <f>'Управителю (Форма)'!CT15</f>
        <v>0.57299999999999995</v>
      </c>
      <c r="D11" s="51">
        <f t="shared" si="0"/>
        <v>0.57299999999999995</v>
      </c>
      <c r="E11" s="51"/>
      <c r="F11" s="55"/>
    </row>
    <row r="12" spans="1:6" ht="37.5">
      <c r="A12" s="50" t="s">
        <v>13</v>
      </c>
      <c r="B12" s="20" t="s">
        <v>14</v>
      </c>
      <c r="C12" s="51">
        <f>'Управителю (Форма)'!CT16</f>
        <v>0</v>
      </c>
      <c r="D12" s="51">
        <f t="shared" si="0"/>
        <v>0</v>
      </c>
      <c r="E12" s="51">
        <f t="shared" ref="E12:E25" si="2">C12</f>
        <v>0</v>
      </c>
      <c r="F12" s="55">
        <f t="shared" si="1"/>
        <v>0</v>
      </c>
    </row>
    <row r="13" spans="1:6" ht="18.75">
      <c r="A13" s="50" t="s">
        <v>15</v>
      </c>
      <c r="B13" s="21" t="s">
        <v>16</v>
      </c>
      <c r="C13" s="51"/>
      <c r="D13" s="51">
        <f t="shared" si="0"/>
        <v>0</v>
      </c>
      <c r="E13" s="51"/>
      <c r="F13" s="55"/>
    </row>
    <row r="14" spans="1:6" ht="18.75">
      <c r="A14" s="50" t="s">
        <v>17</v>
      </c>
      <c r="B14" s="21" t="s">
        <v>18</v>
      </c>
      <c r="C14" s="51"/>
      <c r="D14" s="51">
        <f t="shared" si="0"/>
        <v>0</v>
      </c>
      <c r="E14" s="51"/>
      <c r="F14" s="55"/>
    </row>
    <row r="15" spans="1:6" ht="37.5">
      <c r="A15" s="155" t="s">
        <v>19</v>
      </c>
      <c r="B15" s="23" t="s">
        <v>20</v>
      </c>
      <c r="C15" s="161">
        <f>'Управителю (Форма)'!CT19</f>
        <v>0.11799999999999999</v>
      </c>
      <c r="D15" s="161">
        <f t="shared" si="0"/>
        <v>0.11799999999999999</v>
      </c>
      <c r="E15" s="161">
        <f t="shared" si="2"/>
        <v>0.11799999999999999</v>
      </c>
      <c r="F15" s="164">
        <f t="shared" si="1"/>
        <v>0.11799999999999999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5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5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5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5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5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6">
        <f t="shared" si="1"/>
        <v>0</v>
      </c>
    </row>
    <row r="22" spans="1:6" ht="18.75">
      <c r="A22" s="50" t="s">
        <v>27</v>
      </c>
      <c r="B22" s="21" t="s">
        <v>28</v>
      </c>
      <c r="C22" s="51">
        <f>'Управителю (Форма)'!CT26</f>
        <v>0</v>
      </c>
      <c r="D22" s="51">
        <f t="shared" si="0"/>
        <v>0</v>
      </c>
      <c r="E22" s="51">
        <f t="shared" si="2"/>
        <v>0</v>
      </c>
      <c r="F22" s="55">
        <f t="shared" si="1"/>
        <v>0</v>
      </c>
    </row>
    <row r="23" spans="1:6" ht="18.75">
      <c r="A23" s="50" t="s">
        <v>29</v>
      </c>
      <c r="B23" s="21" t="s">
        <v>30</v>
      </c>
      <c r="C23" s="51">
        <f>'Управителю (Форма)'!CT27</f>
        <v>0</v>
      </c>
      <c r="D23" s="51">
        <f t="shared" si="0"/>
        <v>0</v>
      </c>
      <c r="E23" s="51">
        <f t="shared" si="2"/>
        <v>0</v>
      </c>
      <c r="F23" s="55">
        <f t="shared" si="1"/>
        <v>0</v>
      </c>
    </row>
    <row r="24" spans="1:6" ht="37.5">
      <c r="A24" s="50" t="s">
        <v>31</v>
      </c>
      <c r="B24" s="21" t="s">
        <v>32</v>
      </c>
      <c r="C24" s="51">
        <f>'Управителю (Форма)'!CT28</f>
        <v>1.7000000000000001E-2</v>
      </c>
      <c r="D24" s="51">
        <f t="shared" si="0"/>
        <v>1.7000000000000001E-2</v>
      </c>
      <c r="E24" s="51">
        <f t="shared" si="2"/>
        <v>1.7000000000000001E-2</v>
      </c>
      <c r="F24" s="55">
        <f t="shared" si="1"/>
        <v>1.7000000000000001E-2</v>
      </c>
    </row>
    <row r="25" spans="1:6" ht="75">
      <c r="A25" s="50" t="s">
        <v>33</v>
      </c>
      <c r="B25" s="21" t="s">
        <v>34</v>
      </c>
      <c r="C25" s="51">
        <f>'Управителю (Форма)'!CT29</f>
        <v>2.8000000000000001E-2</v>
      </c>
      <c r="D25" s="51">
        <f t="shared" si="0"/>
        <v>2.8000000000000001E-2</v>
      </c>
      <c r="E25" s="51">
        <f t="shared" si="2"/>
        <v>2.8000000000000001E-2</v>
      </c>
      <c r="F25" s="55">
        <f t="shared" si="1"/>
        <v>2.8000000000000001E-2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50" t="s">
        <v>37</v>
      </c>
      <c r="B27" s="21" t="s">
        <v>38</v>
      </c>
      <c r="C27" s="51">
        <f>'Управителю (Форма)'!CT31</f>
        <v>0</v>
      </c>
      <c r="D27" s="51">
        <f t="shared" ref="D27:D36" si="3">C27</f>
        <v>0</v>
      </c>
      <c r="E27" s="51">
        <f t="shared" ref="E27:E36" si="4">C27</f>
        <v>0</v>
      </c>
      <c r="F27" s="55">
        <f t="shared" ref="F27:F36" si="5">C27</f>
        <v>0</v>
      </c>
    </row>
    <row r="28" spans="1:6" ht="18.75">
      <c r="A28" s="155" t="s">
        <v>39</v>
      </c>
      <c r="B28" s="35" t="s">
        <v>40</v>
      </c>
      <c r="C28" s="156">
        <f>'Управителю (Форма)'!CT32</f>
        <v>0.435</v>
      </c>
      <c r="D28" s="156">
        <f t="shared" si="3"/>
        <v>0.435</v>
      </c>
      <c r="E28" s="156">
        <f t="shared" si="4"/>
        <v>0.435</v>
      </c>
      <c r="F28" s="157">
        <f t="shared" si="5"/>
        <v>0.435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7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7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7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7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7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7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7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7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50" t="s">
        <v>47</v>
      </c>
      <c r="B38" s="20" t="s">
        <v>48</v>
      </c>
      <c r="C38" s="51">
        <f>'Управителю (Форма)'!CT42</f>
        <v>0</v>
      </c>
      <c r="D38" s="51">
        <f>C38</f>
        <v>0</v>
      </c>
      <c r="E38" s="51">
        <f>C38</f>
        <v>0</v>
      </c>
      <c r="F38" s="55">
        <f>C38</f>
        <v>0</v>
      </c>
    </row>
    <row r="39" spans="1:6" ht="37.5">
      <c r="A39" s="50" t="s">
        <v>49</v>
      </c>
      <c r="B39" s="20" t="s">
        <v>50</v>
      </c>
      <c r="C39" s="51">
        <f>'Управителю (Форма)'!CT43</f>
        <v>0.97799999999999998</v>
      </c>
      <c r="D39" s="51">
        <f>C39</f>
        <v>0.97799999999999998</v>
      </c>
      <c r="E39" s="51">
        <f>C39</f>
        <v>0.97799999999999998</v>
      </c>
      <c r="F39" s="55">
        <f>C39</f>
        <v>0.97799999999999998</v>
      </c>
    </row>
    <row r="40" spans="1:6" ht="18.75">
      <c r="A40" s="50" t="s">
        <v>51</v>
      </c>
      <c r="B40" s="20" t="s">
        <v>52</v>
      </c>
      <c r="C40" s="51"/>
      <c r="D40" s="51">
        <f>C40</f>
        <v>0</v>
      </c>
      <c r="E40" s="51"/>
      <c r="F40" s="55"/>
    </row>
    <row r="41" spans="1:6" ht="18.75">
      <c r="A41" s="28" t="s">
        <v>53</v>
      </c>
      <c r="B41" s="52" t="s">
        <v>54</v>
      </c>
      <c r="C41" s="39">
        <f>SUM(C38:C40,C27:C36,C9:C25)*('Управителю (Форма)'!$D$7-1)</f>
        <v>0.371</v>
      </c>
      <c r="D41" s="39">
        <f>SUM(D38:D40,D27:D36,D9:D25)*('Управителю (Форма)'!$D$7-1)</f>
        <v>0.371</v>
      </c>
      <c r="E41" s="39">
        <f>SUM(E38:E40,E27:E36,E9:E25)*('Управителю (Форма)'!$D$7-1)</f>
        <v>0.27400000000000002</v>
      </c>
      <c r="F41" s="56">
        <f>SUM(F38:F40,F27:F36,F9:F25)*('Управителю (Форма)'!$D$7-1)</f>
        <v>0.27400000000000002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0.51100000000000001</v>
      </c>
      <c r="D42" s="40">
        <f>SUM(D38:D41,D27:D36,D9:D25)*0.2</f>
        <v>0.51100000000000001</v>
      </c>
      <c r="E42" s="40">
        <f>SUM(E38:E41,E27:E36,E9:E25)*0.2</f>
        <v>0.377</v>
      </c>
      <c r="F42" s="57">
        <f>SUM(F38:F41,F27:F36,F9:F25)*0.2</f>
        <v>0.377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3.0659999999999998</v>
      </c>
      <c r="D43" s="38">
        <f>SUM(D38:D40,D27:D36,D9:D25)+D41+D42</f>
        <v>3.0659999999999998</v>
      </c>
      <c r="E43" s="38">
        <f>SUM(E38:E40,E27:E36,E9:E25)+E41+E42</f>
        <v>2.262</v>
      </c>
      <c r="F43" s="58">
        <f>SUM(F38:F40,F27:F36,F9:F25)+F41+F42</f>
        <v>2.262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29" workbookViewId="0">
      <selection activeCell="C47" sqref="C47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(Форма)'!CK10&amp;", "&amp;'Управителю (Форма)'!CK11</f>
        <v>вул. Чудінова, 3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(Форма)'!CK13</f>
        <v>1.0569999999999999</v>
      </c>
      <c r="D9" s="46">
        <f>C9</f>
        <v>1.0569999999999999</v>
      </c>
      <c r="E9" s="46">
        <f>C9</f>
        <v>1.0569999999999999</v>
      </c>
      <c r="F9" s="46">
        <f>C9</f>
        <v>1.0569999999999999</v>
      </c>
    </row>
    <row r="10" spans="1:6" ht="18.75">
      <c r="A10" s="45" t="s">
        <v>9</v>
      </c>
      <c r="B10" s="21" t="s">
        <v>10</v>
      </c>
      <c r="C10" s="46">
        <f>'Управителю (Форма)'!CK14</f>
        <v>0.17899999999999999</v>
      </c>
      <c r="D10" s="46">
        <f t="shared" ref="D10:D25" si="0">C10</f>
        <v>0.17899999999999999</v>
      </c>
      <c r="E10" s="46"/>
      <c r="F10" s="46">
        <f t="shared" ref="F10:F25" si="1">C10</f>
        <v>0.17899999999999999</v>
      </c>
    </row>
    <row r="11" spans="1:6" ht="37.5">
      <c r="A11" s="45" t="s">
        <v>11</v>
      </c>
      <c r="B11" s="21" t="s">
        <v>12</v>
      </c>
      <c r="C11" s="46">
        <f>'Управителю (Форма)'!CK15</f>
        <v>0.34699999999999998</v>
      </c>
      <c r="D11" s="46">
        <f t="shared" si="0"/>
        <v>0.34699999999999998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(Форма)'!CK16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(Форма)'!CK19</f>
        <v>0.247</v>
      </c>
      <c r="D15" s="161">
        <f t="shared" si="0"/>
        <v>0.247</v>
      </c>
      <c r="E15" s="161">
        <f t="shared" si="2"/>
        <v>0.247</v>
      </c>
      <c r="F15" s="161">
        <f t="shared" si="1"/>
        <v>0.247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(Форма)'!CK26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(Форма)'!CK27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(Форма)'!CK28</f>
        <v>4.1000000000000002E-2</v>
      </c>
      <c r="D24" s="46">
        <f t="shared" si="0"/>
        <v>4.1000000000000002E-2</v>
      </c>
      <c r="E24" s="46">
        <f t="shared" si="2"/>
        <v>4.1000000000000002E-2</v>
      </c>
      <c r="F24" s="46">
        <f t="shared" si="1"/>
        <v>4.1000000000000002E-2</v>
      </c>
    </row>
    <row r="25" spans="1:6" ht="75">
      <c r="A25" s="45" t="s">
        <v>33</v>
      </c>
      <c r="B25" s="21" t="s">
        <v>34</v>
      </c>
      <c r="C25" s="46">
        <f>'Управителю (Форма)'!CK29</f>
        <v>0.30299999999999999</v>
      </c>
      <c r="D25" s="46">
        <f t="shared" si="0"/>
        <v>0.30299999999999999</v>
      </c>
      <c r="E25" s="46">
        <f t="shared" si="2"/>
        <v>0.30299999999999999</v>
      </c>
      <c r="F25" s="46">
        <f t="shared" si="1"/>
        <v>0.30299999999999999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(Форма)'!CK31</f>
        <v>3.1E-2</v>
      </c>
      <c r="D27" s="46">
        <f t="shared" ref="D27:D36" si="3">C27</f>
        <v>3.1E-2</v>
      </c>
      <c r="E27" s="46">
        <f t="shared" ref="E27:E36" si="4">C27</f>
        <v>3.1E-2</v>
      </c>
      <c r="F27" s="46">
        <f t="shared" ref="F27:F36" si="5">C27</f>
        <v>3.1E-2</v>
      </c>
    </row>
    <row r="28" spans="1:6" ht="18.75">
      <c r="A28" s="155" t="s">
        <v>39</v>
      </c>
      <c r="B28" s="35" t="s">
        <v>40</v>
      </c>
      <c r="C28" s="156">
        <f>'Управителю (Форма)'!CK32</f>
        <v>0.25900000000000001</v>
      </c>
      <c r="D28" s="156">
        <f t="shared" si="3"/>
        <v>0.25900000000000001</v>
      </c>
      <c r="E28" s="156">
        <f t="shared" si="4"/>
        <v>0.25900000000000001</v>
      </c>
      <c r="F28" s="156">
        <f t="shared" si="5"/>
        <v>0.25900000000000001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(Форма)'!CK42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(Форма)'!CK43</f>
        <v>0.30299999999999999</v>
      </c>
      <c r="D39" s="46">
        <f>C39</f>
        <v>0.30299999999999999</v>
      </c>
      <c r="E39" s="46">
        <f>C39</f>
        <v>0.30299999999999999</v>
      </c>
      <c r="F39" s="46">
        <f>C39</f>
        <v>0.30299999999999999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0.47099999999999997</v>
      </c>
      <c r="D41" s="39">
        <f>SUM(D38:D40,D27:D36,D9:D25)*('Управителю (Форма)'!$D$7-1)</f>
        <v>0.47099999999999997</v>
      </c>
      <c r="E41" s="39">
        <f>SUM(E38:E40,E27:E36,E9:E25)*('Управителю (Форма)'!$D$7-1)</f>
        <v>0.38100000000000001</v>
      </c>
      <c r="F41" s="39">
        <f>SUM(F38:F40,F27:F36,F9:F25)*('Управителю (Форма)'!$D$7-1)</f>
        <v>0.41199999999999998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0.64800000000000002</v>
      </c>
      <c r="D42" s="40">
        <f>SUM(D38:D41,D27:D36,D9:D25)*0.2</f>
        <v>0.64800000000000002</v>
      </c>
      <c r="E42" s="40">
        <f>SUM(E38:E41,E27:E36,E9:E25)*0.2</f>
        <v>0.52500000000000002</v>
      </c>
      <c r="F42" s="40">
        <f>SUM(F38:F41,F27:F36,F9:F25)*0.2</f>
        <v>0.56699999999999995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3.887</v>
      </c>
      <c r="D43" s="38">
        <f>SUM(D38:D40,D27:D36,D9:D25)+D41+D42</f>
        <v>3.887</v>
      </c>
      <c r="E43" s="38">
        <f>SUM(E38:E40,E27:E36,E9:E25)+E41+E42</f>
        <v>3.1480000000000001</v>
      </c>
      <c r="F43" s="38">
        <f>SUM(F38:F40,F27:F36,F9:F25)+F41+F42</f>
        <v>3.4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40" workbookViewId="0">
      <selection activeCell="C46" sqref="C46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(Форма)'!CJ10&amp;", "&amp;'Управителю (Форма)'!CJ11</f>
        <v>вул. Чудінова, 2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(Форма)'!CJ13</f>
        <v>0.42599999999999999</v>
      </c>
      <c r="D9" s="46">
        <f>C9</f>
        <v>0.42599999999999999</v>
      </c>
      <c r="E9" s="46">
        <f>C9</f>
        <v>0.42599999999999999</v>
      </c>
      <c r="F9" s="46">
        <f>C9</f>
        <v>0.42599999999999999</v>
      </c>
    </row>
    <row r="10" spans="1:6" ht="18.75">
      <c r="A10" s="45" t="s">
        <v>9</v>
      </c>
      <c r="B10" s="21" t="s">
        <v>10</v>
      </c>
      <c r="C10" s="46">
        <f>'Управителю (Форма)'!CJ14</f>
        <v>0.20499999999999999</v>
      </c>
      <c r="D10" s="46">
        <f t="shared" ref="D10:D25" si="0">C10</f>
        <v>0.20499999999999999</v>
      </c>
      <c r="E10" s="46"/>
      <c r="F10" s="46">
        <f t="shared" ref="F10:F25" si="1">C10</f>
        <v>0.20499999999999999</v>
      </c>
    </row>
    <row r="11" spans="1:6" ht="37.5">
      <c r="A11" s="45" t="s">
        <v>11</v>
      </c>
      <c r="B11" s="21" t="s">
        <v>12</v>
      </c>
      <c r="C11" s="46">
        <f>'Управителю (Форма)'!CJ15</f>
        <v>0.435</v>
      </c>
      <c r="D11" s="46">
        <f t="shared" si="0"/>
        <v>0.435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(Форма)'!CJ16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(Форма)'!CJ19</f>
        <v>0.58899999999999997</v>
      </c>
      <c r="D15" s="161">
        <f t="shared" si="0"/>
        <v>0.58899999999999997</v>
      </c>
      <c r="E15" s="161">
        <f t="shared" si="2"/>
        <v>0.58899999999999997</v>
      </c>
      <c r="F15" s="161">
        <f t="shared" si="1"/>
        <v>0.58899999999999997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(Форма)'!CJ26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(Форма)'!CJ27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(Форма)'!CJ28</f>
        <v>6.8000000000000005E-2</v>
      </c>
      <c r="D24" s="46">
        <f t="shared" si="0"/>
        <v>6.8000000000000005E-2</v>
      </c>
      <c r="E24" s="46">
        <f t="shared" si="2"/>
        <v>6.8000000000000005E-2</v>
      </c>
      <c r="F24" s="46">
        <f t="shared" si="1"/>
        <v>6.8000000000000005E-2</v>
      </c>
    </row>
    <row r="25" spans="1:6" ht="75">
      <c r="A25" s="45" t="s">
        <v>33</v>
      </c>
      <c r="B25" s="21" t="s">
        <v>34</v>
      </c>
      <c r="C25" s="46">
        <f>'Управителю (Форма)'!CJ29</f>
        <v>0.17899999999999999</v>
      </c>
      <c r="D25" s="46">
        <f t="shared" si="0"/>
        <v>0.17899999999999999</v>
      </c>
      <c r="E25" s="46">
        <f t="shared" si="2"/>
        <v>0.17899999999999999</v>
      </c>
      <c r="F25" s="46">
        <f t="shared" si="1"/>
        <v>0.17899999999999999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(Форма)'!CJ31</f>
        <v>4.8000000000000001E-2</v>
      </c>
      <c r="D27" s="46">
        <f t="shared" ref="D27:D36" si="3">C27</f>
        <v>4.8000000000000001E-2</v>
      </c>
      <c r="E27" s="46">
        <f t="shared" ref="E27:E36" si="4">C27</f>
        <v>4.8000000000000001E-2</v>
      </c>
      <c r="F27" s="46">
        <f t="shared" ref="F27:F36" si="5">C27</f>
        <v>4.8000000000000001E-2</v>
      </c>
    </row>
    <row r="28" spans="1:6" ht="18.75">
      <c r="A28" s="155" t="s">
        <v>39</v>
      </c>
      <c r="B28" s="35" t="s">
        <v>40</v>
      </c>
      <c r="C28" s="156">
        <f>'Управителю (Форма)'!CJ32</f>
        <v>0.57799999999999996</v>
      </c>
      <c r="D28" s="156">
        <f t="shared" si="3"/>
        <v>0.57799999999999996</v>
      </c>
      <c r="E28" s="156">
        <f t="shared" si="4"/>
        <v>0.57799999999999996</v>
      </c>
      <c r="F28" s="156">
        <f t="shared" si="5"/>
        <v>0.57799999999999996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(Форма)'!CJ42</f>
        <v>3.0000000000000001E-3</v>
      </c>
      <c r="D38" s="46">
        <f>C38</f>
        <v>3.0000000000000001E-3</v>
      </c>
      <c r="E38" s="46">
        <f>C38</f>
        <v>3.0000000000000001E-3</v>
      </c>
      <c r="F38" s="46">
        <f>C38</f>
        <v>3.0000000000000001E-3</v>
      </c>
    </row>
    <row r="39" spans="1:6" ht="37.5">
      <c r="A39" s="45" t="s">
        <v>49</v>
      </c>
      <c r="B39" s="20" t="s">
        <v>50</v>
      </c>
      <c r="C39" s="46">
        <f>'Управителю (Форма)'!CJ43</f>
        <v>0.30099999999999999</v>
      </c>
      <c r="D39" s="46">
        <f>C39</f>
        <v>0.30099999999999999</v>
      </c>
      <c r="E39" s="46">
        <f>C39</f>
        <v>0.30099999999999999</v>
      </c>
      <c r="F39" s="46">
        <f>C39</f>
        <v>0.30099999999999999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0.48099999999999998</v>
      </c>
      <c r="D41" s="39">
        <f>SUM(D38:D40,D27:D36,D9:D25)*('Управителю (Форма)'!$D$7-1)</f>
        <v>0.48099999999999998</v>
      </c>
      <c r="E41" s="39">
        <f>SUM(E38:E40,E27:E36,E9:E25)*('Управителю (Форма)'!$D$7-1)</f>
        <v>0.373</v>
      </c>
      <c r="F41" s="39">
        <f>SUM(F38:F40,F27:F36,F9:F25)*('Управителю (Форма)'!$D$7-1)</f>
        <v>0.40699999999999997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0.66300000000000003</v>
      </c>
      <c r="D42" s="40">
        <f>SUM(D38:D41,D27:D36,D9:D25)*0.2</f>
        <v>0.66300000000000003</v>
      </c>
      <c r="E42" s="40">
        <f>SUM(E38:E41,E27:E36,E9:E25)*0.2</f>
        <v>0.51300000000000001</v>
      </c>
      <c r="F42" s="40">
        <f>SUM(F38:F41,F27:F36,F9:F25)*0.2</f>
        <v>0.56100000000000005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3.976</v>
      </c>
      <c r="D43" s="38">
        <f>SUM(D38:D40,D27:D36,D9:D25)+D41+D42</f>
        <v>3.976</v>
      </c>
      <c r="E43" s="38">
        <f>SUM(E38:E40,E27:E36,E9:E25)+E41+E42</f>
        <v>3.0779999999999998</v>
      </c>
      <c r="F43" s="38">
        <f>SUM(F38:F40,F27:F36,F9:F25)+F41+F42</f>
        <v>3.3650000000000002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C45" sqref="C45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(Форма)'!CI10&amp;", "&amp;'Управителю (Форма)'!CI11</f>
        <v>вул. Чудінова, 1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(Форма)'!CI13</f>
        <v>0.315</v>
      </c>
      <c r="D9" s="46">
        <f>C9</f>
        <v>0.315</v>
      </c>
      <c r="E9" s="46">
        <f>C9</f>
        <v>0.315</v>
      </c>
      <c r="F9" s="46">
        <f>C9</f>
        <v>0.315</v>
      </c>
    </row>
    <row r="10" spans="1:6" ht="18.75">
      <c r="A10" s="45" t="s">
        <v>9</v>
      </c>
      <c r="B10" s="21" t="s">
        <v>10</v>
      </c>
      <c r="C10" s="46">
        <f>'Управителю (Форма)'!CI14</f>
        <v>0.20399999999999999</v>
      </c>
      <c r="D10" s="46">
        <f t="shared" ref="D10:D25" si="0">C10</f>
        <v>0.20399999999999999</v>
      </c>
      <c r="E10" s="46"/>
      <c r="F10" s="46">
        <f t="shared" ref="F10:F25" si="1">C10</f>
        <v>0.20399999999999999</v>
      </c>
    </row>
    <row r="11" spans="1:6" ht="37.5">
      <c r="A11" s="45" t="s">
        <v>11</v>
      </c>
      <c r="B11" s="21" t="s">
        <v>12</v>
      </c>
      <c r="C11" s="46">
        <f>'Управителю (Форма)'!CI15</f>
        <v>0.55300000000000005</v>
      </c>
      <c r="D11" s="46">
        <f t="shared" si="0"/>
        <v>0.55300000000000005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(Форма)'!CI16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(Форма)'!CI19</f>
        <v>0.57999999999999996</v>
      </c>
      <c r="D15" s="161">
        <f t="shared" si="0"/>
        <v>0.57999999999999996</v>
      </c>
      <c r="E15" s="161">
        <f t="shared" si="2"/>
        <v>0.57999999999999996</v>
      </c>
      <c r="F15" s="161">
        <f t="shared" si="1"/>
        <v>0.57999999999999996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(Форма)'!CI26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(Форма)'!CI27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(Форма)'!CI28</f>
        <v>6.8000000000000005E-2</v>
      </c>
      <c r="D24" s="46">
        <f t="shared" si="0"/>
        <v>6.8000000000000005E-2</v>
      </c>
      <c r="E24" s="46">
        <f t="shared" si="2"/>
        <v>6.8000000000000005E-2</v>
      </c>
      <c r="F24" s="46">
        <f t="shared" si="1"/>
        <v>6.8000000000000005E-2</v>
      </c>
    </row>
    <row r="25" spans="1:6" ht="75">
      <c r="A25" s="45" t="s">
        <v>33</v>
      </c>
      <c r="B25" s="21" t="s">
        <v>34</v>
      </c>
      <c r="C25" s="46">
        <f>'Управителю (Форма)'!CI29</f>
        <v>0.16900000000000001</v>
      </c>
      <c r="D25" s="46">
        <f t="shared" si="0"/>
        <v>0.16900000000000001</v>
      </c>
      <c r="E25" s="46">
        <f t="shared" si="2"/>
        <v>0.16900000000000001</v>
      </c>
      <c r="F25" s="46">
        <f t="shared" si="1"/>
        <v>0.16900000000000001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(Форма)'!CI31</f>
        <v>5.7000000000000002E-2</v>
      </c>
      <c r="D27" s="46">
        <f t="shared" ref="D27:D36" si="3">C27</f>
        <v>5.7000000000000002E-2</v>
      </c>
      <c r="E27" s="46">
        <f t="shared" ref="E27:E36" si="4">C27</f>
        <v>5.7000000000000002E-2</v>
      </c>
      <c r="F27" s="46">
        <f t="shared" ref="F27:F36" si="5">C27</f>
        <v>5.7000000000000002E-2</v>
      </c>
    </row>
    <row r="28" spans="1:6" ht="18.75">
      <c r="A28" s="155" t="s">
        <v>39</v>
      </c>
      <c r="B28" s="35" t="s">
        <v>40</v>
      </c>
      <c r="C28" s="156">
        <f>'Управителю (Форма)'!CI32</f>
        <v>0.60299999999999998</v>
      </c>
      <c r="D28" s="156">
        <f t="shared" si="3"/>
        <v>0.60299999999999998</v>
      </c>
      <c r="E28" s="156">
        <f t="shared" si="4"/>
        <v>0.60299999999999998</v>
      </c>
      <c r="F28" s="156">
        <f t="shared" si="5"/>
        <v>0.60299999999999998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(Форма)'!CI42</f>
        <v>3.0000000000000001E-3</v>
      </c>
      <c r="D38" s="46">
        <f>C38</f>
        <v>3.0000000000000001E-3</v>
      </c>
      <c r="E38" s="46">
        <f>C38</f>
        <v>3.0000000000000001E-3</v>
      </c>
      <c r="F38" s="46">
        <f>C38</f>
        <v>3.0000000000000001E-3</v>
      </c>
    </row>
    <row r="39" spans="1:6" ht="37.5">
      <c r="A39" s="45" t="s">
        <v>49</v>
      </c>
      <c r="B39" s="20" t="s">
        <v>50</v>
      </c>
      <c r="C39" s="46">
        <f>'Управителю (Форма)'!CI43</f>
        <v>0.29199999999999998</v>
      </c>
      <c r="D39" s="46">
        <f>C39</f>
        <v>0.29199999999999998</v>
      </c>
      <c r="E39" s="46">
        <f>C39</f>
        <v>0.29199999999999998</v>
      </c>
      <c r="F39" s="46">
        <f>C39</f>
        <v>0.29199999999999998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0.48299999999999998</v>
      </c>
      <c r="D41" s="39">
        <f>SUM(D38:D40,D27:D36,D9:D25)*('Управителю (Форма)'!$D$7-1)</f>
        <v>0.48299999999999998</v>
      </c>
      <c r="E41" s="39">
        <f>SUM(E38:E40,E27:E36,E9:E25)*('Управителю (Форма)'!$D$7-1)</f>
        <v>0.35499999999999998</v>
      </c>
      <c r="F41" s="39">
        <f>SUM(F38:F40,F27:F36,F9:F25)*('Управителю (Форма)'!$D$7-1)</f>
        <v>0.38900000000000001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0.66500000000000004</v>
      </c>
      <c r="D42" s="40">
        <f>SUM(D38:D41,D27:D36,D9:D25)*0.2</f>
        <v>0.66500000000000004</v>
      </c>
      <c r="E42" s="40">
        <f>SUM(E38:E41,E27:E36,E9:E25)*0.2</f>
        <v>0.48799999999999999</v>
      </c>
      <c r="F42" s="40">
        <f>SUM(F38:F41,F27:F36,F9:F25)*0.2</f>
        <v>0.53600000000000003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3.992</v>
      </c>
      <c r="D43" s="38">
        <f>SUM(D38:D40,D27:D36,D9:D25)+D41+D42</f>
        <v>3.992</v>
      </c>
      <c r="E43" s="38">
        <f>SUM(E38:E40,E27:E36,E9:E25)+E41+E42</f>
        <v>2.93</v>
      </c>
      <c r="F43" s="38">
        <f>SUM(F38:F40,F27:F36,F9:F25)+F41+F42</f>
        <v>3.2160000000000002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C47" sqref="C47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(Форма)'!CH10&amp;", "&amp;'Управителю (Форма)'!CH11</f>
        <v>вул. Ціолковського, 4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(Форма)'!CH13</f>
        <v>0.625</v>
      </c>
      <c r="D9" s="46">
        <f>C9</f>
        <v>0.625</v>
      </c>
      <c r="E9" s="46">
        <f>C9</f>
        <v>0.625</v>
      </c>
      <c r="F9" s="46">
        <f>C9</f>
        <v>0.625</v>
      </c>
    </row>
    <row r="10" spans="1:6" ht="18.75">
      <c r="A10" s="45" t="s">
        <v>9</v>
      </c>
      <c r="B10" s="21" t="s">
        <v>10</v>
      </c>
      <c r="C10" s="46">
        <f>'Управителю (Форма)'!CH14</f>
        <v>0.34200000000000003</v>
      </c>
      <c r="D10" s="46">
        <f t="shared" ref="D10:D25" si="0">C10</f>
        <v>0.34200000000000003</v>
      </c>
      <c r="E10" s="46"/>
      <c r="F10" s="46">
        <f t="shared" ref="F10:F25" si="1">C10</f>
        <v>0.34200000000000003</v>
      </c>
    </row>
    <row r="11" spans="1:6" ht="37.5">
      <c r="A11" s="45" t="s">
        <v>11</v>
      </c>
      <c r="B11" s="21" t="s">
        <v>12</v>
      </c>
      <c r="C11" s="46">
        <f>'Управителю (Форма)'!CH15</f>
        <v>0.54200000000000004</v>
      </c>
      <c r="D11" s="46">
        <f t="shared" si="0"/>
        <v>0.54200000000000004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(Форма)'!CH16</f>
        <v>1.0999999999999999E-2</v>
      </c>
      <c r="D12" s="46">
        <f t="shared" si="0"/>
        <v>1.0999999999999999E-2</v>
      </c>
      <c r="E12" s="46">
        <f t="shared" ref="E12:E25" si="2">C12</f>
        <v>1.0999999999999999E-2</v>
      </c>
      <c r="F12" s="46">
        <f t="shared" si="1"/>
        <v>1.0999999999999999E-2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(Форма)'!CH17</f>
        <v>0.32800000000000001</v>
      </c>
      <c r="E13" s="46"/>
      <c r="F13" s="46"/>
    </row>
    <row r="14" spans="1:6" ht="18.75">
      <c r="A14" s="45" t="s">
        <v>17</v>
      </c>
      <c r="B14" s="21" t="s">
        <v>18</v>
      </c>
      <c r="C14" s="54"/>
      <c r="D14" s="54">
        <f>'Управителю (Форма)'!CH18</f>
        <v>0.03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(Форма)'!CH19</f>
        <v>0.29299999999999998</v>
      </c>
      <c r="D15" s="161">
        <f t="shared" si="0"/>
        <v>0.29299999999999998</v>
      </c>
      <c r="E15" s="161">
        <f t="shared" si="2"/>
        <v>0.29299999999999998</v>
      </c>
      <c r="F15" s="161">
        <f t="shared" si="1"/>
        <v>0.29299999999999998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(Форма)'!CH26</f>
        <v>1.4999999999999999E-2</v>
      </c>
      <c r="D22" s="46">
        <f t="shared" si="0"/>
        <v>1.4999999999999999E-2</v>
      </c>
      <c r="E22" s="46">
        <f t="shared" si="2"/>
        <v>1.4999999999999999E-2</v>
      </c>
      <c r="F22" s="46">
        <f t="shared" si="1"/>
        <v>1.4999999999999999E-2</v>
      </c>
    </row>
    <row r="23" spans="1:6" ht="18.75">
      <c r="A23" s="45" t="s">
        <v>29</v>
      </c>
      <c r="B23" s="21" t="s">
        <v>30</v>
      </c>
      <c r="C23" s="46">
        <f>'Управителю (Форма)'!CH27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(Форма)'!CH28</f>
        <v>4.2000000000000003E-2</v>
      </c>
      <c r="D24" s="46">
        <f t="shared" si="0"/>
        <v>4.2000000000000003E-2</v>
      </c>
      <c r="E24" s="46">
        <f t="shared" si="2"/>
        <v>4.2000000000000003E-2</v>
      </c>
      <c r="F24" s="46">
        <f t="shared" si="1"/>
        <v>4.2000000000000003E-2</v>
      </c>
    </row>
    <row r="25" spans="1:6" ht="75">
      <c r="A25" s="45" t="s">
        <v>33</v>
      </c>
      <c r="B25" s="21" t="s">
        <v>34</v>
      </c>
      <c r="C25" s="46">
        <f>'Управителю (Форма)'!CH29</f>
        <v>0.08</v>
      </c>
      <c r="D25" s="46">
        <f t="shared" si="0"/>
        <v>0.08</v>
      </c>
      <c r="E25" s="46">
        <f t="shared" si="2"/>
        <v>0.08</v>
      </c>
      <c r="F25" s="46">
        <f t="shared" si="1"/>
        <v>0.08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(Форма)'!CH31</f>
        <v>1.9E-2</v>
      </c>
      <c r="D27" s="46">
        <f t="shared" ref="D27:D36" si="3">C27</f>
        <v>1.9E-2</v>
      </c>
      <c r="E27" s="46">
        <f t="shared" ref="E27:E36" si="4">C27</f>
        <v>1.9E-2</v>
      </c>
      <c r="F27" s="46">
        <f t="shared" ref="F27:F36" si="5">C27</f>
        <v>1.9E-2</v>
      </c>
    </row>
    <row r="28" spans="1:6" ht="18.75">
      <c r="A28" s="155" t="s">
        <v>39</v>
      </c>
      <c r="B28" s="35" t="s">
        <v>40</v>
      </c>
      <c r="C28" s="156">
        <f>'Управителю (Форма)'!CH32</f>
        <v>0.222</v>
      </c>
      <c r="D28" s="156">
        <f t="shared" si="3"/>
        <v>0.222</v>
      </c>
      <c r="E28" s="156">
        <f t="shared" si="4"/>
        <v>0.222</v>
      </c>
      <c r="F28" s="156">
        <f t="shared" si="5"/>
        <v>0.222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(Форма)'!CH42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(Форма)'!CH43</f>
        <v>0.21299999999999999</v>
      </c>
      <c r="D39" s="46">
        <f>C39</f>
        <v>0.21299999999999999</v>
      </c>
      <c r="E39" s="46">
        <f>C39</f>
        <v>0.21299999999999999</v>
      </c>
      <c r="F39" s="46">
        <f>C39</f>
        <v>0.21299999999999999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(Форма)'!CH44</f>
        <v>0.20699999999999999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0.40899999999999997</v>
      </c>
      <c r="D41" s="39">
        <f>SUM(D38:D40,D27:D36,D9:D25)*('Управителю (Форма)'!$D$7-1)</f>
        <v>0.505</v>
      </c>
      <c r="E41" s="39">
        <f>SUM(E38:E40,E27:E36,E9:E25)*('Управителю (Форма)'!$D$7-1)</f>
        <v>0.25900000000000001</v>
      </c>
      <c r="F41" s="39">
        <f>SUM(F38:F40,F27:F36,F9:F25)*('Управителю (Форма)'!$D$7-1)</f>
        <v>0.317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0.56299999999999994</v>
      </c>
      <c r="D42" s="40">
        <f>SUM(D38:D41,D27:D36,D9:D25)*0.2</f>
        <v>0.69499999999999995</v>
      </c>
      <c r="E42" s="40">
        <f>SUM(E38:E41,E27:E36,E9:E25)*0.2</f>
        <v>0.35599999999999998</v>
      </c>
      <c r="F42" s="40">
        <f>SUM(F38:F41,F27:F36,F9:F25)*0.2</f>
        <v>0.436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3.3780000000000001</v>
      </c>
      <c r="D43" s="38">
        <f>SUM(D38:D40,D27:D36,D9:D25)+D41+D42</f>
        <v>4.1710000000000003</v>
      </c>
      <c r="E43" s="38">
        <f>SUM(E38:E40,E27:E36,E9:E25)+E41+E42</f>
        <v>2.137</v>
      </c>
      <c r="F43" s="38">
        <f>SUM(F38:F40,F27:F36,F9:F25)+F41+F42</f>
        <v>2.617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C46" sqref="C46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(Форма)'!CG10&amp;", "&amp;'Управителю (Форма)'!CG11</f>
        <v>вул. Ціолковського, 2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(Форма)'!CG13</f>
        <v>0.67700000000000005</v>
      </c>
      <c r="D9" s="46">
        <f>C9</f>
        <v>0.67700000000000005</v>
      </c>
      <c r="E9" s="46">
        <f>C9</f>
        <v>0.67700000000000005</v>
      </c>
      <c r="F9" s="46">
        <f>C9</f>
        <v>0.67700000000000005</v>
      </c>
    </row>
    <row r="10" spans="1:6" ht="18.75">
      <c r="A10" s="45" t="s">
        <v>9</v>
      </c>
      <c r="B10" s="21" t="s">
        <v>10</v>
      </c>
      <c r="C10" s="46">
        <f>'Управителю (Форма)'!CG14</f>
        <v>0.34200000000000003</v>
      </c>
      <c r="D10" s="46">
        <f t="shared" ref="D10:D25" si="0">C10</f>
        <v>0.34200000000000003</v>
      </c>
      <c r="E10" s="46"/>
      <c r="F10" s="46">
        <f t="shared" ref="F10:F25" si="1">C10</f>
        <v>0.34200000000000003</v>
      </c>
    </row>
    <row r="11" spans="1:6" ht="37.5">
      <c r="A11" s="45" t="s">
        <v>11</v>
      </c>
      <c r="B11" s="21" t="s">
        <v>12</v>
      </c>
      <c r="C11" s="46">
        <f>'Управителю (Форма)'!CG15</f>
        <v>0.54400000000000004</v>
      </c>
      <c r="D11" s="46">
        <f t="shared" si="0"/>
        <v>0.54400000000000004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(Форма)'!CG16</f>
        <v>1.0999999999999999E-2</v>
      </c>
      <c r="D12" s="46">
        <f t="shared" si="0"/>
        <v>1.0999999999999999E-2</v>
      </c>
      <c r="E12" s="46">
        <f t="shared" ref="E12:E25" si="2">C12</f>
        <v>1.0999999999999999E-2</v>
      </c>
      <c r="F12" s="46">
        <f t="shared" si="1"/>
        <v>1.0999999999999999E-2</v>
      </c>
    </row>
    <row r="13" spans="1:6" ht="18.75">
      <c r="A13" s="45" t="s">
        <v>15</v>
      </c>
      <c r="B13" s="21" t="s">
        <v>16</v>
      </c>
      <c r="C13" s="54"/>
      <c r="D13" s="54">
        <f>'Управителю (Форма)'!CG17</f>
        <v>0.32800000000000001</v>
      </c>
      <c r="E13" s="46"/>
      <c r="F13" s="46"/>
    </row>
    <row r="14" spans="1:6" ht="18.75">
      <c r="A14" s="45" t="s">
        <v>17</v>
      </c>
      <c r="B14" s="21" t="s">
        <v>18</v>
      </c>
      <c r="C14" s="54"/>
      <c r="D14" s="54">
        <f>'Управителю (Форма)'!CG18</f>
        <v>0.03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(Форма)'!CG19</f>
        <v>0.29599999999999999</v>
      </c>
      <c r="D15" s="161">
        <f t="shared" si="0"/>
        <v>0.29599999999999999</v>
      </c>
      <c r="E15" s="161">
        <f t="shared" si="2"/>
        <v>0.29599999999999999</v>
      </c>
      <c r="F15" s="161">
        <f t="shared" si="1"/>
        <v>0.29599999999999999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(Форма)'!CG26</f>
        <v>1.4999999999999999E-2</v>
      </c>
      <c r="D22" s="46">
        <f t="shared" si="0"/>
        <v>1.4999999999999999E-2</v>
      </c>
      <c r="E22" s="46">
        <f t="shared" si="2"/>
        <v>1.4999999999999999E-2</v>
      </c>
      <c r="F22" s="46">
        <f t="shared" si="1"/>
        <v>1.4999999999999999E-2</v>
      </c>
    </row>
    <row r="23" spans="1:6" ht="18.75">
      <c r="A23" s="45" t="s">
        <v>29</v>
      </c>
      <c r="B23" s="21" t="s">
        <v>30</v>
      </c>
      <c r="C23" s="46">
        <f>'Управителю (Форма)'!CG27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(Форма)'!CG28</f>
        <v>4.2000000000000003E-2</v>
      </c>
      <c r="D24" s="46">
        <f t="shared" si="0"/>
        <v>4.2000000000000003E-2</v>
      </c>
      <c r="E24" s="46">
        <f t="shared" si="2"/>
        <v>4.2000000000000003E-2</v>
      </c>
      <c r="F24" s="46">
        <f t="shared" si="1"/>
        <v>4.2000000000000003E-2</v>
      </c>
    </row>
    <row r="25" spans="1:6" ht="75">
      <c r="A25" s="45" t="s">
        <v>33</v>
      </c>
      <c r="B25" s="21" t="s">
        <v>34</v>
      </c>
      <c r="C25" s="46">
        <f>'Управителю (Форма)'!CG29</f>
        <v>3.7999999999999999E-2</v>
      </c>
      <c r="D25" s="46">
        <f t="shared" si="0"/>
        <v>3.7999999999999999E-2</v>
      </c>
      <c r="E25" s="46">
        <f t="shared" si="2"/>
        <v>3.7999999999999999E-2</v>
      </c>
      <c r="F25" s="46">
        <f t="shared" si="1"/>
        <v>3.7999999999999999E-2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(Форма)'!CG31</f>
        <v>1.9E-2</v>
      </c>
      <c r="D27" s="46">
        <f t="shared" ref="D27:D36" si="3">C27</f>
        <v>1.9E-2</v>
      </c>
      <c r="E27" s="46">
        <f t="shared" ref="E27:E36" si="4">C27</f>
        <v>1.9E-2</v>
      </c>
      <c r="F27" s="46">
        <f t="shared" ref="F27:F36" si="5">C27</f>
        <v>1.9E-2</v>
      </c>
    </row>
    <row r="28" spans="1:6" ht="18.75">
      <c r="A28" s="155" t="s">
        <v>39</v>
      </c>
      <c r="B28" s="35" t="s">
        <v>40</v>
      </c>
      <c r="C28" s="156">
        <f>'Управителю (Форма)'!CG32</f>
        <v>0.222</v>
      </c>
      <c r="D28" s="156">
        <f t="shared" si="3"/>
        <v>0.222</v>
      </c>
      <c r="E28" s="156">
        <f t="shared" si="4"/>
        <v>0.222</v>
      </c>
      <c r="F28" s="156">
        <f t="shared" si="5"/>
        <v>0.222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(Форма)'!CG42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(Форма)'!CG43</f>
        <v>0.214</v>
      </c>
      <c r="D39" s="46">
        <f>C39</f>
        <v>0.214</v>
      </c>
      <c r="E39" s="46">
        <f>C39</f>
        <v>0.214</v>
      </c>
      <c r="F39" s="46">
        <f>C39</f>
        <v>0.214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(Форма)'!CG44</f>
        <v>0.20699999999999999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0.41199999999999998</v>
      </c>
      <c r="D41" s="39">
        <f>SUM(D38:D40,D27:D36,D9:D25)*('Управителю (Форма)'!$D$7-1)</f>
        <v>0.50800000000000001</v>
      </c>
      <c r="E41" s="39">
        <f>SUM(E38:E40,E27:E36,E9:E25)*('Управителю (Форма)'!$D$7-1)</f>
        <v>0.26100000000000001</v>
      </c>
      <c r="F41" s="39">
        <f>SUM(F38:F40,F27:F36,F9:F25)*('Управителю (Форма)'!$D$7-1)</f>
        <v>0.31900000000000001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0.56699999999999995</v>
      </c>
      <c r="D42" s="40">
        <f>SUM(D38:D41,D27:D36,D9:D25)*0.2</f>
        <v>0.69899999999999995</v>
      </c>
      <c r="E42" s="40">
        <f>SUM(E38:E41,E27:E36,E9:E25)*0.2</f>
        <v>0.35899999999999999</v>
      </c>
      <c r="F42" s="40">
        <f>SUM(F38:F41,F27:F36,F9:F25)*0.2</f>
        <v>0.439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3.4009999999999998</v>
      </c>
      <c r="D43" s="38">
        <f>SUM(D38:D40,D27:D36,D9:D25)+D41+D42</f>
        <v>4.194</v>
      </c>
      <c r="E43" s="38">
        <f>SUM(E38:E40,E27:E36,E9:E25)+E41+E42</f>
        <v>2.1560000000000001</v>
      </c>
      <c r="F43" s="38">
        <f>SUM(F38:F40,F27:F36,F9:F25)+F41+F42</f>
        <v>2.6360000000000001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C47" sqref="C47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(Форма)'!CF10&amp;", "&amp;'Управителю (Форма)'!CF11</f>
        <v>вул. Ціолковського, 12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(Форма)'!CF13</f>
        <v>0.45800000000000002</v>
      </c>
      <c r="D9" s="46">
        <f>C9</f>
        <v>0.45800000000000002</v>
      </c>
      <c r="E9" s="46">
        <f>C9</f>
        <v>0.45800000000000002</v>
      </c>
      <c r="F9" s="46">
        <f>C9</f>
        <v>0.45800000000000002</v>
      </c>
    </row>
    <row r="10" spans="1:6" ht="18.75">
      <c r="A10" s="45" t="s">
        <v>9</v>
      </c>
      <c r="B10" s="21" t="s">
        <v>10</v>
      </c>
      <c r="C10" s="46">
        <f>'Управителю (Форма)'!CF14</f>
        <v>0.16700000000000001</v>
      </c>
      <c r="D10" s="46">
        <f t="shared" ref="D10:D25" si="0">C10</f>
        <v>0.16700000000000001</v>
      </c>
      <c r="E10" s="46"/>
      <c r="F10" s="46">
        <f t="shared" ref="F10:F25" si="1">C10</f>
        <v>0.16700000000000001</v>
      </c>
    </row>
    <row r="11" spans="1:6" ht="37.5">
      <c r="A11" s="45" t="s">
        <v>11</v>
      </c>
      <c r="B11" s="21" t="s">
        <v>12</v>
      </c>
      <c r="C11" s="46">
        <f>'Управителю (Форма)'!CF15</f>
        <v>0.41599999999999998</v>
      </c>
      <c r="D11" s="46">
        <f t="shared" si="0"/>
        <v>0.41599999999999998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(Форма)'!CF16</f>
        <v>1.6E-2</v>
      </c>
      <c r="D12" s="46">
        <f t="shared" si="0"/>
        <v>1.6E-2</v>
      </c>
      <c r="E12" s="46">
        <f t="shared" ref="E12:E25" si="2">C12</f>
        <v>1.6E-2</v>
      </c>
      <c r="F12" s="46">
        <f t="shared" si="1"/>
        <v>1.6E-2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(Форма)'!CF19</f>
        <v>0.42699999999999999</v>
      </c>
      <c r="D15" s="161">
        <f t="shared" si="0"/>
        <v>0.42699999999999999</v>
      </c>
      <c r="E15" s="161">
        <f t="shared" si="2"/>
        <v>0.42699999999999999</v>
      </c>
      <c r="F15" s="161">
        <f t="shared" si="1"/>
        <v>0.42699999999999999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(Форма)'!CF26</f>
        <v>2.5999999999999999E-2</v>
      </c>
      <c r="D22" s="46">
        <f t="shared" si="0"/>
        <v>2.5999999999999999E-2</v>
      </c>
      <c r="E22" s="46">
        <f t="shared" si="2"/>
        <v>2.5999999999999999E-2</v>
      </c>
      <c r="F22" s="46">
        <f t="shared" si="1"/>
        <v>2.5999999999999999E-2</v>
      </c>
    </row>
    <row r="23" spans="1:6" ht="18.75">
      <c r="A23" s="45" t="s">
        <v>29</v>
      </c>
      <c r="B23" s="21" t="s">
        <v>30</v>
      </c>
      <c r="C23" s="46">
        <f>'Управителю (Форма)'!CF27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(Форма)'!CF28</f>
        <v>0.02</v>
      </c>
      <c r="D24" s="46">
        <f t="shared" si="0"/>
        <v>0.02</v>
      </c>
      <c r="E24" s="46">
        <f t="shared" si="2"/>
        <v>0.02</v>
      </c>
      <c r="F24" s="46">
        <f t="shared" si="1"/>
        <v>0.02</v>
      </c>
    </row>
    <row r="25" spans="1:6" ht="75">
      <c r="A25" s="45" t="s">
        <v>33</v>
      </c>
      <c r="B25" s="21" t="s">
        <v>34</v>
      </c>
      <c r="C25" s="46">
        <f>'Управителю (Форма)'!CF29</f>
        <v>9.5000000000000001E-2</v>
      </c>
      <c r="D25" s="46">
        <f t="shared" si="0"/>
        <v>9.5000000000000001E-2</v>
      </c>
      <c r="E25" s="46">
        <f t="shared" si="2"/>
        <v>9.5000000000000001E-2</v>
      </c>
      <c r="F25" s="46">
        <f t="shared" si="1"/>
        <v>9.5000000000000001E-2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(Форма)'!CF31</f>
        <v>2.3E-2</v>
      </c>
      <c r="D27" s="46">
        <f t="shared" ref="D27:D36" si="3">C27</f>
        <v>2.3E-2</v>
      </c>
      <c r="E27" s="46">
        <f t="shared" ref="E27:E36" si="4">C27</f>
        <v>2.3E-2</v>
      </c>
      <c r="F27" s="46">
        <f t="shared" ref="F27:F36" si="5">C27</f>
        <v>2.3E-2</v>
      </c>
    </row>
    <row r="28" spans="1:6" ht="18.75">
      <c r="A28" s="155" t="s">
        <v>39</v>
      </c>
      <c r="B28" s="35" t="s">
        <v>40</v>
      </c>
      <c r="C28" s="156">
        <f>'Управителю (Форма)'!CF32</f>
        <v>0.995</v>
      </c>
      <c r="D28" s="156">
        <f t="shared" si="3"/>
        <v>0.995</v>
      </c>
      <c r="E28" s="156">
        <f t="shared" si="4"/>
        <v>0.995</v>
      </c>
      <c r="F28" s="156">
        <f t="shared" si="5"/>
        <v>0.995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(Форма)'!CF42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(Форма)'!CF43</f>
        <v>0.20899999999999999</v>
      </c>
      <c r="D39" s="46">
        <f>C39</f>
        <v>0.20899999999999999</v>
      </c>
      <c r="E39" s="46">
        <f>C39</f>
        <v>0.20899999999999999</v>
      </c>
      <c r="F39" s="46">
        <f>C39</f>
        <v>0.20899999999999999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0.48499999999999999</v>
      </c>
      <c r="D41" s="39">
        <f>SUM(D38:D40,D27:D36,D9:D25)*('Управителю (Форма)'!$D$7-1)</f>
        <v>0.48499999999999999</v>
      </c>
      <c r="E41" s="39">
        <f>SUM(E38:E40,E27:E36,E9:E25)*('Управителю (Форма)'!$D$7-1)</f>
        <v>0.38600000000000001</v>
      </c>
      <c r="F41" s="39">
        <f>SUM(F38:F40,F27:F36,F9:F25)*('Управителю (Форма)'!$D$7-1)</f>
        <v>0.41399999999999998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0.66800000000000004</v>
      </c>
      <c r="D42" s="40">
        <f>SUM(D38:D41,D27:D36,D9:D25)*0.2</f>
        <v>0.66800000000000004</v>
      </c>
      <c r="E42" s="40">
        <f>SUM(E38:E41,E27:E36,E9:E25)*0.2</f>
        <v>0.53100000000000003</v>
      </c>
      <c r="F42" s="40">
        <f>SUM(F38:F41,F27:F36,F9:F25)*0.2</f>
        <v>0.56999999999999995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4.0069999999999997</v>
      </c>
      <c r="D43" s="38">
        <f>SUM(D38:D40,D27:D36,D9:D25)+D41+D42</f>
        <v>4.0069999999999997</v>
      </c>
      <c r="E43" s="38">
        <f>SUM(E38:E40,E27:E36,E9:E25)+E41+E42</f>
        <v>3.1880000000000002</v>
      </c>
      <c r="F43" s="38">
        <f>SUM(F38:F40,F27:F36,F9:F25)+F41+F42</f>
        <v>3.4220000000000002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C48" sqref="C48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(Форма)'!CE10&amp;", "&amp;'Управителю (Форма)'!CE11</f>
        <v>вул. Цiолковського, 11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(Форма)'!CE13</f>
        <v>0</v>
      </c>
      <c r="D9" s="46">
        <f>C9</f>
        <v>0</v>
      </c>
      <c r="E9" s="46">
        <f>C9</f>
        <v>0</v>
      </c>
      <c r="F9" s="46">
        <f>C9</f>
        <v>0</v>
      </c>
    </row>
    <row r="10" spans="1:6" ht="18.75">
      <c r="A10" s="45" t="s">
        <v>9</v>
      </c>
      <c r="B10" s="21" t="s">
        <v>10</v>
      </c>
      <c r="C10" s="46">
        <f>'Управителю (Форма)'!CE14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(Форма)'!CE15</f>
        <v>0.55200000000000005</v>
      </c>
      <c r="D11" s="46">
        <f t="shared" si="0"/>
        <v>0.55200000000000005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(Форма)'!CE16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(Форма)'!CE19</f>
        <v>0.105</v>
      </c>
      <c r="D15" s="161">
        <f t="shared" si="0"/>
        <v>0.105</v>
      </c>
      <c r="E15" s="161">
        <f t="shared" si="2"/>
        <v>0.105</v>
      </c>
      <c r="F15" s="161">
        <f t="shared" si="1"/>
        <v>0.105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(Форма)'!CE26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(Форма)'!CE27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(Форма)'!CE28</f>
        <v>0.17299999999999999</v>
      </c>
      <c r="D24" s="46">
        <f t="shared" si="0"/>
        <v>0.17299999999999999</v>
      </c>
      <c r="E24" s="46">
        <f t="shared" si="2"/>
        <v>0.17299999999999999</v>
      </c>
      <c r="F24" s="46">
        <f t="shared" si="1"/>
        <v>0.17299999999999999</v>
      </c>
    </row>
    <row r="25" spans="1:6" ht="75">
      <c r="A25" s="45" t="s">
        <v>33</v>
      </c>
      <c r="B25" s="21" t="s">
        <v>34</v>
      </c>
      <c r="C25" s="46">
        <f>'Управителю (Форма)'!CE29</f>
        <v>0</v>
      </c>
      <c r="D25" s="46">
        <f t="shared" si="0"/>
        <v>0</v>
      </c>
      <c r="E25" s="46">
        <f t="shared" si="2"/>
        <v>0</v>
      </c>
      <c r="F25" s="46">
        <f t="shared" si="1"/>
        <v>0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(Форма)'!CE31</f>
        <v>0</v>
      </c>
      <c r="D27" s="46">
        <f t="shared" ref="D27:D36" si="3">C27</f>
        <v>0</v>
      </c>
      <c r="E27" s="46">
        <f t="shared" ref="E27:E36" si="4">C27</f>
        <v>0</v>
      </c>
      <c r="F27" s="46">
        <f t="shared" ref="F27:F36" si="5">C27</f>
        <v>0</v>
      </c>
    </row>
    <row r="28" spans="1:6" ht="18.75">
      <c r="A28" s="155" t="s">
        <v>39</v>
      </c>
      <c r="B28" s="35" t="s">
        <v>40</v>
      </c>
      <c r="C28" s="156">
        <f>'Управителю (Форма)'!CE32</f>
        <v>0.41799999999999998</v>
      </c>
      <c r="D28" s="156">
        <f t="shared" si="3"/>
        <v>0.41799999999999998</v>
      </c>
      <c r="E28" s="156">
        <f t="shared" si="4"/>
        <v>0.41799999999999998</v>
      </c>
      <c r="F28" s="156">
        <f t="shared" si="5"/>
        <v>0.41799999999999998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(Форма)'!CE42</f>
        <v>0</v>
      </c>
      <c r="D38" s="46">
        <f>C38</f>
        <v>0</v>
      </c>
      <c r="E38" s="46">
        <f>C38</f>
        <v>0</v>
      </c>
      <c r="F38" s="46">
        <f>C38</f>
        <v>0</v>
      </c>
    </row>
    <row r="39" spans="1:6" ht="37.5">
      <c r="A39" s="45" t="s">
        <v>49</v>
      </c>
      <c r="B39" s="20" t="s">
        <v>50</v>
      </c>
      <c r="C39" s="46">
        <f>'Управителю (Форма)'!CE43</f>
        <v>0</v>
      </c>
      <c r="D39" s="46">
        <f>C39</f>
        <v>0</v>
      </c>
      <c r="E39" s="46">
        <f>C39</f>
        <v>0</v>
      </c>
      <c r="F39" s="46">
        <f>C39</f>
        <v>0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0.21199999999999999</v>
      </c>
      <c r="D41" s="39">
        <f>SUM(D38:D40,D27:D36,D9:D25)*('Управителю (Форма)'!$D$7-1)</f>
        <v>0.21199999999999999</v>
      </c>
      <c r="E41" s="39">
        <f>SUM(E38:E40,E27:E36,E9:E25)*('Управителю (Форма)'!$D$7-1)</f>
        <v>0.11799999999999999</v>
      </c>
      <c r="F41" s="39">
        <f>SUM(F38:F40,F27:F36,F9:F25)*('Управителю (Форма)'!$D$7-1)</f>
        <v>0.11799999999999999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0.29199999999999998</v>
      </c>
      <c r="D42" s="40">
        <f>SUM(D38:D41,D27:D36,D9:D25)*0.2</f>
        <v>0.29199999999999998</v>
      </c>
      <c r="E42" s="40">
        <f>SUM(E38:E41,E27:E36,E9:E25)*0.2</f>
        <v>0.16300000000000001</v>
      </c>
      <c r="F42" s="40">
        <f>SUM(F38:F41,F27:F36,F9:F25)*0.2</f>
        <v>0.16300000000000001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1.752</v>
      </c>
      <c r="D43" s="38">
        <f>SUM(D38:D40,D27:D36,D9:D25)+D41+D42</f>
        <v>1.752</v>
      </c>
      <c r="E43" s="38">
        <f>SUM(E38:E40,E27:E36,E9:E25)+E41+E42</f>
        <v>0.97699999999999998</v>
      </c>
      <c r="F43" s="38">
        <f>SUM(F38:F40,F27:F36,F9:F25)+F41+F42</f>
        <v>0.97699999999999998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D47" sqref="D47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(Форма)'!CD10&amp;", "&amp;'Управителю (Форма)'!CD11</f>
        <v>вул. Харківська, 12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(Форма)'!CD13</f>
        <v>0.51400000000000001</v>
      </c>
      <c r="D9" s="46">
        <f>C9</f>
        <v>0.51400000000000001</v>
      </c>
      <c r="E9" s="46">
        <f>C9</f>
        <v>0.51400000000000001</v>
      </c>
      <c r="F9" s="46">
        <f>C9</f>
        <v>0.51400000000000001</v>
      </c>
    </row>
    <row r="10" spans="1:6" ht="18.75">
      <c r="A10" s="45" t="s">
        <v>9</v>
      </c>
      <c r="B10" s="21" t="s">
        <v>10</v>
      </c>
      <c r="C10" s="46">
        <f>'Управителю (Форма)'!CD14</f>
        <v>0.219</v>
      </c>
      <c r="D10" s="46">
        <f t="shared" ref="D10:D25" si="0">C10</f>
        <v>0.219</v>
      </c>
      <c r="E10" s="46"/>
      <c r="F10" s="46">
        <f t="shared" ref="F10:F25" si="1">C10</f>
        <v>0.219</v>
      </c>
    </row>
    <row r="11" spans="1:6" ht="37.5">
      <c r="A11" s="45" t="s">
        <v>11</v>
      </c>
      <c r="B11" s="21" t="s">
        <v>12</v>
      </c>
      <c r="C11" s="46">
        <f>'Управителю (Форма)'!CD15</f>
        <v>0.57299999999999995</v>
      </c>
      <c r="D11" s="46">
        <f t="shared" si="0"/>
        <v>0.57299999999999995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(Форма)'!CD16</f>
        <v>8.9999999999999993E-3</v>
      </c>
      <c r="D12" s="46">
        <f t="shared" si="0"/>
        <v>8.9999999999999993E-3</v>
      </c>
      <c r="E12" s="46">
        <f t="shared" ref="E12:E25" si="2">C12</f>
        <v>8.9999999999999993E-3</v>
      </c>
      <c r="F12" s="46">
        <f t="shared" si="1"/>
        <v>8.9999999999999993E-3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(Форма)'!CD17</f>
        <v>0.32800000000000001</v>
      </c>
      <c r="E13" s="46"/>
      <c r="F13" s="46"/>
    </row>
    <row r="14" spans="1:6" ht="18.75">
      <c r="A14" s="45" t="s">
        <v>17</v>
      </c>
      <c r="B14" s="21" t="s">
        <v>18</v>
      </c>
      <c r="C14" s="54"/>
      <c r="D14" s="54">
        <f>'Управителю (Форма)'!CD18</f>
        <v>0.03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(Форма)'!CD19</f>
        <v>0.442</v>
      </c>
      <c r="D15" s="161">
        <f t="shared" si="0"/>
        <v>0.442</v>
      </c>
      <c r="E15" s="161">
        <f t="shared" si="2"/>
        <v>0.442</v>
      </c>
      <c r="F15" s="161">
        <f t="shared" si="1"/>
        <v>0.442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(Форма)'!CD26</f>
        <v>1.0999999999999999E-2</v>
      </c>
      <c r="D22" s="46">
        <f t="shared" si="0"/>
        <v>1.0999999999999999E-2</v>
      </c>
      <c r="E22" s="46">
        <f t="shared" si="2"/>
        <v>1.0999999999999999E-2</v>
      </c>
      <c r="F22" s="46">
        <f t="shared" si="1"/>
        <v>1.0999999999999999E-2</v>
      </c>
    </row>
    <row r="23" spans="1:6" ht="18.75">
      <c r="A23" s="45" t="s">
        <v>29</v>
      </c>
      <c r="B23" s="21" t="s">
        <v>30</v>
      </c>
      <c r="C23" s="46">
        <f>'Управителю (Форма)'!CD27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(Форма)'!CD28</f>
        <v>4.1000000000000002E-2</v>
      </c>
      <c r="D24" s="46">
        <f t="shared" si="0"/>
        <v>4.1000000000000002E-2</v>
      </c>
      <c r="E24" s="46">
        <f t="shared" si="2"/>
        <v>4.1000000000000002E-2</v>
      </c>
      <c r="F24" s="46">
        <f t="shared" si="1"/>
        <v>4.1000000000000002E-2</v>
      </c>
    </row>
    <row r="25" spans="1:6" ht="75">
      <c r="A25" s="45" t="s">
        <v>33</v>
      </c>
      <c r="B25" s="21" t="s">
        <v>34</v>
      </c>
      <c r="C25" s="46">
        <f>'Управителю (Форма)'!CD29</f>
        <v>6.0999999999999999E-2</v>
      </c>
      <c r="D25" s="46">
        <f t="shared" si="0"/>
        <v>6.0999999999999999E-2</v>
      </c>
      <c r="E25" s="46">
        <f t="shared" si="2"/>
        <v>6.0999999999999999E-2</v>
      </c>
      <c r="F25" s="46">
        <f t="shared" si="1"/>
        <v>6.0999999999999999E-2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(Форма)'!CD31</f>
        <v>3.5999999999999997E-2</v>
      </c>
      <c r="D27" s="46">
        <f t="shared" ref="D27:D36" si="3">C27</f>
        <v>3.5999999999999997E-2</v>
      </c>
      <c r="E27" s="46">
        <f t="shared" ref="E27:E36" si="4">C27</f>
        <v>3.5999999999999997E-2</v>
      </c>
      <c r="F27" s="46">
        <f t="shared" ref="F27:F36" si="5">C27</f>
        <v>3.5999999999999997E-2</v>
      </c>
    </row>
    <row r="28" spans="1:6" ht="18.75">
      <c r="A28" s="155" t="s">
        <v>39</v>
      </c>
      <c r="B28" s="35" t="s">
        <v>40</v>
      </c>
      <c r="C28" s="156">
        <f>'Управителю (Форма)'!CD32</f>
        <v>0.58799999999999997</v>
      </c>
      <c r="D28" s="156">
        <f t="shared" si="3"/>
        <v>0.58799999999999997</v>
      </c>
      <c r="E28" s="156">
        <f t="shared" si="4"/>
        <v>0.58799999999999997</v>
      </c>
      <c r="F28" s="156">
        <f t="shared" si="5"/>
        <v>0.58799999999999997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(Форма)'!CD42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(Форма)'!CD43</f>
        <v>0.188</v>
      </c>
      <c r="D39" s="46">
        <f>C39</f>
        <v>0.188</v>
      </c>
      <c r="E39" s="46">
        <f>C39/5/2</f>
        <v>1.9E-2</v>
      </c>
      <c r="F39" s="54">
        <f>D39/5/2</f>
        <v>1.9E-2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(Форма)'!CD44</f>
        <v>0.20799999999999999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0.45600000000000002</v>
      </c>
      <c r="D41" s="39">
        <f>SUM(D38:D40,D27:D36,D9:D25)*('Управителю (Форма)'!$D$7-1)</f>
        <v>0.55300000000000005</v>
      </c>
      <c r="E41" s="39">
        <f>SUM(E38:E40,E27:E36,E9:E25)*('Управителю (Форма)'!$D$7-1)</f>
        <v>0.29299999999999998</v>
      </c>
      <c r="F41" s="39">
        <f>SUM(F38:F40,F27:F36,F9:F25)*('Управителю (Форма)'!$D$7-1)</f>
        <v>0.33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0.628</v>
      </c>
      <c r="D42" s="40">
        <f>SUM(D38:D41,D27:D36,D9:D25)*0.2</f>
        <v>0.76100000000000001</v>
      </c>
      <c r="E42" s="40">
        <f>SUM(E38:E41,E27:E36,E9:E25)*0.2</f>
        <v>0.40300000000000002</v>
      </c>
      <c r="F42" s="40">
        <f>SUM(F38:F41,F27:F36,F9:F25)*0.2</f>
        <v>0.45400000000000001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3.7679999999999998</v>
      </c>
      <c r="D43" s="38">
        <f>SUM(D38:D40,D27:D36,D9:D25)+D41+D42</f>
        <v>4.5640000000000001</v>
      </c>
      <c r="E43" s="38">
        <f>SUM(E38:E40,E27:E36,E9:E25)+E41+E42</f>
        <v>2.419</v>
      </c>
      <c r="F43" s="38">
        <f>SUM(F38:F40,F27:F36,F9:F25)+F41+F42</f>
        <v>2.726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C45" sqref="C45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(Форма)'!CC10&amp;", "&amp;'Управителю (Форма)'!CC11</f>
        <v>вул. Харківська, 10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(Форма)'!CC13</f>
        <v>0.45800000000000002</v>
      </c>
      <c r="D9" s="46">
        <f>C9</f>
        <v>0.45800000000000002</v>
      </c>
      <c r="E9" s="46">
        <f>C9</f>
        <v>0.45800000000000002</v>
      </c>
      <c r="F9" s="46">
        <f>C9</f>
        <v>0.45800000000000002</v>
      </c>
    </row>
    <row r="10" spans="1:6" ht="18.75">
      <c r="A10" s="45" t="s">
        <v>9</v>
      </c>
      <c r="B10" s="21" t="s">
        <v>10</v>
      </c>
      <c r="C10" s="46">
        <f>'Управителю (Форма)'!CC14</f>
        <v>0.24399999999999999</v>
      </c>
      <c r="D10" s="46">
        <f t="shared" ref="D10:D25" si="0">C10</f>
        <v>0.24399999999999999</v>
      </c>
      <c r="E10" s="46"/>
      <c r="F10" s="46">
        <f t="shared" ref="F10:F25" si="1">C10</f>
        <v>0.24399999999999999</v>
      </c>
    </row>
    <row r="11" spans="1:6" ht="37.5">
      <c r="A11" s="45" t="s">
        <v>11</v>
      </c>
      <c r="B11" s="21" t="s">
        <v>12</v>
      </c>
      <c r="C11" s="46">
        <f>'Управителю (Форма)'!CC15</f>
        <v>0.628</v>
      </c>
      <c r="D11" s="46">
        <f t="shared" si="0"/>
        <v>0.628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(Форма)'!CC16</f>
        <v>8.9999999999999993E-3</v>
      </c>
      <c r="D12" s="46">
        <f t="shared" si="0"/>
        <v>8.9999999999999993E-3</v>
      </c>
      <c r="E12" s="46">
        <f t="shared" ref="E12:E25" si="2">C12</f>
        <v>8.9999999999999993E-3</v>
      </c>
      <c r="F12" s="46">
        <f t="shared" si="1"/>
        <v>8.9999999999999993E-3</v>
      </c>
    </row>
    <row r="13" spans="1:6" ht="18.75">
      <c r="A13" s="45" t="s">
        <v>15</v>
      </c>
      <c r="B13" s="21" t="s">
        <v>16</v>
      </c>
      <c r="C13" s="54"/>
      <c r="D13" s="54">
        <f>'Управителю (Форма)'!CC17</f>
        <v>0.32800000000000001</v>
      </c>
      <c r="E13" s="46"/>
      <c r="F13" s="46"/>
    </row>
    <row r="14" spans="1:6" ht="18.75">
      <c r="A14" s="45" t="s">
        <v>17</v>
      </c>
      <c r="B14" s="21" t="s">
        <v>18</v>
      </c>
      <c r="C14" s="54"/>
      <c r="D14" s="54">
        <f>'Управителю (Форма)'!CC18</f>
        <v>0.03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(Форма)'!CC19</f>
        <v>0.41199999999999998</v>
      </c>
      <c r="D15" s="161">
        <f t="shared" si="0"/>
        <v>0.41199999999999998</v>
      </c>
      <c r="E15" s="161">
        <f t="shared" si="2"/>
        <v>0.41199999999999998</v>
      </c>
      <c r="F15" s="161">
        <f t="shared" si="1"/>
        <v>0.41199999999999998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(Форма)'!CC26</f>
        <v>1.0999999999999999E-2</v>
      </c>
      <c r="D22" s="46">
        <f t="shared" si="0"/>
        <v>1.0999999999999999E-2</v>
      </c>
      <c r="E22" s="46">
        <f t="shared" si="2"/>
        <v>1.0999999999999999E-2</v>
      </c>
      <c r="F22" s="46">
        <f t="shared" si="1"/>
        <v>1.0999999999999999E-2</v>
      </c>
    </row>
    <row r="23" spans="1:6" ht="18.75">
      <c r="A23" s="45" t="s">
        <v>29</v>
      </c>
      <c r="B23" s="21" t="s">
        <v>30</v>
      </c>
      <c r="C23" s="46">
        <f>'Управителю (Форма)'!CC27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(Форма)'!CC28</f>
        <v>4.2999999999999997E-2</v>
      </c>
      <c r="D24" s="46">
        <f t="shared" si="0"/>
        <v>4.2999999999999997E-2</v>
      </c>
      <c r="E24" s="46">
        <f t="shared" si="2"/>
        <v>4.2999999999999997E-2</v>
      </c>
      <c r="F24" s="46">
        <f t="shared" si="1"/>
        <v>4.2999999999999997E-2</v>
      </c>
    </row>
    <row r="25" spans="1:6" ht="75">
      <c r="A25" s="45" t="s">
        <v>33</v>
      </c>
      <c r="B25" s="21" t="s">
        <v>34</v>
      </c>
      <c r="C25" s="46">
        <f>'Управителю (Форма)'!CC29</f>
        <v>8.5999999999999993E-2</v>
      </c>
      <c r="D25" s="46">
        <f t="shared" si="0"/>
        <v>8.5999999999999993E-2</v>
      </c>
      <c r="E25" s="46">
        <f t="shared" si="2"/>
        <v>8.5999999999999993E-2</v>
      </c>
      <c r="F25" s="46">
        <f t="shared" si="1"/>
        <v>8.5999999999999993E-2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(Форма)'!CC31</f>
        <v>3.7999999999999999E-2</v>
      </c>
      <c r="D27" s="46">
        <f t="shared" ref="D27:D36" si="3">C27</f>
        <v>3.7999999999999999E-2</v>
      </c>
      <c r="E27" s="46">
        <f t="shared" ref="E27:E36" si="4">C27</f>
        <v>3.7999999999999999E-2</v>
      </c>
      <c r="F27" s="46">
        <f t="shared" ref="F27:F36" si="5">C27</f>
        <v>3.7999999999999999E-2</v>
      </c>
    </row>
    <row r="28" spans="1:6" ht="18.75">
      <c r="A28" s="155" t="s">
        <v>39</v>
      </c>
      <c r="B28" s="35" t="s">
        <v>40</v>
      </c>
      <c r="C28" s="156">
        <f>'Управителю (Форма)'!CC32</f>
        <v>0.56799999999999995</v>
      </c>
      <c r="D28" s="156">
        <f t="shared" si="3"/>
        <v>0.56799999999999995</v>
      </c>
      <c r="E28" s="156">
        <f t="shared" si="4"/>
        <v>0.56799999999999995</v>
      </c>
      <c r="F28" s="156">
        <f t="shared" si="5"/>
        <v>0.56799999999999995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(Форма)'!CC42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(Форма)'!CC43</f>
        <v>0.189</v>
      </c>
      <c r="D39" s="46">
        <f>C39</f>
        <v>0.189</v>
      </c>
      <c r="E39" s="54">
        <f>C39/5/3</f>
        <v>1.2999999999999999E-2</v>
      </c>
      <c r="F39" s="54">
        <f>D39/5/3</f>
        <v>1.2999999999999999E-2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(Форма)'!CC44</f>
        <v>0.20799999999999999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0.45700000000000002</v>
      </c>
      <c r="D41" s="39">
        <f>SUM(D38:D40,D27:D36,D9:D25)*('Управителю (Форма)'!$D$7-1)</f>
        <v>0.55300000000000005</v>
      </c>
      <c r="E41" s="39">
        <f>SUM(E38:E40,E27:E36,E9:E25)*('Управителю (Форма)'!$D$7-1)</f>
        <v>0.27900000000000003</v>
      </c>
      <c r="F41" s="39">
        <f>SUM(F38:F40,F27:F36,F9:F25)*('Управителю (Форма)'!$D$7-1)</f>
        <v>0.32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0.629</v>
      </c>
      <c r="D42" s="40">
        <f>SUM(D38:D41,D27:D36,D9:D25)*0.2</f>
        <v>0.76100000000000001</v>
      </c>
      <c r="E42" s="40">
        <f>SUM(E38:E41,E27:E36,E9:E25)*0.2</f>
        <v>0.38400000000000001</v>
      </c>
      <c r="F42" s="40">
        <f>SUM(F38:F41,F27:F36,F9:F25)*0.2</f>
        <v>0.441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3.774</v>
      </c>
      <c r="D43" s="38">
        <f>SUM(D38:D40,D27:D36,D9:D25)+D41+D42</f>
        <v>4.5679999999999996</v>
      </c>
      <c r="E43" s="38">
        <f>SUM(E38:E40,E27:E36,E9:E25)+E41+E42</f>
        <v>2.3029999999999999</v>
      </c>
      <c r="F43" s="38">
        <f>SUM(F38:F40,F27:F36,F9:F25)+F41+F42</f>
        <v>2.645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5" workbookViewId="0">
      <selection activeCell="C49" sqref="C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(Форма)'!CB10&amp;", "&amp;'Управителю (Форма)'!CB11</f>
        <v>вул. Харківська, 8</v>
      </c>
      <c r="B4" s="167"/>
      <c r="C4" s="167"/>
      <c r="D4" s="167"/>
      <c r="E4" s="167"/>
      <c r="F4" s="167"/>
    </row>
    <row r="5" spans="1:6" ht="19.5" thickBot="1">
      <c r="A5" s="4"/>
    </row>
    <row r="6" spans="1:6" ht="32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(Форма)'!CB13</f>
        <v>0.499</v>
      </c>
      <c r="D9" s="46">
        <f>C9</f>
        <v>0.499</v>
      </c>
      <c r="E9" s="46">
        <f>C9</f>
        <v>0.499</v>
      </c>
      <c r="F9" s="46">
        <f>C9</f>
        <v>0.499</v>
      </c>
    </row>
    <row r="10" spans="1:6" ht="18.75">
      <c r="A10" s="45" t="s">
        <v>9</v>
      </c>
      <c r="B10" s="21" t="s">
        <v>10</v>
      </c>
      <c r="C10" s="46">
        <f>'Управителю (Форма)'!CB14</f>
        <v>0.23</v>
      </c>
      <c r="D10" s="46">
        <f t="shared" ref="D10:D25" si="0">C10</f>
        <v>0.23</v>
      </c>
      <c r="E10" s="46"/>
      <c r="F10" s="46">
        <f t="shared" ref="F10:F25" si="1">C10</f>
        <v>0.23</v>
      </c>
    </row>
    <row r="11" spans="1:6" ht="37.5">
      <c r="A11" s="45" t="s">
        <v>11</v>
      </c>
      <c r="B11" s="21" t="s">
        <v>12</v>
      </c>
      <c r="C11" s="46">
        <f>'Управителю (Форма)'!CB15</f>
        <v>0.309</v>
      </c>
      <c r="D11" s="46">
        <f t="shared" si="0"/>
        <v>0.309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(Форма)'!CB16</f>
        <v>1.0999999999999999E-2</v>
      </c>
      <c r="D12" s="46">
        <f t="shared" si="0"/>
        <v>1.0999999999999999E-2</v>
      </c>
      <c r="E12" s="46">
        <f t="shared" ref="E12:E25" si="2">C12</f>
        <v>1.0999999999999999E-2</v>
      </c>
      <c r="F12" s="46">
        <f t="shared" si="1"/>
        <v>1.0999999999999999E-2</v>
      </c>
    </row>
    <row r="13" spans="1:6" ht="18.75">
      <c r="A13" s="45" t="s">
        <v>15</v>
      </c>
      <c r="B13" s="21" t="s">
        <v>16</v>
      </c>
      <c r="C13" s="54"/>
      <c r="D13" s="54">
        <f>'Управителю (Форма)'!CB17</f>
        <v>0.249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(Форма)'!CB18</f>
        <v>0.03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(Форма)'!CB19</f>
        <v>0.443</v>
      </c>
      <c r="D15" s="161">
        <f t="shared" si="0"/>
        <v>0.443</v>
      </c>
      <c r="E15" s="161">
        <f t="shared" si="2"/>
        <v>0.443</v>
      </c>
      <c r="F15" s="161">
        <f t="shared" si="1"/>
        <v>0.443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(Форма)'!CB26</f>
        <v>0.01</v>
      </c>
      <c r="D22" s="46">
        <f t="shared" si="0"/>
        <v>0.01</v>
      </c>
      <c r="E22" s="46">
        <f t="shared" si="2"/>
        <v>0.01</v>
      </c>
      <c r="F22" s="46">
        <f t="shared" si="1"/>
        <v>0.01</v>
      </c>
    </row>
    <row r="23" spans="1:6" ht="18.75">
      <c r="A23" s="45" t="s">
        <v>29</v>
      </c>
      <c r="B23" s="21" t="s">
        <v>30</v>
      </c>
      <c r="C23" s="46">
        <f>'Управителю (Форма)'!CB27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(Форма)'!CB28</f>
        <v>4.2999999999999997E-2</v>
      </c>
      <c r="D24" s="46">
        <f t="shared" si="0"/>
        <v>4.2999999999999997E-2</v>
      </c>
      <c r="E24" s="46">
        <f t="shared" si="2"/>
        <v>4.2999999999999997E-2</v>
      </c>
      <c r="F24" s="46">
        <f t="shared" si="1"/>
        <v>4.2999999999999997E-2</v>
      </c>
    </row>
    <row r="25" spans="1:6" ht="75">
      <c r="A25" s="45" t="s">
        <v>33</v>
      </c>
      <c r="B25" s="21" t="s">
        <v>34</v>
      </c>
      <c r="C25" s="46">
        <f>'Управителю (Форма)'!CB29</f>
        <v>5.2999999999999999E-2</v>
      </c>
      <c r="D25" s="46">
        <f t="shared" si="0"/>
        <v>5.2999999999999999E-2</v>
      </c>
      <c r="E25" s="46">
        <f t="shared" si="2"/>
        <v>5.2999999999999999E-2</v>
      </c>
      <c r="F25" s="46">
        <f t="shared" si="1"/>
        <v>5.2999999999999999E-2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(Форма)'!CB31</f>
        <v>3.5999999999999997E-2</v>
      </c>
      <c r="D27" s="46">
        <f t="shared" ref="D27:D36" si="3">C27</f>
        <v>3.5999999999999997E-2</v>
      </c>
      <c r="E27" s="46">
        <f t="shared" ref="E27:E36" si="4">C27</f>
        <v>3.5999999999999997E-2</v>
      </c>
      <c r="F27" s="46">
        <f t="shared" ref="F27:F36" si="5">C27</f>
        <v>3.5999999999999997E-2</v>
      </c>
    </row>
    <row r="28" spans="1:6" ht="18.75">
      <c r="A28" s="155" t="s">
        <v>39</v>
      </c>
      <c r="B28" s="35" t="s">
        <v>40</v>
      </c>
      <c r="C28" s="156">
        <f>'Управителю (Форма)'!CB32</f>
        <v>0.68</v>
      </c>
      <c r="D28" s="156">
        <f t="shared" si="3"/>
        <v>0.68</v>
      </c>
      <c r="E28" s="156">
        <f t="shared" si="4"/>
        <v>0.68</v>
      </c>
      <c r="F28" s="156">
        <f t="shared" si="5"/>
        <v>0.68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(Форма)'!CB42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(Форма)'!CB43</f>
        <v>0.187</v>
      </c>
      <c r="D39" s="46">
        <f>C39</f>
        <v>0.187</v>
      </c>
      <c r="E39" s="54">
        <f>C39/5/3</f>
        <v>1.2E-2</v>
      </c>
      <c r="F39" s="54">
        <f>D39/5/3</f>
        <v>1.2E-2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(Форма)'!CB44</f>
        <v>0.19500000000000001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0.42599999999999999</v>
      </c>
      <c r="D41" s="39">
        <f>SUM(D38:D40,D27:D36,D9:D25)*('Управителю (Форма)'!$D$7-1)</f>
        <v>0.50600000000000001</v>
      </c>
      <c r="E41" s="39">
        <f>SUM(E38:E40,E27:E36,E9:E25)*('Управителю (Форма)'!$D$7-1)</f>
        <v>0.30399999999999999</v>
      </c>
      <c r="F41" s="39">
        <f>SUM(F38:F40,F27:F36,F9:F25)*('Управителю (Форма)'!$D$7-1)</f>
        <v>0.34300000000000003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0.58599999999999997</v>
      </c>
      <c r="D42" s="40">
        <f>SUM(D38:D41,D27:D36,D9:D25)*0.2</f>
        <v>0.69699999999999995</v>
      </c>
      <c r="E42" s="40">
        <f>SUM(E38:E41,E27:E36,E9:E25)*0.2</f>
        <v>0.41899999999999998</v>
      </c>
      <c r="F42" s="40">
        <f>SUM(F38:F41,F27:F36,F9:F25)*0.2</f>
        <v>0.47199999999999998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3.5150000000000001</v>
      </c>
      <c r="D43" s="38">
        <f>SUM(D38:D40,D27:D36,D9:D25)+D41+D42</f>
        <v>4.18</v>
      </c>
      <c r="E43" s="38">
        <f>SUM(E38:E40,E27:E36,E9:E25)+E41+E42</f>
        <v>2.512</v>
      </c>
      <c r="F43" s="38">
        <f>SUM(F38:F40,F27:F36,F9:F25)+F41+F42</f>
        <v>2.8340000000000001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F50" sqref="F50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(Форма)'!CS10&amp;", "&amp;'Управителю (Форма)'!CS11</f>
        <v>пров. Д. Самоквасова, 5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(Форма)'!CS13</f>
        <v>3.5999999999999997E-2</v>
      </c>
      <c r="D9" s="46">
        <f>C9</f>
        <v>3.5999999999999997E-2</v>
      </c>
      <c r="E9" s="46">
        <f>C9</f>
        <v>3.5999999999999997E-2</v>
      </c>
      <c r="F9" s="46">
        <f>C9</f>
        <v>3.5999999999999997E-2</v>
      </c>
    </row>
    <row r="10" spans="1:6" ht="18.75">
      <c r="A10" s="45" t="s">
        <v>9</v>
      </c>
      <c r="B10" s="21" t="s">
        <v>10</v>
      </c>
      <c r="C10" s="46">
        <f>'Управителю (Форма)'!CS14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(Форма)'!CS15</f>
        <v>0.38100000000000001</v>
      </c>
      <c r="D11" s="46">
        <f t="shared" si="0"/>
        <v>0.38100000000000001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(Форма)'!CS16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(Форма)'!CS19</f>
        <v>0.105</v>
      </c>
      <c r="D15" s="161">
        <f t="shared" si="0"/>
        <v>0.105</v>
      </c>
      <c r="E15" s="161">
        <f t="shared" si="2"/>
        <v>0.105</v>
      </c>
      <c r="F15" s="161">
        <f t="shared" si="1"/>
        <v>0.105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(Форма)'!CS26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(Форма)'!CS27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(Форма)'!CS28</f>
        <v>0.20399999999999999</v>
      </c>
      <c r="D24" s="46">
        <f t="shared" si="0"/>
        <v>0.20399999999999999</v>
      </c>
      <c r="E24" s="46">
        <f t="shared" si="2"/>
        <v>0.20399999999999999</v>
      </c>
      <c r="F24" s="46">
        <f t="shared" si="1"/>
        <v>0.20399999999999999</v>
      </c>
    </row>
    <row r="25" spans="1:6" ht="75">
      <c r="A25" s="45" t="s">
        <v>33</v>
      </c>
      <c r="B25" s="21" t="s">
        <v>34</v>
      </c>
      <c r="C25" s="46">
        <f>'Управителю (Форма)'!CS29</f>
        <v>0.03</v>
      </c>
      <c r="D25" s="46">
        <f t="shared" si="0"/>
        <v>0.03</v>
      </c>
      <c r="E25" s="46">
        <f t="shared" si="2"/>
        <v>0.03</v>
      </c>
      <c r="F25" s="46">
        <f t="shared" si="1"/>
        <v>0.03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(Форма)'!CS31</f>
        <v>0</v>
      </c>
      <c r="D27" s="46">
        <f t="shared" ref="D27:D36" si="3">C27</f>
        <v>0</v>
      </c>
      <c r="E27" s="46">
        <f t="shared" ref="E27:E36" si="4">C27</f>
        <v>0</v>
      </c>
      <c r="F27" s="46">
        <f t="shared" ref="F27:F36" si="5">C27</f>
        <v>0</v>
      </c>
    </row>
    <row r="28" spans="1:6" ht="18.75">
      <c r="A28" s="155" t="s">
        <v>39</v>
      </c>
      <c r="B28" s="35" t="s">
        <v>40</v>
      </c>
      <c r="C28" s="156">
        <f>'Управителю (Форма)'!CS32</f>
        <v>0.4</v>
      </c>
      <c r="D28" s="156">
        <f t="shared" si="3"/>
        <v>0.4</v>
      </c>
      <c r="E28" s="156">
        <f t="shared" si="4"/>
        <v>0.4</v>
      </c>
      <c r="F28" s="156">
        <f t="shared" si="5"/>
        <v>0.4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(Форма)'!CS42</f>
        <v>0</v>
      </c>
      <c r="D38" s="46">
        <f>C38</f>
        <v>0</v>
      </c>
      <c r="E38" s="46">
        <f>C38</f>
        <v>0</v>
      </c>
      <c r="F38" s="46">
        <f>C38</f>
        <v>0</v>
      </c>
    </row>
    <row r="39" spans="1:6" ht="37.5">
      <c r="A39" s="45" t="s">
        <v>49</v>
      </c>
      <c r="B39" s="20" t="s">
        <v>50</v>
      </c>
      <c r="C39" s="46">
        <f>'Управителю (Форма)'!CS43</f>
        <v>0.97799999999999998</v>
      </c>
      <c r="D39" s="46">
        <f>C39</f>
        <v>0.97799999999999998</v>
      </c>
      <c r="E39" s="46">
        <f>C39</f>
        <v>0.97799999999999998</v>
      </c>
      <c r="F39" s="46">
        <f>C39</f>
        <v>0.97799999999999998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0.36299999999999999</v>
      </c>
      <c r="D41" s="39">
        <f>SUM(D38:D40,D27:D36,D9:D25)*('Управителю (Форма)'!$D$7-1)</f>
        <v>0.36299999999999999</v>
      </c>
      <c r="E41" s="39">
        <f>SUM(E38:E40,E27:E36,E9:E25)*('Управителю (Форма)'!$D$7-1)</f>
        <v>0.29799999999999999</v>
      </c>
      <c r="F41" s="39">
        <f>SUM(F38:F40,F27:F36,F9:F25)*('Управителю (Форма)'!$D$7-1)</f>
        <v>0.29799999999999999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0.499</v>
      </c>
      <c r="D42" s="40">
        <f>SUM(D38:D41,D27:D36,D9:D25)*0.2</f>
        <v>0.499</v>
      </c>
      <c r="E42" s="40">
        <f>SUM(E38:E41,E27:E36,E9:E25)*0.2</f>
        <v>0.41</v>
      </c>
      <c r="F42" s="40">
        <f>SUM(F38:F41,F27:F36,F9:F25)*0.2</f>
        <v>0.41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2.996</v>
      </c>
      <c r="D43" s="38">
        <f>SUM(D38:D40,D27:D36,D9:D25)+D41+D42</f>
        <v>2.996</v>
      </c>
      <c r="E43" s="38">
        <f>SUM(E38:E40,E27:E36,E9:E25)+E41+E42</f>
        <v>2.4609999999999999</v>
      </c>
      <c r="F43" s="38">
        <f>SUM(F38:F40,F27:F36,F9:F25)+F41+F42</f>
        <v>2.4609999999999999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28" workbookViewId="0">
      <selection activeCell="C45" sqref="C45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(Форма)'!CA10&amp;", "&amp;'Управителю (Форма)'!CA11</f>
        <v>вул. Харківська, 6</v>
      </c>
      <c r="B4" s="167"/>
      <c r="C4" s="167"/>
      <c r="D4" s="167"/>
      <c r="E4" s="167"/>
      <c r="F4" s="167"/>
    </row>
    <row r="5" spans="1:6" ht="19.5" thickBot="1">
      <c r="A5" s="4"/>
    </row>
    <row r="6" spans="1:6" ht="39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(Форма)'!CA13</f>
        <v>0.49099999999999999</v>
      </c>
      <c r="D9" s="46">
        <f>C9</f>
        <v>0.49099999999999999</v>
      </c>
      <c r="E9" s="46">
        <f>C9</f>
        <v>0.49099999999999999</v>
      </c>
      <c r="F9" s="46">
        <f>C9</f>
        <v>0.49099999999999999</v>
      </c>
    </row>
    <row r="10" spans="1:6" ht="18.75">
      <c r="A10" s="45" t="s">
        <v>9</v>
      </c>
      <c r="B10" s="21" t="s">
        <v>10</v>
      </c>
      <c r="C10" s="46">
        <f>'Управителю (Форма)'!CA14</f>
        <v>0.222</v>
      </c>
      <c r="D10" s="46">
        <f t="shared" ref="D10:D25" si="0">C10</f>
        <v>0.222</v>
      </c>
      <c r="E10" s="46"/>
      <c r="F10" s="46">
        <f t="shared" ref="F10:F25" si="1">C10</f>
        <v>0.222</v>
      </c>
    </row>
    <row r="11" spans="1:6" ht="37.5">
      <c r="A11" s="45" t="s">
        <v>11</v>
      </c>
      <c r="B11" s="21" t="s">
        <v>12</v>
      </c>
      <c r="C11" s="46">
        <f>'Управителю (Форма)'!CA15</f>
        <v>0.377</v>
      </c>
      <c r="D11" s="46">
        <f t="shared" si="0"/>
        <v>0.377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(Форма)'!CA16</f>
        <v>1.2E-2</v>
      </c>
      <c r="D12" s="46">
        <f t="shared" si="0"/>
        <v>1.2E-2</v>
      </c>
      <c r="E12" s="46">
        <f t="shared" ref="E12:E25" si="2">C12</f>
        <v>1.2E-2</v>
      </c>
      <c r="F12" s="46">
        <f t="shared" si="1"/>
        <v>1.2E-2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(Форма)'!CA17</f>
        <v>0.25900000000000001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(Форма)'!CA18</f>
        <v>2.8000000000000001E-2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(Форма)'!CA19</f>
        <v>0.44700000000000001</v>
      </c>
      <c r="D15" s="161">
        <f t="shared" si="0"/>
        <v>0.44700000000000001</v>
      </c>
      <c r="E15" s="161">
        <f t="shared" si="2"/>
        <v>0.44700000000000001</v>
      </c>
      <c r="F15" s="161">
        <f t="shared" si="1"/>
        <v>0.44700000000000001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(Форма)'!CA26</f>
        <v>8.9999999999999993E-3</v>
      </c>
      <c r="D22" s="46">
        <f t="shared" si="0"/>
        <v>8.9999999999999993E-3</v>
      </c>
      <c r="E22" s="46">
        <f t="shared" si="2"/>
        <v>8.9999999999999993E-3</v>
      </c>
      <c r="F22" s="46">
        <f t="shared" si="1"/>
        <v>8.9999999999999993E-3</v>
      </c>
    </row>
    <row r="23" spans="1:6" ht="18.75">
      <c r="A23" s="45" t="s">
        <v>29</v>
      </c>
      <c r="B23" s="21" t="s">
        <v>30</v>
      </c>
      <c r="C23" s="46">
        <f>'Управителю (Форма)'!CA27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(Форма)'!CA28</f>
        <v>2.5999999999999999E-2</v>
      </c>
      <c r="D24" s="46">
        <f t="shared" si="0"/>
        <v>2.5999999999999999E-2</v>
      </c>
      <c r="E24" s="46">
        <f t="shared" si="2"/>
        <v>2.5999999999999999E-2</v>
      </c>
      <c r="F24" s="46">
        <f t="shared" si="1"/>
        <v>2.5999999999999999E-2</v>
      </c>
    </row>
    <row r="25" spans="1:6" ht="75">
      <c r="A25" s="45" t="s">
        <v>33</v>
      </c>
      <c r="B25" s="21" t="s">
        <v>34</v>
      </c>
      <c r="C25" s="46">
        <f>'Управителю (Форма)'!CA29</f>
        <v>3.9E-2</v>
      </c>
      <c r="D25" s="46">
        <f t="shared" si="0"/>
        <v>3.9E-2</v>
      </c>
      <c r="E25" s="46">
        <f t="shared" si="2"/>
        <v>3.9E-2</v>
      </c>
      <c r="F25" s="46">
        <f t="shared" si="1"/>
        <v>3.9E-2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(Форма)'!CA31</f>
        <v>3.4000000000000002E-2</v>
      </c>
      <c r="D27" s="46">
        <f t="shared" ref="D27:D36" si="3">C27</f>
        <v>3.4000000000000002E-2</v>
      </c>
      <c r="E27" s="46">
        <f t="shared" ref="E27:E36" si="4">C27</f>
        <v>3.4000000000000002E-2</v>
      </c>
      <c r="F27" s="46">
        <f t="shared" ref="F27:F36" si="5">C27</f>
        <v>3.4000000000000002E-2</v>
      </c>
    </row>
    <row r="28" spans="1:6" ht="18.75">
      <c r="A28" s="155" t="s">
        <v>39</v>
      </c>
      <c r="B28" s="35" t="s">
        <v>40</v>
      </c>
      <c r="C28" s="156">
        <f>'Управителю (Форма)'!CA32</f>
        <v>0.68300000000000005</v>
      </c>
      <c r="D28" s="156">
        <f t="shared" si="3"/>
        <v>0.68300000000000005</v>
      </c>
      <c r="E28" s="156">
        <f t="shared" si="4"/>
        <v>0.68300000000000005</v>
      </c>
      <c r="F28" s="156">
        <f t="shared" si="5"/>
        <v>0.68300000000000005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(Форма)'!CA42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(Форма)'!CA43</f>
        <v>0.20599999999999999</v>
      </c>
      <c r="D39" s="46">
        <f>C39</f>
        <v>0.20599999999999999</v>
      </c>
      <c r="E39" s="54">
        <f>C39/5/3</f>
        <v>1.4E-2</v>
      </c>
      <c r="F39" s="54">
        <f>D39/5/3</f>
        <v>1.4E-2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(Форма)'!CA44</f>
        <v>0.22600000000000001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0.433</v>
      </c>
      <c r="D41" s="39">
        <f>SUM(D38:D40,D27:D36,D9:D25)*('Управителю (Форма)'!$D$7-1)</f>
        <v>0.52</v>
      </c>
      <c r="E41" s="39">
        <f>SUM(E38:E40,E27:E36,E9:E25)*('Управителю (Форма)'!$D$7-1)</f>
        <v>0.29899999999999999</v>
      </c>
      <c r="F41" s="39">
        <f>SUM(F38:F40,F27:F36,F9:F25)*('Управителю (Форма)'!$D$7-1)</f>
        <v>0.33600000000000002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0.59599999999999997</v>
      </c>
      <c r="D42" s="40">
        <f>SUM(D38:D41,D27:D36,D9:D25)*0.2</f>
        <v>0.71599999999999997</v>
      </c>
      <c r="E42" s="40">
        <f>SUM(E38:E41,E27:E36,E9:E25)*0.2</f>
        <v>0.41099999999999998</v>
      </c>
      <c r="F42" s="40">
        <f>SUM(F38:F41,F27:F36,F9:F25)*0.2</f>
        <v>0.46300000000000002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3.577</v>
      </c>
      <c r="D43" s="38">
        <f>SUM(D38:D40,D27:D36,D9:D25)+D41+D42</f>
        <v>4.2969999999999997</v>
      </c>
      <c r="E43" s="38">
        <f>SUM(E38:E40,E27:E36,E9:E25)+E41+E42</f>
        <v>2.4670000000000001</v>
      </c>
      <c r="F43" s="38">
        <f>SUM(F38:F40,F27:F36,F9:F25)+F41+F42</f>
        <v>2.778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D49" sqref="D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(Форма)'!BZ10&amp;", "&amp;'Управителю (Форма)'!BZ11</f>
        <v>вул. Харківська, 2</v>
      </c>
      <c r="B4" s="167"/>
      <c r="C4" s="167"/>
      <c r="D4" s="167"/>
      <c r="E4" s="167"/>
      <c r="F4" s="167"/>
    </row>
    <row r="5" spans="1:6" ht="19.5" thickBot="1">
      <c r="A5" s="4"/>
    </row>
    <row r="6" spans="1:6" ht="32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(Форма)'!BZ13</f>
        <v>0.45300000000000001</v>
      </c>
      <c r="D9" s="46">
        <f>C9</f>
        <v>0.45300000000000001</v>
      </c>
      <c r="E9" s="46">
        <f>C9</f>
        <v>0.45300000000000001</v>
      </c>
      <c r="F9" s="46">
        <f>C9</f>
        <v>0.45300000000000001</v>
      </c>
    </row>
    <row r="10" spans="1:6" ht="18.75">
      <c r="A10" s="45" t="s">
        <v>9</v>
      </c>
      <c r="B10" s="21" t="s">
        <v>10</v>
      </c>
      <c r="C10" s="46">
        <f>'Управителю (Форма)'!BZ14</f>
        <v>0.26500000000000001</v>
      </c>
      <c r="D10" s="46">
        <f t="shared" ref="D10:D25" si="0">C10</f>
        <v>0.26500000000000001</v>
      </c>
      <c r="E10" s="46"/>
      <c r="F10" s="46">
        <f t="shared" ref="F10:F25" si="1">C10</f>
        <v>0.26500000000000001</v>
      </c>
    </row>
    <row r="11" spans="1:6" ht="37.5">
      <c r="A11" s="45" t="s">
        <v>11</v>
      </c>
      <c r="B11" s="21" t="s">
        <v>12</v>
      </c>
      <c r="C11" s="46">
        <f>'Управителю (Форма)'!BZ15</f>
        <v>0.4</v>
      </c>
      <c r="D11" s="46">
        <f t="shared" si="0"/>
        <v>0.4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(Форма)'!BZ16</f>
        <v>1.0999999999999999E-2</v>
      </c>
      <c r="D12" s="46">
        <f t="shared" si="0"/>
        <v>1.0999999999999999E-2</v>
      </c>
      <c r="E12" s="46">
        <f t="shared" ref="E12:E25" si="2">C12</f>
        <v>1.0999999999999999E-2</v>
      </c>
      <c r="F12" s="46">
        <f t="shared" si="1"/>
        <v>1.0999999999999999E-2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(Форма)'!BZ17</f>
        <v>0.221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(Форма)'!BZ18</f>
        <v>2.5000000000000001E-2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(Форма)'!BZ19</f>
        <v>0.39200000000000002</v>
      </c>
      <c r="D15" s="161">
        <f t="shared" si="0"/>
        <v>0.39200000000000002</v>
      </c>
      <c r="E15" s="161">
        <f t="shared" si="2"/>
        <v>0.39200000000000002</v>
      </c>
      <c r="F15" s="161">
        <f t="shared" si="1"/>
        <v>0.39200000000000002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(Форма)'!BZ26</f>
        <v>8.9999999999999993E-3</v>
      </c>
      <c r="D22" s="46">
        <f t="shared" si="0"/>
        <v>8.9999999999999993E-3</v>
      </c>
      <c r="E22" s="46">
        <f t="shared" si="2"/>
        <v>8.9999999999999993E-3</v>
      </c>
      <c r="F22" s="46">
        <f t="shared" si="1"/>
        <v>8.9999999999999993E-3</v>
      </c>
    </row>
    <row r="23" spans="1:6" ht="18.75">
      <c r="A23" s="45" t="s">
        <v>29</v>
      </c>
      <c r="B23" s="21" t="s">
        <v>30</v>
      </c>
      <c r="C23" s="46">
        <f>'Управителю (Форма)'!BZ27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(Форма)'!BZ28</f>
        <v>2.5999999999999999E-2</v>
      </c>
      <c r="D24" s="46">
        <f t="shared" si="0"/>
        <v>2.5999999999999999E-2</v>
      </c>
      <c r="E24" s="46">
        <f t="shared" si="2"/>
        <v>2.5999999999999999E-2</v>
      </c>
      <c r="F24" s="46">
        <f t="shared" si="1"/>
        <v>2.5999999999999999E-2</v>
      </c>
    </row>
    <row r="25" spans="1:6" ht="75">
      <c r="A25" s="45" t="s">
        <v>33</v>
      </c>
      <c r="B25" s="21" t="s">
        <v>34</v>
      </c>
      <c r="C25" s="46">
        <f>'Управителю (Форма)'!BZ29</f>
        <v>3.3000000000000002E-2</v>
      </c>
      <c r="D25" s="46">
        <f t="shared" si="0"/>
        <v>3.3000000000000002E-2</v>
      </c>
      <c r="E25" s="46">
        <f t="shared" si="2"/>
        <v>3.3000000000000002E-2</v>
      </c>
      <c r="F25" s="46">
        <f t="shared" si="1"/>
        <v>3.3000000000000002E-2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(Форма)'!BZ31</f>
        <v>3.3000000000000002E-2</v>
      </c>
      <c r="D27" s="46">
        <f t="shared" ref="D27:D36" si="3">C27</f>
        <v>3.3000000000000002E-2</v>
      </c>
      <c r="E27" s="46">
        <f t="shared" ref="E27:E36" si="4">C27</f>
        <v>3.3000000000000002E-2</v>
      </c>
      <c r="F27" s="46">
        <f t="shared" ref="F27:F36" si="5">C27</f>
        <v>3.3000000000000002E-2</v>
      </c>
    </row>
    <row r="28" spans="1:6" ht="18.75">
      <c r="A28" s="155" t="s">
        <v>39</v>
      </c>
      <c r="B28" s="35" t="s">
        <v>40</v>
      </c>
      <c r="C28" s="156">
        <f>'Управителю (Форма)'!BZ32</f>
        <v>0.64600000000000002</v>
      </c>
      <c r="D28" s="156">
        <f t="shared" si="3"/>
        <v>0.64600000000000002</v>
      </c>
      <c r="E28" s="156">
        <f t="shared" si="4"/>
        <v>0.64600000000000002</v>
      </c>
      <c r="F28" s="156">
        <f t="shared" si="5"/>
        <v>0.64600000000000002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(Форма)'!BZ42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(Форма)'!BZ43</f>
        <v>0.219</v>
      </c>
      <c r="D39" s="46">
        <f>C39</f>
        <v>0.219</v>
      </c>
      <c r="E39" s="54">
        <f>C39/5/3</f>
        <v>1.4999999999999999E-2</v>
      </c>
      <c r="F39" s="54">
        <f>D39/5/3</f>
        <v>1.4999999999999999E-2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(Форма)'!BZ44</f>
        <v>0.35399999999999998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0.42299999999999999</v>
      </c>
      <c r="D41" s="39">
        <f>SUM(D38:D40,D27:D36,D9:D25)*('Управителю (Форма)'!$D$7-1)</f>
        <v>0.52500000000000002</v>
      </c>
      <c r="E41" s="39">
        <f>SUM(E38:E40,E27:E36,E9:E25)*('Управителю (Форма)'!$D$7-1)</f>
        <v>0.27500000000000002</v>
      </c>
      <c r="F41" s="39">
        <f>SUM(F38:F40,F27:F36,F9:F25)*('Управителю (Форма)'!$D$7-1)</f>
        <v>0.32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0.58199999999999996</v>
      </c>
      <c r="D42" s="40">
        <f>SUM(D38:D41,D27:D36,D9:D25)*0.2</f>
        <v>0.72299999999999998</v>
      </c>
      <c r="E42" s="40">
        <f>SUM(E38:E41,E27:E36,E9:E25)*0.2</f>
        <v>0.379</v>
      </c>
      <c r="F42" s="40">
        <f>SUM(F38:F41,F27:F36,F9:F25)*0.2</f>
        <v>0.441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3.4940000000000002</v>
      </c>
      <c r="D43" s="38">
        <f>SUM(D38:D40,D27:D36,D9:D25)+D41+D42</f>
        <v>4.3369999999999997</v>
      </c>
      <c r="E43" s="38">
        <f>SUM(E38:E40,E27:E36,E9:E25)+E41+E42</f>
        <v>2.274</v>
      </c>
      <c r="F43" s="38">
        <f>SUM(F38:F40,F27:F36,F9:F25)+F41+F42</f>
        <v>2.6459999999999999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D46" sqref="D46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(Форма)'!BY10&amp;", "&amp;'Управителю (Форма)'!BY11</f>
        <v>вул. Текстильникiв, 9а</v>
      </c>
      <c r="B4" s="167"/>
      <c r="C4" s="167"/>
      <c r="D4" s="167"/>
      <c r="E4" s="167"/>
      <c r="F4" s="167"/>
    </row>
    <row r="5" spans="1:6" ht="19.5" thickBot="1">
      <c r="A5" s="4"/>
    </row>
    <row r="6" spans="1:6" ht="33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(Форма)'!BY13</f>
        <v>0.60799999999999998</v>
      </c>
      <c r="D9" s="46">
        <f>C9</f>
        <v>0.60799999999999998</v>
      </c>
      <c r="E9" s="46">
        <f>C9</f>
        <v>0.60799999999999998</v>
      </c>
      <c r="F9" s="46">
        <f>C9</f>
        <v>0.60799999999999998</v>
      </c>
    </row>
    <row r="10" spans="1:6" ht="18.75">
      <c r="A10" s="45" t="s">
        <v>9</v>
      </c>
      <c r="B10" s="21" t="s">
        <v>10</v>
      </c>
      <c r="C10" s="46">
        <f>'Управителю (Форма)'!BY14</f>
        <v>0.28399999999999997</v>
      </c>
      <c r="D10" s="46">
        <f t="shared" ref="D10:D25" si="0">C10</f>
        <v>0.28399999999999997</v>
      </c>
      <c r="E10" s="46"/>
      <c r="F10" s="46">
        <f t="shared" ref="F10:F25" si="1">C10</f>
        <v>0.28399999999999997</v>
      </c>
    </row>
    <row r="11" spans="1:6" ht="37.5">
      <c r="A11" s="45" t="s">
        <v>11</v>
      </c>
      <c r="B11" s="21" t="s">
        <v>12</v>
      </c>
      <c r="C11" s="46">
        <f>'Управителю (Форма)'!BY15</f>
        <v>0.38700000000000001</v>
      </c>
      <c r="D11" s="46">
        <f t="shared" si="0"/>
        <v>0.38700000000000001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(Форма)'!BY16</f>
        <v>1.6E-2</v>
      </c>
      <c r="D12" s="46">
        <f t="shared" si="0"/>
        <v>1.6E-2</v>
      </c>
      <c r="E12" s="46">
        <f t="shared" ref="E12:E25" si="2">C12</f>
        <v>1.6E-2</v>
      </c>
      <c r="F12" s="46">
        <f t="shared" si="1"/>
        <v>1.6E-2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(Форма)'!BY17</f>
        <v>0.23100000000000001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(Форма)'!BY18</f>
        <v>2.8000000000000001E-2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(Форма)'!BY19</f>
        <v>0.378</v>
      </c>
      <c r="D15" s="161">
        <f t="shared" si="0"/>
        <v>0.378</v>
      </c>
      <c r="E15" s="161">
        <f t="shared" si="2"/>
        <v>0.378</v>
      </c>
      <c r="F15" s="161">
        <f t="shared" si="1"/>
        <v>0.378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(Форма)'!BY26</f>
        <v>1.7000000000000001E-2</v>
      </c>
      <c r="D22" s="46">
        <f t="shared" si="0"/>
        <v>1.7000000000000001E-2</v>
      </c>
      <c r="E22" s="46">
        <f t="shared" si="2"/>
        <v>1.7000000000000001E-2</v>
      </c>
      <c r="F22" s="46">
        <f t="shared" si="1"/>
        <v>1.7000000000000001E-2</v>
      </c>
    </row>
    <row r="23" spans="1:6" ht="18.75">
      <c r="A23" s="45" t="s">
        <v>29</v>
      </c>
      <c r="B23" s="21" t="s">
        <v>30</v>
      </c>
      <c r="C23" s="46">
        <f>'Управителю (Форма)'!BY27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(Форма)'!BY28</f>
        <v>2.1999999999999999E-2</v>
      </c>
      <c r="D24" s="46">
        <f t="shared" si="0"/>
        <v>2.1999999999999999E-2</v>
      </c>
      <c r="E24" s="46">
        <f t="shared" si="2"/>
        <v>2.1999999999999999E-2</v>
      </c>
      <c r="F24" s="46">
        <f t="shared" si="1"/>
        <v>2.1999999999999999E-2</v>
      </c>
    </row>
    <row r="25" spans="1:6" ht="75">
      <c r="A25" s="45" t="s">
        <v>33</v>
      </c>
      <c r="B25" s="21" t="s">
        <v>34</v>
      </c>
      <c r="C25" s="46">
        <f>'Управителю (Форма)'!BY29</f>
        <v>5.6000000000000001E-2</v>
      </c>
      <c r="D25" s="46">
        <f t="shared" si="0"/>
        <v>5.6000000000000001E-2</v>
      </c>
      <c r="E25" s="46">
        <f t="shared" si="2"/>
        <v>5.6000000000000001E-2</v>
      </c>
      <c r="F25" s="46">
        <f t="shared" si="1"/>
        <v>5.6000000000000001E-2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(Форма)'!BY31</f>
        <v>1.2999999999999999E-2</v>
      </c>
      <c r="D27" s="46">
        <f t="shared" ref="D27:D36" si="3">C27</f>
        <v>1.2999999999999999E-2</v>
      </c>
      <c r="E27" s="46">
        <f t="shared" ref="E27:E36" si="4">C27</f>
        <v>1.2999999999999999E-2</v>
      </c>
      <c r="F27" s="46">
        <f t="shared" ref="F27:F36" si="5">C27</f>
        <v>1.2999999999999999E-2</v>
      </c>
    </row>
    <row r="28" spans="1:6" ht="18.75">
      <c r="A28" s="155" t="s">
        <v>39</v>
      </c>
      <c r="B28" s="35" t="s">
        <v>40</v>
      </c>
      <c r="C28" s="156">
        <f>'Управителю (Форма)'!BY32</f>
        <v>0.58599999999999997</v>
      </c>
      <c r="D28" s="156">
        <f t="shared" si="3"/>
        <v>0.58599999999999997</v>
      </c>
      <c r="E28" s="156">
        <f t="shared" si="4"/>
        <v>0.58599999999999997</v>
      </c>
      <c r="F28" s="156">
        <f t="shared" si="5"/>
        <v>0.58599999999999997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(Форма)'!BY42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(Форма)'!BY43</f>
        <v>0.23799999999999999</v>
      </c>
      <c r="D39" s="46">
        <f>C39</f>
        <v>0.23799999999999999</v>
      </c>
      <c r="E39" s="46">
        <f>C39</f>
        <v>0.23799999999999999</v>
      </c>
      <c r="F39" s="46">
        <f>C39</f>
        <v>0.23799999999999999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(Форма)'!BY44</f>
        <v>0.23100000000000001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0.443</v>
      </c>
      <c r="D41" s="39">
        <f>SUM(D38:D40,D27:D36,D9:D25)*('Управителю (Форма)'!$D$7-1)</f>
        <v>0.52600000000000002</v>
      </c>
      <c r="E41" s="39">
        <f>SUM(E38:E40,E27:E36,E9:E25)*('Управителю (Форма)'!$D$7-1)</f>
        <v>0.32900000000000001</v>
      </c>
      <c r="F41" s="39">
        <f>SUM(F38:F40,F27:F36,F9:F25)*('Управителю (Форма)'!$D$7-1)</f>
        <v>0.377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0.61</v>
      </c>
      <c r="D42" s="40">
        <f>SUM(D38:D41,D27:D36,D9:D25)*0.2</f>
        <v>0.72499999999999998</v>
      </c>
      <c r="E42" s="40">
        <f>SUM(E38:E41,E27:E36,E9:E25)*0.2</f>
        <v>0.45300000000000001</v>
      </c>
      <c r="F42" s="40">
        <f>SUM(F38:F41,F27:F36,F9:F25)*0.2</f>
        <v>0.51900000000000002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3.66</v>
      </c>
      <c r="D43" s="38">
        <f>SUM(D38:D40,D27:D36,D9:D25)+D41+D42</f>
        <v>4.3479999999999999</v>
      </c>
      <c r="E43" s="38">
        <f>SUM(E38:E40,E27:E36,E9:E25)+E41+E42</f>
        <v>2.718</v>
      </c>
      <c r="F43" s="38">
        <f>SUM(F38:F40,F27:F36,F9:F25)+F41+F42</f>
        <v>3.1160000000000001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3" workbookViewId="0">
      <selection activeCell="C46" sqref="C46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(Форма)'!BX10&amp;", "&amp;'Управителю (Форма)'!BX11</f>
        <v>вул. Текстильникiв, 9</v>
      </c>
      <c r="B4" s="167"/>
      <c r="C4" s="167"/>
      <c r="D4" s="167"/>
      <c r="E4" s="167"/>
      <c r="F4" s="167"/>
    </row>
    <row r="5" spans="1:6" ht="19.5" thickBot="1">
      <c r="A5" s="4"/>
    </row>
    <row r="6" spans="1:6" ht="32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(Форма)'!BX13</f>
        <v>0.41099999999999998</v>
      </c>
      <c r="D9" s="46">
        <f>C9</f>
        <v>0.41099999999999998</v>
      </c>
      <c r="E9" s="46">
        <f>C9</f>
        <v>0.41099999999999998</v>
      </c>
      <c r="F9" s="46">
        <f>C9</f>
        <v>0.41099999999999998</v>
      </c>
    </row>
    <row r="10" spans="1:6" ht="18.75">
      <c r="A10" s="45" t="s">
        <v>9</v>
      </c>
      <c r="B10" s="21" t="s">
        <v>10</v>
      </c>
      <c r="C10" s="46">
        <f>'Управителю (Форма)'!BX14</f>
        <v>0.29099999999999998</v>
      </c>
      <c r="D10" s="46">
        <f t="shared" ref="D10:D25" si="0">C10</f>
        <v>0.29099999999999998</v>
      </c>
      <c r="E10" s="46"/>
      <c r="F10" s="46">
        <f t="shared" ref="F10:F25" si="1">C10</f>
        <v>0.29099999999999998</v>
      </c>
    </row>
    <row r="11" spans="1:6" ht="37.5">
      <c r="A11" s="45" t="s">
        <v>11</v>
      </c>
      <c r="B11" s="21" t="s">
        <v>12</v>
      </c>
      <c r="C11" s="46">
        <f>'Управителю (Форма)'!BX15</f>
        <v>0.34499999999999997</v>
      </c>
      <c r="D11" s="46">
        <f t="shared" si="0"/>
        <v>0.34499999999999997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(Форма)'!BX16</f>
        <v>1.6E-2</v>
      </c>
      <c r="D12" s="46">
        <f t="shared" si="0"/>
        <v>1.6E-2</v>
      </c>
      <c r="E12" s="46">
        <f t="shared" ref="E12:E25" si="2">C12</f>
        <v>1.6E-2</v>
      </c>
      <c r="F12" s="46">
        <f t="shared" si="1"/>
        <v>1.6E-2</v>
      </c>
    </row>
    <row r="13" spans="1:6" ht="18.75">
      <c r="A13" s="45" t="s">
        <v>15</v>
      </c>
      <c r="B13" s="21" t="s">
        <v>16</v>
      </c>
      <c r="C13" s="65"/>
      <c r="D13" s="46">
        <f>'Управителю (Форма)'!BX17</f>
        <v>0.38300000000000001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65">
        <f>'Управителю (Форма)'!BX18</f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(Форма)'!BX19</f>
        <v>0.42599999999999999</v>
      </c>
      <c r="D15" s="161">
        <f t="shared" si="0"/>
        <v>0.42599999999999999</v>
      </c>
      <c r="E15" s="161">
        <f t="shared" si="2"/>
        <v>0.42599999999999999</v>
      </c>
      <c r="F15" s="161">
        <f t="shared" si="1"/>
        <v>0.42599999999999999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(Форма)'!BX26</f>
        <v>1.6E-2</v>
      </c>
      <c r="D22" s="46">
        <f t="shared" si="0"/>
        <v>1.6E-2</v>
      </c>
      <c r="E22" s="46">
        <f t="shared" si="2"/>
        <v>1.6E-2</v>
      </c>
      <c r="F22" s="46">
        <f t="shared" si="1"/>
        <v>1.6E-2</v>
      </c>
    </row>
    <row r="23" spans="1:6" ht="18.75">
      <c r="A23" s="45" t="s">
        <v>29</v>
      </c>
      <c r="B23" s="21" t="s">
        <v>30</v>
      </c>
      <c r="C23" s="46">
        <f>'Управителю (Форма)'!BX27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(Форма)'!BX28</f>
        <v>2.1999999999999999E-2</v>
      </c>
      <c r="D24" s="46">
        <f t="shared" si="0"/>
        <v>2.1999999999999999E-2</v>
      </c>
      <c r="E24" s="46">
        <f t="shared" si="2"/>
        <v>2.1999999999999999E-2</v>
      </c>
      <c r="F24" s="46">
        <f t="shared" si="1"/>
        <v>2.1999999999999999E-2</v>
      </c>
    </row>
    <row r="25" spans="1:6" ht="75">
      <c r="A25" s="45" t="s">
        <v>33</v>
      </c>
      <c r="B25" s="21" t="s">
        <v>34</v>
      </c>
      <c r="C25" s="46">
        <f>'Управителю (Форма)'!BX29</f>
        <v>0.04</v>
      </c>
      <c r="D25" s="46">
        <f t="shared" si="0"/>
        <v>0.04</v>
      </c>
      <c r="E25" s="46">
        <f t="shared" si="2"/>
        <v>0.04</v>
      </c>
      <c r="F25" s="46">
        <f t="shared" si="1"/>
        <v>0.04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(Форма)'!BX31</f>
        <v>2.5000000000000001E-2</v>
      </c>
      <c r="D27" s="46">
        <f t="shared" ref="D27:D36" si="3">C27</f>
        <v>2.5000000000000001E-2</v>
      </c>
      <c r="E27" s="46">
        <f t="shared" ref="E27:E36" si="4">C27</f>
        <v>2.5000000000000001E-2</v>
      </c>
      <c r="F27" s="46">
        <f t="shared" ref="F27:F36" si="5">C27</f>
        <v>2.5000000000000001E-2</v>
      </c>
    </row>
    <row r="28" spans="1:6" ht="18.75">
      <c r="A28" s="155" t="s">
        <v>39</v>
      </c>
      <c r="B28" s="35" t="s">
        <v>40</v>
      </c>
      <c r="C28" s="156">
        <f>'Управителю (Форма)'!BX32</f>
        <v>0.66</v>
      </c>
      <c r="D28" s="156">
        <f t="shared" si="3"/>
        <v>0.66</v>
      </c>
      <c r="E28" s="156">
        <f t="shared" si="4"/>
        <v>0.66</v>
      </c>
      <c r="F28" s="156">
        <f t="shared" si="5"/>
        <v>0.66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(Форма)'!BX42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(Форма)'!BX43</f>
        <v>0.24399999999999999</v>
      </c>
      <c r="D39" s="46">
        <f>C39</f>
        <v>0.24399999999999999</v>
      </c>
      <c r="E39" s="46">
        <f>C39</f>
        <v>0.24399999999999999</v>
      </c>
      <c r="F39" s="46">
        <f>C39</f>
        <v>0.24399999999999999</v>
      </c>
    </row>
    <row r="40" spans="1:6" ht="18.75">
      <c r="A40" s="45" t="s">
        <v>51</v>
      </c>
      <c r="B40" s="20" t="s">
        <v>52</v>
      </c>
      <c r="C40" s="46"/>
      <c r="D40" s="65">
        <f>'Управителю (Форма)'!BX44</f>
        <v>0.23200000000000001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0.42499999999999999</v>
      </c>
      <c r="D41" s="39">
        <f>SUM(D38:D40,D27:D36,D9:D25)*('Управителю (Форма)'!$D$7-1)</f>
        <v>0.52900000000000003</v>
      </c>
      <c r="E41" s="39">
        <f>SUM(E38:E40,E27:E36,E9:E25)*('Управителю (Форма)'!$D$7-1)</f>
        <v>0.317</v>
      </c>
      <c r="F41" s="39">
        <f>SUM(F38:F40,F27:F36,F9:F25)*('Управителю (Форма)'!$D$7-1)</f>
        <v>0.36599999999999999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0.58499999999999996</v>
      </c>
      <c r="D42" s="40">
        <f>SUM(D38:D41,D27:D36,D9:D25)*0.2</f>
        <v>0.72799999999999998</v>
      </c>
      <c r="E42" s="40">
        <f>SUM(E38:E41,E27:E36,E9:E25)*0.2</f>
        <v>0.436</v>
      </c>
      <c r="F42" s="40">
        <f>SUM(F38:F41,F27:F36,F9:F25)*0.2</f>
        <v>0.504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3.508</v>
      </c>
      <c r="D43" s="38">
        <f>SUM(D38:D40,D27:D36,D9:D25)+D41+D42</f>
        <v>4.37</v>
      </c>
      <c r="E43" s="38">
        <f>SUM(E38:E40,E27:E36,E9:E25)+E41+E42</f>
        <v>2.6150000000000002</v>
      </c>
      <c r="F43" s="38">
        <f>SUM(F38:F40,F27:F36,F9:F25)+F41+F42</f>
        <v>3.0230000000000001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C46" sqref="C46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(Форма)'!BW10&amp;", "&amp;'Управителю (Форма)'!BW11</f>
        <v>вул. Текстильникiв, 8</v>
      </c>
      <c r="B4" s="167"/>
      <c r="C4" s="167"/>
      <c r="D4" s="167"/>
      <c r="E4" s="167"/>
      <c r="F4" s="167"/>
    </row>
    <row r="5" spans="1:6" ht="19.5" thickBot="1">
      <c r="A5" s="4"/>
    </row>
    <row r="6" spans="1:6" ht="33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(Форма)'!BW13</f>
        <v>0.35899999999999999</v>
      </c>
      <c r="D9" s="46">
        <f>C9</f>
        <v>0.35899999999999999</v>
      </c>
      <c r="E9" s="46">
        <f>C9</f>
        <v>0.35899999999999999</v>
      </c>
      <c r="F9" s="46">
        <f>C9</f>
        <v>0.35899999999999999</v>
      </c>
    </row>
    <row r="10" spans="1:6" ht="18.75">
      <c r="A10" s="45" t="s">
        <v>9</v>
      </c>
      <c r="B10" s="21" t="s">
        <v>10</v>
      </c>
      <c r="C10" s="46">
        <f>'Управителю (Форма)'!BW14</f>
        <v>0.11</v>
      </c>
      <c r="D10" s="46">
        <f t="shared" ref="D10:D25" si="0">C10</f>
        <v>0.11</v>
      </c>
      <c r="E10" s="46"/>
      <c r="F10" s="46">
        <f t="shared" ref="F10:F25" si="1">C10</f>
        <v>0.11</v>
      </c>
    </row>
    <row r="11" spans="1:6" ht="37.5">
      <c r="A11" s="45" t="s">
        <v>11</v>
      </c>
      <c r="B11" s="21" t="s">
        <v>12</v>
      </c>
      <c r="C11" s="46">
        <f>'Управителю (Форма)'!BW15</f>
        <v>0.90500000000000003</v>
      </c>
      <c r="D11" s="46">
        <f t="shared" si="0"/>
        <v>0.90500000000000003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(Форма)'!BW16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(Форма)'!BW19</f>
        <v>0.33</v>
      </c>
      <c r="D15" s="161">
        <f t="shared" si="0"/>
        <v>0.33</v>
      </c>
      <c r="E15" s="161">
        <f t="shared" si="2"/>
        <v>0.33</v>
      </c>
      <c r="F15" s="161">
        <f t="shared" si="1"/>
        <v>0.33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(Форма)'!BW26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(Форма)'!BW27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(Форма)'!BW28</f>
        <v>2.4E-2</v>
      </c>
      <c r="D24" s="46">
        <f t="shared" si="0"/>
        <v>2.4E-2</v>
      </c>
      <c r="E24" s="46">
        <f t="shared" si="2"/>
        <v>2.4E-2</v>
      </c>
      <c r="F24" s="46">
        <f t="shared" si="1"/>
        <v>2.4E-2</v>
      </c>
    </row>
    <row r="25" spans="1:6" ht="75">
      <c r="A25" s="45" t="s">
        <v>33</v>
      </c>
      <c r="B25" s="21" t="s">
        <v>34</v>
      </c>
      <c r="C25" s="46">
        <f>'Управителю (Форма)'!BW29</f>
        <v>8.5000000000000006E-2</v>
      </c>
      <c r="D25" s="46">
        <f t="shared" si="0"/>
        <v>8.5000000000000006E-2</v>
      </c>
      <c r="E25" s="46">
        <f t="shared" si="2"/>
        <v>8.5000000000000006E-2</v>
      </c>
      <c r="F25" s="46">
        <f t="shared" si="1"/>
        <v>8.5000000000000006E-2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(Форма)'!BW31</f>
        <v>3.2000000000000001E-2</v>
      </c>
      <c r="D27" s="46">
        <f t="shared" ref="D27:D36" si="3">C27</f>
        <v>3.2000000000000001E-2</v>
      </c>
      <c r="E27" s="46">
        <f t="shared" ref="E27:E36" si="4">C27</f>
        <v>3.2000000000000001E-2</v>
      </c>
      <c r="F27" s="46">
        <f t="shared" ref="F27:F36" si="5">C27</f>
        <v>3.2000000000000001E-2</v>
      </c>
    </row>
    <row r="28" spans="1:6" ht="18.75">
      <c r="A28" s="155" t="s">
        <v>39</v>
      </c>
      <c r="B28" s="35" t="s">
        <v>40</v>
      </c>
      <c r="C28" s="156">
        <f>'Управителю (Форма)'!BW32</f>
        <v>0.48799999999999999</v>
      </c>
      <c r="D28" s="156">
        <f t="shared" si="3"/>
        <v>0.48799999999999999</v>
      </c>
      <c r="E28" s="156">
        <f t="shared" si="4"/>
        <v>0.48799999999999999</v>
      </c>
      <c r="F28" s="156">
        <f t="shared" si="5"/>
        <v>0.48799999999999999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(Форма)'!BW42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(Форма)'!BW43</f>
        <v>0.20399999999999999</v>
      </c>
      <c r="D39" s="46">
        <f>C39</f>
        <v>0.20399999999999999</v>
      </c>
      <c r="E39" s="46">
        <f>C39</f>
        <v>0.20399999999999999</v>
      </c>
      <c r="F39" s="46">
        <f>C39</f>
        <v>0.20399999999999999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0.43099999999999999</v>
      </c>
      <c r="D41" s="39">
        <f>SUM(D38:D40,D27:D36,D9:D25)*('Управителю (Форма)'!$D$7-1)</f>
        <v>0.43099999999999999</v>
      </c>
      <c r="E41" s="39">
        <f>SUM(E38:E40,E27:E36,E9:E25)*('Управителю (Форма)'!$D$7-1)</f>
        <v>0.25900000000000001</v>
      </c>
      <c r="F41" s="39">
        <f>SUM(F38:F40,F27:F36,F9:F25)*('Управителю (Форма)'!$D$7-1)</f>
        <v>0.27800000000000002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0.59399999999999997</v>
      </c>
      <c r="D42" s="40">
        <f>SUM(D38:D41,D27:D36,D9:D25)*0.2</f>
        <v>0.59399999999999997</v>
      </c>
      <c r="E42" s="40">
        <f>SUM(E38:E41,E27:E36,E9:E25)*0.2</f>
        <v>0.35599999999999998</v>
      </c>
      <c r="F42" s="40">
        <f>SUM(F38:F41,F27:F36,F9:F25)*0.2</f>
        <v>0.38200000000000001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3.5630000000000002</v>
      </c>
      <c r="D43" s="38">
        <f>SUM(D38:D40,D27:D36,D9:D25)+D41+D42</f>
        <v>3.5630000000000002</v>
      </c>
      <c r="E43" s="38">
        <f>SUM(E38:E40,E27:E36,E9:E25)+E41+E42</f>
        <v>2.1379999999999999</v>
      </c>
      <c r="F43" s="38">
        <f>SUM(F38:F40,F27:F36,F9:F25)+F41+F42</f>
        <v>2.2930000000000001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D47" sqref="D47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(Форма)'!BV10&amp;", "&amp;'Управителю (Форма)'!BV11</f>
        <v>вул. Текстильникiв, 6</v>
      </c>
      <c r="B4" s="167"/>
      <c r="C4" s="167"/>
      <c r="D4" s="167"/>
      <c r="E4" s="167"/>
      <c r="F4" s="167"/>
    </row>
    <row r="5" spans="1:6" ht="19.5" thickBot="1">
      <c r="A5" s="4"/>
    </row>
    <row r="6" spans="1:6" ht="31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(Форма)'!BV13</f>
        <v>0.28100000000000003</v>
      </c>
      <c r="D9" s="46">
        <f>C9</f>
        <v>0.28100000000000003</v>
      </c>
      <c r="E9" s="46">
        <f>C9</f>
        <v>0.28100000000000003</v>
      </c>
      <c r="F9" s="46">
        <f>C9</f>
        <v>0.28100000000000003</v>
      </c>
    </row>
    <row r="10" spans="1:6" ht="18.75">
      <c r="A10" s="45" t="s">
        <v>9</v>
      </c>
      <c r="B10" s="21" t="s">
        <v>10</v>
      </c>
      <c r="C10" s="46">
        <f>'Управителю (Форма)'!BV14</f>
        <v>0.127</v>
      </c>
      <c r="D10" s="46">
        <f t="shared" ref="D10:D25" si="0">C10</f>
        <v>0.127</v>
      </c>
      <c r="E10" s="46"/>
      <c r="F10" s="46">
        <f t="shared" ref="F10:F25" si="1">C10</f>
        <v>0.127</v>
      </c>
    </row>
    <row r="11" spans="1:6" ht="37.5">
      <c r="A11" s="45" t="s">
        <v>11</v>
      </c>
      <c r="B11" s="21" t="s">
        <v>12</v>
      </c>
      <c r="C11" s="46">
        <f>'Управителю (Форма)'!BV15</f>
        <v>0.34799999999999998</v>
      </c>
      <c r="D11" s="46">
        <f t="shared" si="0"/>
        <v>0.34799999999999998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(Форма)'!BV16</f>
        <v>8.9999999999999993E-3</v>
      </c>
      <c r="D12" s="46">
        <f t="shared" si="0"/>
        <v>8.9999999999999993E-3</v>
      </c>
      <c r="E12" s="46">
        <f t="shared" ref="E12:E25" si="2">C12</f>
        <v>8.9999999999999993E-3</v>
      </c>
      <c r="F12" s="46">
        <f t="shared" si="1"/>
        <v>8.9999999999999993E-3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(Форма)'!BV19</f>
        <v>0.49099999999999999</v>
      </c>
      <c r="D15" s="161">
        <f t="shared" si="0"/>
        <v>0.49099999999999999</v>
      </c>
      <c r="E15" s="161">
        <f t="shared" si="2"/>
        <v>0.49099999999999999</v>
      </c>
      <c r="F15" s="161">
        <f t="shared" si="1"/>
        <v>0.49099999999999999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(Форма)'!BV26</f>
        <v>2.8000000000000001E-2</v>
      </c>
      <c r="D22" s="46">
        <f t="shared" si="0"/>
        <v>2.8000000000000001E-2</v>
      </c>
      <c r="E22" s="46">
        <f t="shared" si="2"/>
        <v>2.8000000000000001E-2</v>
      </c>
      <c r="F22" s="46">
        <f t="shared" si="1"/>
        <v>2.8000000000000001E-2</v>
      </c>
    </row>
    <row r="23" spans="1:6" ht="18.75">
      <c r="A23" s="45" t="s">
        <v>29</v>
      </c>
      <c r="B23" s="21" t="s">
        <v>30</v>
      </c>
      <c r="C23" s="46">
        <f>'Управителю (Форма)'!BV27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(Форма)'!BV28</f>
        <v>4.9000000000000002E-2</v>
      </c>
      <c r="D24" s="46">
        <f t="shared" si="0"/>
        <v>4.9000000000000002E-2</v>
      </c>
      <c r="E24" s="46">
        <f t="shared" si="2"/>
        <v>4.9000000000000002E-2</v>
      </c>
      <c r="F24" s="46">
        <f t="shared" si="1"/>
        <v>4.9000000000000002E-2</v>
      </c>
    </row>
    <row r="25" spans="1:6" ht="75">
      <c r="A25" s="45" t="s">
        <v>33</v>
      </c>
      <c r="B25" s="21" t="s">
        <v>34</v>
      </c>
      <c r="C25" s="46">
        <f>'Управителю (Форма)'!BV29</f>
        <v>7.0999999999999994E-2</v>
      </c>
      <c r="D25" s="46">
        <f t="shared" si="0"/>
        <v>7.0999999999999994E-2</v>
      </c>
      <c r="E25" s="46">
        <f t="shared" si="2"/>
        <v>7.0999999999999994E-2</v>
      </c>
      <c r="F25" s="46">
        <f t="shared" si="1"/>
        <v>7.0999999999999994E-2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(Форма)'!BV31</f>
        <v>6.4000000000000001E-2</v>
      </c>
      <c r="D27" s="46">
        <f t="shared" ref="D27:D36" si="3">C27</f>
        <v>6.4000000000000001E-2</v>
      </c>
      <c r="E27" s="46">
        <f t="shared" ref="E27:E36" si="4">C27</f>
        <v>6.4000000000000001E-2</v>
      </c>
      <c r="F27" s="46">
        <f t="shared" ref="F27:F36" si="5">C27</f>
        <v>6.4000000000000001E-2</v>
      </c>
    </row>
    <row r="28" spans="1:6" ht="18.75">
      <c r="A28" s="155" t="s">
        <v>39</v>
      </c>
      <c r="B28" s="35" t="s">
        <v>40</v>
      </c>
      <c r="C28" s="156">
        <f>'Управителю (Форма)'!BV32</f>
        <v>0.91</v>
      </c>
      <c r="D28" s="156">
        <f t="shared" si="3"/>
        <v>0.91</v>
      </c>
      <c r="E28" s="156">
        <f t="shared" si="4"/>
        <v>0.91</v>
      </c>
      <c r="F28" s="156">
        <f t="shared" si="5"/>
        <v>0.91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(Форма)'!BV42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(Форма)'!BV43</f>
        <v>0.17</v>
      </c>
      <c r="D39" s="46">
        <f>C39</f>
        <v>0.17</v>
      </c>
      <c r="E39" s="46">
        <f>C39</f>
        <v>0.17</v>
      </c>
      <c r="F39" s="46">
        <f>C39</f>
        <v>0.17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0.434</v>
      </c>
      <c r="D41" s="39">
        <f>SUM(D38:D40,D27:D36,D9:D25)*('Управителю (Форма)'!$D$7-1)</f>
        <v>0.434</v>
      </c>
      <c r="E41" s="39">
        <f>SUM(E38:E40,E27:E36,E9:E25)*('Управителю (Форма)'!$D$7-1)</f>
        <v>0.35299999999999998</v>
      </c>
      <c r="F41" s="39">
        <f>SUM(F38:F40,F27:F36,F9:F25)*('Управителю (Форма)'!$D$7-1)</f>
        <v>0.374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0.59699999999999998</v>
      </c>
      <c r="D42" s="40">
        <f>SUM(D38:D41,D27:D36,D9:D25)*0.2</f>
        <v>0.59699999999999998</v>
      </c>
      <c r="E42" s="40">
        <f>SUM(E38:E41,E27:E36,E9:E25)*0.2</f>
        <v>0.48599999999999999</v>
      </c>
      <c r="F42" s="40">
        <f>SUM(F38:F41,F27:F36,F9:F25)*0.2</f>
        <v>0.51500000000000001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3.581</v>
      </c>
      <c r="D43" s="38">
        <f>SUM(D38:D40,D27:D36,D9:D25)+D41+D42</f>
        <v>3.581</v>
      </c>
      <c r="E43" s="38">
        <f>SUM(E38:E40,E27:E36,E9:E25)+E41+E42</f>
        <v>2.9140000000000001</v>
      </c>
      <c r="F43" s="38">
        <f>SUM(F38:F40,F27:F36,F9:F25)+F41+F42</f>
        <v>3.0910000000000002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D46" sqref="D46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(Форма)'!BU10&amp;", "&amp;'Управителю (Форма)'!BU11</f>
        <v>вул. Текстильникiв, 41</v>
      </c>
      <c r="B4" s="167"/>
      <c r="C4" s="167"/>
      <c r="D4" s="167"/>
      <c r="E4" s="167"/>
      <c r="F4" s="167"/>
    </row>
    <row r="5" spans="1:6" ht="19.5" thickBot="1">
      <c r="A5" s="4"/>
    </row>
    <row r="6" spans="1:6" ht="33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(Форма)'!BU13</f>
        <v>0.39900000000000002</v>
      </c>
      <c r="D9" s="46">
        <f>C9</f>
        <v>0.39900000000000002</v>
      </c>
      <c r="E9" s="46">
        <f>C9</f>
        <v>0.39900000000000002</v>
      </c>
      <c r="F9" s="46">
        <f>C9</f>
        <v>0.39900000000000002</v>
      </c>
    </row>
    <row r="10" spans="1:6" ht="18.75">
      <c r="A10" s="45" t="s">
        <v>9</v>
      </c>
      <c r="B10" s="21" t="s">
        <v>10</v>
      </c>
      <c r="C10" s="46">
        <f>'Управителю (Форма)'!BU14</f>
        <v>0.107</v>
      </c>
      <c r="D10" s="46">
        <f t="shared" ref="D10:D25" si="0">C10</f>
        <v>0.107</v>
      </c>
      <c r="E10" s="46"/>
      <c r="F10" s="46">
        <f t="shared" ref="F10:F25" si="1">C10</f>
        <v>0.107</v>
      </c>
    </row>
    <row r="11" spans="1:6" ht="37.5">
      <c r="A11" s="45" t="s">
        <v>11</v>
      </c>
      <c r="B11" s="21" t="s">
        <v>12</v>
      </c>
      <c r="C11" s="46">
        <f>'Управителю (Форма)'!BU15</f>
        <v>0.33700000000000002</v>
      </c>
      <c r="D11" s="46">
        <f t="shared" si="0"/>
        <v>0.33700000000000002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(Форма)'!BU16</f>
        <v>5.0000000000000001E-3</v>
      </c>
      <c r="D12" s="46">
        <f t="shared" si="0"/>
        <v>5.0000000000000001E-3</v>
      </c>
      <c r="E12" s="46">
        <f t="shared" ref="E12:E25" si="2">C12</f>
        <v>5.0000000000000001E-3</v>
      </c>
      <c r="F12" s="46">
        <f t="shared" si="1"/>
        <v>5.0000000000000001E-3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(Форма)'!BU19</f>
        <v>0.4</v>
      </c>
      <c r="D15" s="161">
        <f t="shared" si="0"/>
        <v>0.4</v>
      </c>
      <c r="E15" s="161">
        <f t="shared" si="2"/>
        <v>0.4</v>
      </c>
      <c r="F15" s="161">
        <f t="shared" si="1"/>
        <v>0.4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(Форма)'!BU26</f>
        <v>1.6E-2</v>
      </c>
      <c r="D22" s="46">
        <f t="shared" si="0"/>
        <v>1.6E-2</v>
      </c>
      <c r="E22" s="46">
        <f t="shared" si="2"/>
        <v>1.6E-2</v>
      </c>
      <c r="F22" s="46">
        <f t="shared" si="1"/>
        <v>1.6E-2</v>
      </c>
    </row>
    <row r="23" spans="1:6" ht="18.75">
      <c r="A23" s="45" t="s">
        <v>29</v>
      </c>
      <c r="B23" s="21" t="s">
        <v>30</v>
      </c>
      <c r="C23" s="46">
        <f>'Управителю (Форма)'!BU27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(Форма)'!BU28</f>
        <v>2.5000000000000001E-2</v>
      </c>
      <c r="D24" s="46">
        <f t="shared" si="0"/>
        <v>2.5000000000000001E-2</v>
      </c>
      <c r="E24" s="46">
        <f t="shared" si="2"/>
        <v>2.5000000000000001E-2</v>
      </c>
      <c r="F24" s="46">
        <f t="shared" si="1"/>
        <v>2.5000000000000001E-2</v>
      </c>
    </row>
    <row r="25" spans="1:6" ht="75">
      <c r="A25" s="45" t="s">
        <v>33</v>
      </c>
      <c r="B25" s="21" t="s">
        <v>34</v>
      </c>
      <c r="C25" s="46">
        <f>'Управителю (Форма)'!BU29</f>
        <v>7.8E-2</v>
      </c>
      <c r="D25" s="46">
        <f t="shared" si="0"/>
        <v>7.8E-2</v>
      </c>
      <c r="E25" s="46">
        <f t="shared" si="2"/>
        <v>7.8E-2</v>
      </c>
      <c r="F25" s="46">
        <f t="shared" si="1"/>
        <v>7.8E-2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(Форма)'!BU31</f>
        <v>5.0999999999999997E-2</v>
      </c>
      <c r="D27" s="46">
        <f t="shared" ref="D27:D36" si="3">C27</f>
        <v>5.0999999999999997E-2</v>
      </c>
      <c r="E27" s="46">
        <f t="shared" ref="E27:E36" si="4">C27</f>
        <v>5.0999999999999997E-2</v>
      </c>
      <c r="F27" s="46">
        <f t="shared" ref="F27:F36" si="5">C27</f>
        <v>5.0999999999999997E-2</v>
      </c>
    </row>
    <row r="28" spans="1:6" ht="18.75">
      <c r="A28" s="155" t="s">
        <v>39</v>
      </c>
      <c r="B28" s="35" t="s">
        <v>40</v>
      </c>
      <c r="C28" s="156">
        <f>'Управителю (Форма)'!BU32</f>
        <v>0.7</v>
      </c>
      <c r="D28" s="156">
        <f t="shared" si="3"/>
        <v>0.7</v>
      </c>
      <c r="E28" s="156">
        <f t="shared" si="4"/>
        <v>0.7</v>
      </c>
      <c r="F28" s="156">
        <f t="shared" si="5"/>
        <v>0.7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(Форма)'!BU42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(Форма)'!BU43</f>
        <v>0.14199999999999999</v>
      </c>
      <c r="D39" s="46">
        <f>C39</f>
        <v>0.14199999999999999</v>
      </c>
      <c r="E39" s="46">
        <f>C39</f>
        <v>0.14199999999999999</v>
      </c>
      <c r="F39" s="46">
        <f>C39</f>
        <v>0.14199999999999999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0.38500000000000001</v>
      </c>
      <c r="D41" s="39">
        <f>SUM(D38:D40,D27:D36,D9:D25)*('Управителю (Форма)'!$D$7-1)</f>
        <v>0.38500000000000001</v>
      </c>
      <c r="E41" s="39">
        <f>SUM(E38:E40,E27:E36,E9:E25)*('Управителю (Форма)'!$D$7-1)</f>
        <v>0.309</v>
      </c>
      <c r="F41" s="39">
        <f>SUM(F38:F40,F27:F36,F9:F25)*('Управителю (Форма)'!$D$7-1)</f>
        <v>0.32700000000000001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0.52900000000000003</v>
      </c>
      <c r="D42" s="40">
        <f>SUM(D38:D41,D27:D36,D9:D25)*0.2</f>
        <v>0.52900000000000003</v>
      </c>
      <c r="E42" s="40">
        <f>SUM(E38:E41,E27:E36,E9:E25)*0.2</f>
        <v>0.42499999999999999</v>
      </c>
      <c r="F42" s="40">
        <f>SUM(F38:F41,F27:F36,F9:F25)*0.2</f>
        <v>0.45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3.1760000000000002</v>
      </c>
      <c r="D43" s="38">
        <f>SUM(D38:D40,D27:D36,D9:D25)+D41+D42</f>
        <v>3.1760000000000002</v>
      </c>
      <c r="E43" s="38">
        <f>SUM(E38:E40,E27:E36,E9:E25)+E41+E42</f>
        <v>2.552</v>
      </c>
      <c r="F43" s="38">
        <f>SUM(F38:F40,F27:F36,F9:F25)+F41+F42</f>
        <v>2.702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B47" sqref="B47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(Форма)'!BT10&amp;", "&amp;'Управителю (Форма)'!BT11</f>
        <v>вул. Текстильникiв, 4</v>
      </c>
      <c r="B4" s="167"/>
      <c r="C4" s="167"/>
      <c r="D4" s="167"/>
      <c r="E4" s="167"/>
      <c r="F4" s="167"/>
    </row>
    <row r="5" spans="1:6" ht="19.5" thickBot="1">
      <c r="A5" s="4"/>
    </row>
    <row r="6" spans="1:6" ht="32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(Форма)'!BT13</f>
        <v>0.32900000000000001</v>
      </c>
      <c r="D9" s="46">
        <f>C9</f>
        <v>0.32900000000000001</v>
      </c>
      <c r="E9" s="46">
        <f>C9</f>
        <v>0.32900000000000001</v>
      </c>
      <c r="F9" s="46">
        <f>C9</f>
        <v>0.32900000000000001</v>
      </c>
    </row>
    <row r="10" spans="1:6" ht="18.75">
      <c r="A10" s="45" t="s">
        <v>9</v>
      </c>
      <c r="B10" s="21" t="s">
        <v>10</v>
      </c>
      <c r="C10" s="46">
        <f>'Управителю (Форма)'!BT14</f>
        <v>0.17499999999999999</v>
      </c>
      <c r="D10" s="46">
        <f t="shared" ref="D10:D25" si="0">C10</f>
        <v>0.17499999999999999</v>
      </c>
      <c r="E10" s="46"/>
      <c r="F10" s="46">
        <f t="shared" ref="F10:F25" si="1">C10</f>
        <v>0.17499999999999999</v>
      </c>
    </row>
    <row r="11" spans="1:6" ht="37.5">
      <c r="A11" s="45" t="s">
        <v>11</v>
      </c>
      <c r="B11" s="21" t="s">
        <v>12</v>
      </c>
      <c r="C11" s="46">
        <f>'Управителю (Форма)'!BT15</f>
        <v>0.38700000000000001</v>
      </c>
      <c r="D11" s="46">
        <f t="shared" si="0"/>
        <v>0.38700000000000001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(Форма)'!BT16</f>
        <v>1.6E-2</v>
      </c>
      <c r="D12" s="46">
        <f t="shared" si="0"/>
        <v>1.6E-2</v>
      </c>
      <c r="E12" s="46">
        <f t="shared" ref="E12:E25" si="2">C12</f>
        <v>1.6E-2</v>
      </c>
      <c r="F12" s="46">
        <f t="shared" si="1"/>
        <v>1.6E-2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(Форма)'!BT19</f>
        <v>0.42</v>
      </c>
      <c r="D15" s="161">
        <f t="shared" si="0"/>
        <v>0.42</v>
      </c>
      <c r="E15" s="161">
        <f t="shared" si="2"/>
        <v>0.42</v>
      </c>
      <c r="F15" s="161">
        <f t="shared" si="1"/>
        <v>0.42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(Форма)'!BT26</f>
        <v>2.3E-2</v>
      </c>
      <c r="D22" s="46">
        <f t="shared" si="0"/>
        <v>2.3E-2</v>
      </c>
      <c r="E22" s="46">
        <f t="shared" si="2"/>
        <v>2.3E-2</v>
      </c>
      <c r="F22" s="46">
        <f t="shared" si="1"/>
        <v>2.3E-2</v>
      </c>
    </row>
    <row r="23" spans="1:6" ht="18.75">
      <c r="A23" s="45" t="s">
        <v>29</v>
      </c>
      <c r="B23" s="21" t="s">
        <v>30</v>
      </c>
      <c r="C23" s="46">
        <f>'Управителю (Форма)'!BT27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(Форма)'!BT28</f>
        <v>0.12</v>
      </c>
      <c r="D24" s="46">
        <f t="shared" si="0"/>
        <v>0.12</v>
      </c>
      <c r="E24" s="46">
        <f t="shared" si="2"/>
        <v>0.12</v>
      </c>
      <c r="F24" s="46">
        <f t="shared" si="1"/>
        <v>0.12</v>
      </c>
    </row>
    <row r="25" spans="1:6" ht="75">
      <c r="A25" s="45" t="s">
        <v>33</v>
      </c>
      <c r="B25" s="21" t="s">
        <v>34</v>
      </c>
      <c r="C25" s="46">
        <f>'Управителю (Форма)'!BT29</f>
        <v>9.2999999999999999E-2</v>
      </c>
      <c r="D25" s="46">
        <f t="shared" si="0"/>
        <v>9.2999999999999999E-2</v>
      </c>
      <c r="E25" s="46">
        <f t="shared" si="2"/>
        <v>9.2999999999999999E-2</v>
      </c>
      <c r="F25" s="46">
        <f t="shared" si="1"/>
        <v>9.2999999999999999E-2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(Форма)'!BT31</f>
        <v>0.05</v>
      </c>
      <c r="D27" s="46">
        <f t="shared" ref="D27:D36" si="3">C27</f>
        <v>0.05</v>
      </c>
      <c r="E27" s="46">
        <f t="shared" ref="E27:E36" si="4">C27</f>
        <v>0.05</v>
      </c>
      <c r="F27" s="46">
        <f t="shared" ref="F27:F36" si="5">C27</f>
        <v>0.05</v>
      </c>
    </row>
    <row r="28" spans="1:6" ht="18.75">
      <c r="A28" s="155" t="s">
        <v>39</v>
      </c>
      <c r="B28" s="35" t="s">
        <v>40</v>
      </c>
      <c r="C28" s="156">
        <f>'Управителю (Форма)'!BT32</f>
        <v>1.008</v>
      </c>
      <c r="D28" s="156">
        <f t="shared" si="3"/>
        <v>1.008</v>
      </c>
      <c r="E28" s="156">
        <f t="shared" si="4"/>
        <v>1.008</v>
      </c>
      <c r="F28" s="156">
        <f t="shared" si="5"/>
        <v>1.008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(Форма)'!BT42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(Форма)'!BT43</f>
        <v>0.20100000000000001</v>
      </c>
      <c r="D39" s="46">
        <f>C39</f>
        <v>0.20100000000000001</v>
      </c>
      <c r="E39" s="46">
        <f>C39</f>
        <v>0.20100000000000001</v>
      </c>
      <c r="F39" s="46">
        <f>C39</f>
        <v>0.20100000000000001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</v>
      </c>
      <c r="D41" s="39">
        <f>SUM(D38:D40,D27:D36,D9:D25)*('Управителю (Форма)'!$D$7-1)</f>
        <v>0.48</v>
      </c>
      <c r="E41" s="39">
        <f>SUM(E38:E40,E27:E36,E9:E25)*('Управителю (Форма)'!$D$7-1)</f>
        <v>0.38500000000000001</v>
      </c>
      <c r="F41" s="39">
        <f>SUM(F38:F40,F27:F36,F9:F25)*('Управителю (Форма)'!$D$7-1)</f>
        <v>0.41399999999999998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0.66100000000000003</v>
      </c>
      <c r="D42" s="40">
        <f>SUM(D38:D41,D27:D36,D9:D25)*0.2</f>
        <v>0.66100000000000003</v>
      </c>
      <c r="E42" s="40">
        <f>SUM(E38:E41,E27:E36,E9:E25)*0.2</f>
        <v>0.52900000000000003</v>
      </c>
      <c r="F42" s="40">
        <f>SUM(F38:F41,F27:F36,F9:F25)*0.2</f>
        <v>0.56999999999999995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3.9649999999999999</v>
      </c>
      <c r="D43" s="38">
        <f>SUM(D38:D40,D27:D36,D9:D25)+D41+D42</f>
        <v>3.9649999999999999</v>
      </c>
      <c r="E43" s="38">
        <f>SUM(E38:E40,E27:E36,E9:E25)+E41+E42</f>
        <v>3.1760000000000002</v>
      </c>
      <c r="F43" s="38">
        <f>SUM(F38:F40,F27:F36,F9:F25)+F41+F42</f>
        <v>3.4209999999999998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D49" sqref="D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(Форма)'!BS10&amp;", "&amp;'Управителю (Форма)'!BS11</f>
        <v>вул. Текстильникiв, 39</v>
      </c>
      <c r="B4" s="167"/>
      <c r="C4" s="167"/>
      <c r="D4" s="167"/>
      <c r="E4" s="167"/>
      <c r="F4" s="167"/>
    </row>
    <row r="5" spans="1:6" ht="19.5" thickBot="1">
      <c r="A5" s="4"/>
    </row>
    <row r="6" spans="1:6" ht="33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(Форма)'!BS13</f>
        <v>0.39400000000000002</v>
      </c>
      <c r="D9" s="46">
        <f>C9</f>
        <v>0.39400000000000002</v>
      </c>
      <c r="E9" s="46">
        <f>C9</f>
        <v>0.39400000000000002</v>
      </c>
      <c r="F9" s="46">
        <f>C9</f>
        <v>0.39400000000000002</v>
      </c>
    </row>
    <row r="10" spans="1:6" ht="18.75">
      <c r="A10" s="45" t="s">
        <v>9</v>
      </c>
      <c r="B10" s="21" t="s">
        <v>10</v>
      </c>
      <c r="C10" s="46">
        <f>'Управителю (Форма)'!BS14</f>
        <v>0.152</v>
      </c>
      <c r="D10" s="46">
        <f t="shared" ref="D10:D25" si="0">C10</f>
        <v>0.152</v>
      </c>
      <c r="E10" s="46"/>
      <c r="F10" s="46">
        <f t="shared" ref="F10:F25" si="1">C10</f>
        <v>0.152</v>
      </c>
    </row>
    <row r="11" spans="1:6" ht="37.5">
      <c r="A11" s="45" t="s">
        <v>11</v>
      </c>
      <c r="B11" s="21" t="s">
        <v>12</v>
      </c>
      <c r="C11" s="46">
        <f>'Управителю (Форма)'!BS15</f>
        <v>0.40300000000000002</v>
      </c>
      <c r="D11" s="46">
        <f t="shared" si="0"/>
        <v>0.40300000000000002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(Форма)'!BS16</f>
        <v>4.0000000000000001E-3</v>
      </c>
      <c r="D12" s="46">
        <f t="shared" si="0"/>
        <v>4.0000000000000001E-3</v>
      </c>
      <c r="E12" s="46">
        <f t="shared" ref="E12:E25" si="2">C12</f>
        <v>4.0000000000000001E-3</v>
      </c>
      <c r="F12" s="46">
        <f t="shared" si="1"/>
        <v>4.0000000000000001E-3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(Форма)'!BS19</f>
        <v>0.42199999999999999</v>
      </c>
      <c r="D15" s="161">
        <f t="shared" si="0"/>
        <v>0.42199999999999999</v>
      </c>
      <c r="E15" s="161">
        <f t="shared" si="2"/>
        <v>0.42199999999999999</v>
      </c>
      <c r="F15" s="161">
        <f t="shared" si="1"/>
        <v>0.42199999999999999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(Форма)'!BS26</f>
        <v>1.0999999999999999E-2</v>
      </c>
      <c r="D22" s="46">
        <f t="shared" si="0"/>
        <v>1.0999999999999999E-2</v>
      </c>
      <c r="E22" s="46">
        <f t="shared" si="2"/>
        <v>1.0999999999999999E-2</v>
      </c>
      <c r="F22" s="46">
        <f t="shared" si="1"/>
        <v>1.0999999999999999E-2</v>
      </c>
    </row>
    <row r="23" spans="1:6" ht="18.75">
      <c r="A23" s="45" t="s">
        <v>29</v>
      </c>
      <c r="B23" s="21" t="s">
        <v>30</v>
      </c>
      <c r="C23" s="46">
        <f>'Управителю (Форма)'!BS27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(Форма)'!BS28</f>
        <v>3.3000000000000002E-2</v>
      </c>
      <c r="D24" s="46">
        <f t="shared" si="0"/>
        <v>3.3000000000000002E-2</v>
      </c>
      <c r="E24" s="46">
        <f t="shared" si="2"/>
        <v>3.3000000000000002E-2</v>
      </c>
      <c r="F24" s="46">
        <f t="shared" si="1"/>
        <v>3.3000000000000002E-2</v>
      </c>
    </row>
    <row r="25" spans="1:6" ht="75">
      <c r="A25" s="45" t="s">
        <v>33</v>
      </c>
      <c r="B25" s="21" t="s">
        <v>34</v>
      </c>
      <c r="C25" s="46">
        <f>'Управителю (Форма)'!BS29</f>
        <v>8.5000000000000006E-2</v>
      </c>
      <c r="D25" s="46">
        <f t="shared" si="0"/>
        <v>8.5000000000000006E-2</v>
      </c>
      <c r="E25" s="46">
        <f t="shared" si="2"/>
        <v>8.5000000000000006E-2</v>
      </c>
      <c r="F25" s="46">
        <f t="shared" si="1"/>
        <v>8.5000000000000006E-2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(Форма)'!BS31</f>
        <v>3.5999999999999997E-2</v>
      </c>
      <c r="D27" s="46">
        <f t="shared" ref="D27:D36" si="3">C27</f>
        <v>3.5999999999999997E-2</v>
      </c>
      <c r="E27" s="46">
        <f t="shared" ref="E27:E36" si="4">C27</f>
        <v>3.5999999999999997E-2</v>
      </c>
      <c r="F27" s="46">
        <f t="shared" ref="F27:F36" si="5">C27</f>
        <v>3.5999999999999997E-2</v>
      </c>
    </row>
    <row r="28" spans="1:6" ht="18.75">
      <c r="A28" s="155" t="s">
        <v>39</v>
      </c>
      <c r="B28" s="35" t="s">
        <v>40</v>
      </c>
      <c r="C28" s="156">
        <f>'Управителю (Форма)'!BS32</f>
        <v>0.69599999999999995</v>
      </c>
      <c r="D28" s="156">
        <f t="shared" si="3"/>
        <v>0.69599999999999995</v>
      </c>
      <c r="E28" s="156">
        <f t="shared" si="4"/>
        <v>0.69599999999999995</v>
      </c>
      <c r="F28" s="156">
        <f t="shared" si="5"/>
        <v>0.69599999999999995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(Форма)'!BS42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(Форма)'!BS43</f>
        <v>0.17899999999999999</v>
      </c>
      <c r="D39" s="46">
        <f>C39</f>
        <v>0.17899999999999999</v>
      </c>
      <c r="E39" s="46">
        <f>C39</f>
        <v>0.17899999999999999</v>
      </c>
      <c r="F39" s="46">
        <f>C39</f>
        <v>0.17899999999999999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0.41099999999999998</v>
      </c>
      <c r="D41" s="39">
        <f>SUM(D38:D40,D27:D36,D9:D25)*('Управителю (Форма)'!$D$7-1)</f>
        <v>0.41099999999999998</v>
      </c>
      <c r="E41" s="39">
        <f>SUM(E38:E40,E27:E36,E9:E25)*('Управителю (Форма)'!$D$7-1)</f>
        <v>0.317</v>
      </c>
      <c r="F41" s="39">
        <f>SUM(F38:F40,F27:F36,F9:F25)*('Управителю (Форма)'!$D$7-1)</f>
        <v>0.34200000000000003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0.56599999999999995</v>
      </c>
      <c r="D42" s="40">
        <f>SUM(D38:D41,D27:D36,D9:D25)*0.2</f>
        <v>0.56599999999999995</v>
      </c>
      <c r="E42" s="40">
        <f>SUM(E38:E41,E27:E36,E9:E25)*0.2</f>
        <v>0.436</v>
      </c>
      <c r="F42" s="40">
        <f>SUM(F38:F41,F27:F36,F9:F25)*0.2</f>
        <v>0.47099999999999997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3.3940000000000001</v>
      </c>
      <c r="D43" s="38">
        <f>SUM(D38:D40,D27:D36,D9:D25)+D41+D42</f>
        <v>3.3940000000000001</v>
      </c>
      <c r="E43" s="38">
        <f>SUM(E38:E40,E27:E36,E9:E25)+E41+E42</f>
        <v>2.6150000000000002</v>
      </c>
      <c r="F43" s="38">
        <f>SUM(F38:F40,F27:F36,F9:F25)+F41+F42</f>
        <v>2.827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C47" sqref="C47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(Форма)'!BR10&amp;", "&amp;'Управителю (Форма)'!BR11</f>
        <v>вул. Текстильникiв, 34</v>
      </c>
      <c r="B4" s="167"/>
      <c r="C4" s="167"/>
      <c r="D4" s="167"/>
      <c r="E4" s="167"/>
      <c r="F4" s="167"/>
    </row>
    <row r="5" spans="1:6" ht="19.5" thickBot="1">
      <c r="A5" s="4"/>
    </row>
    <row r="6" spans="1:6" ht="31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50" t="s">
        <v>7</v>
      </c>
      <c r="B9" s="20" t="s">
        <v>8</v>
      </c>
      <c r="C9" s="51">
        <f>'Управителю (Форма)'!BR13</f>
        <v>0.378</v>
      </c>
      <c r="D9" s="51">
        <f>C9</f>
        <v>0.378</v>
      </c>
      <c r="E9" s="51">
        <f>C9</f>
        <v>0.378</v>
      </c>
      <c r="F9" s="51">
        <f>C9</f>
        <v>0.378</v>
      </c>
    </row>
    <row r="10" spans="1:6" ht="18.75">
      <c r="A10" s="50" t="s">
        <v>9</v>
      </c>
      <c r="B10" s="21" t="s">
        <v>10</v>
      </c>
      <c r="C10" s="51">
        <f>'Управителю (Форма)'!BR14</f>
        <v>0.109</v>
      </c>
      <c r="D10" s="51">
        <f t="shared" ref="D10:D25" si="0">C10</f>
        <v>0.109</v>
      </c>
      <c r="E10" s="51"/>
      <c r="F10" s="51">
        <f t="shared" ref="F10:F25" si="1">C10</f>
        <v>0.109</v>
      </c>
    </row>
    <row r="11" spans="1:6" ht="37.5">
      <c r="A11" s="50" t="s">
        <v>11</v>
      </c>
      <c r="B11" s="21" t="s">
        <v>12</v>
      </c>
      <c r="C11" s="51">
        <f>'Управителю (Форма)'!BR15</f>
        <v>0.74</v>
      </c>
      <c r="D11" s="51">
        <f t="shared" si="0"/>
        <v>0.74</v>
      </c>
      <c r="E11" s="51"/>
      <c r="F11" s="51"/>
    </row>
    <row r="12" spans="1:6" ht="37.5">
      <c r="A12" s="50" t="s">
        <v>13</v>
      </c>
      <c r="B12" s="20" t="s">
        <v>14</v>
      </c>
      <c r="C12" s="51">
        <f>'Управителю (Форма)'!BR16</f>
        <v>0</v>
      </c>
      <c r="D12" s="51">
        <f t="shared" si="0"/>
        <v>0</v>
      </c>
      <c r="E12" s="51">
        <f t="shared" ref="E12:E25" si="2">C12</f>
        <v>0</v>
      </c>
      <c r="F12" s="51">
        <f t="shared" si="1"/>
        <v>0</v>
      </c>
    </row>
    <row r="13" spans="1:6" ht="18.75">
      <c r="A13" s="50" t="s">
        <v>15</v>
      </c>
      <c r="B13" s="21" t="s">
        <v>16</v>
      </c>
      <c r="C13" s="51"/>
      <c r="D13" s="51">
        <f t="shared" si="0"/>
        <v>0</v>
      </c>
      <c r="E13" s="51"/>
      <c r="F13" s="51"/>
    </row>
    <row r="14" spans="1:6" ht="18.75">
      <c r="A14" s="50" t="s">
        <v>17</v>
      </c>
      <c r="B14" s="21" t="s">
        <v>18</v>
      </c>
      <c r="C14" s="51"/>
      <c r="D14" s="51">
        <f t="shared" si="0"/>
        <v>0</v>
      </c>
      <c r="E14" s="51"/>
      <c r="F14" s="51"/>
    </row>
    <row r="15" spans="1:6" ht="37.5">
      <c r="A15" s="155" t="s">
        <v>19</v>
      </c>
      <c r="B15" s="23" t="s">
        <v>20</v>
      </c>
      <c r="C15" s="161">
        <f>'Управителю (Форма)'!BR19</f>
        <v>0.31900000000000001</v>
      </c>
      <c r="D15" s="161">
        <f t="shared" si="0"/>
        <v>0.31900000000000001</v>
      </c>
      <c r="E15" s="161">
        <f t="shared" si="2"/>
        <v>0.31900000000000001</v>
      </c>
      <c r="F15" s="161">
        <f t="shared" si="1"/>
        <v>0.31900000000000001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50" t="s">
        <v>27</v>
      </c>
      <c r="B22" s="21" t="s">
        <v>28</v>
      </c>
      <c r="C22" s="51">
        <f>'Управителю (Форма)'!BR26</f>
        <v>0</v>
      </c>
      <c r="D22" s="51">
        <f t="shared" si="0"/>
        <v>0</v>
      </c>
      <c r="E22" s="51">
        <f t="shared" si="2"/>
        <v>0</v>
      </c>
      <c r="F22" s="51">
        <f t="shared" si="1"/>
        <v>0</v>
      </c>
    </row>
    <row r="23" spans="1:6" ht="18.75">
      <c r="A23" s="50" t="s">
        <v>29</v>
      </c>
      <c r="B23" s="21" t="s">
        <v>30</v>
      </c>
      <c r="C23" s="51">
        <f>'Управителю (Форма)'!BR27</f>
        <v>0</v>
      </c>
      <c r="D23" s="51">
        <f t="shared" si="0"/>
        <v>0</v>
      </c>
      <c r="E23" s="51">
        <f t="shared" si="2"/>
        <v>0</v>
      </c>
      <c r="F23" s="51">
        <f t="shared" si="1"/>
        <v>0</v>
      </c>
    </row>
    <row r="24" spans="1:6" ht="37.5">
      <c r="A24" s="50" t="s">
        <v>31</v>
      </c>
      <c r="B24" s="21" t="s">
        <v>32</v>
      </c>
      <c r="C24" s="51">
        <f>'Управителю (Форма)'!BR28</f>
        <v>0.02</v>
      </c>
      <c r="D24" s="51">
        <f t="shared" si="0"/>
        <v>0.02</v>
      </c>
      <c r="E24" s="51">
        <f t="shared" si="2"/>
        <v>0.02</v>
      </c>
      <c r="F24" s="51">
        <f t="shared" si="1"/>
        <v>0.02</v>
      </c>
    </row>
    <row r="25" spans="1:6" ht="75">
      <c r="A25" s="50" t="s">
        <v>33</v>
      </c>
      <c r="B25" s="21" t="s">
        <v>34</v>
      </c>
      <c r="C25" s="51">
        <f>'Управителю (Форма)'!BR29</f>
        <v>0.111</v>
      </c>
      <c r="D25" s="51">
        <f t="shared" si="0"/>
        <v>0.111</v>
      </c>
      <c r="E25" s="51">
        <f t="shared" si="2"/>
        <v>0.111</v>
      </c>
      <c r="F25" s="51">
        <f t="shared" si="1"/>
        <v>0.111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50" t="s">
        <v>37</v>
      </c>
      <c r="B27" s="21" t="s">
        <v>38</v>
      </c>
      <c r="C27" s="51">
        <f>'Управителю (Форма)'!BR31</f>
        <v>4.3999999999999997E-2</v>
      </c>
      <c r="D27" s="51">
        <f t="shared" ref="D27:D36" si="3">C27</f>
        <v>4.3999999999999997E-2</v>
      </c>
      <c r="E27" s="51">
        <f t="shared" ref="E27:E36" si="4">C27</f>
        <v>4.3999999999999997E-2</v>
      </c>
      <c r="F27" s="51">
        <f t="shared" ref="F27:F36" si="5">C27</f>
        <v>4.3999999999999997E-2</v>
      </c>
    </row>
    <row r="28" spans="1:6" ht="18.75">
      <c r="A28" s="155" t="s">
        <v>39</v>
      </c>
      <c r="B28" s="35" t="s">
        <v>40</v>
      </c>
      <c r="C28" s="156">
        <f>'Управителю (Форма)'!BR32</f>
        <v>0.78600000000000003</v>
      </c>
      <c r="D28" s="156">
        <f t="shared" si="3"/>
        <v>0.78600000000000003</v>
      </c>
      <c r="E28" s="156">
        <f t="shared" si="4"/>
        <v>0.78600000000000003</v>
      </c>
      <c r="F28" s="156">
        <f t="shared" si="5"/>
        <v>0.78600000000000003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50" t="s">
        <v>47</v>
      </c>
      <c r="B38" s="20" t="s">
        <v>48</v>
      </c>
      <c r="C38" s="51">
        <f>'Управителю (Форма)'!BR42</f>
        <v>1E-3</v>
      </c>
      <c r="D38" s="51">
        <f>C38</f>
        <v>1E-3</v>
      </c>
      <c r="E38" s="51">
        <f>C38</f>
        <v>1E-3</v>
      </c>
      <c r="F38" s="51">
        <f>C38</f>
        <v>1E-3</v>
      </c>
    </row>
    <row r="39" spans="1:6" ht="37.5">
      <c r="A39" s="50" t="s">
        <v>49</v>
      </c>
      <c r="B39" s="20" t="s">
        <v>50</v>
      </c>
      <c r="C39" s="51">
        <f>'Управителю (Форма)'!BR43</f>
        <v>0.20899999999999999</v>
      </c>
      <c r="D39" s="51">
        <f>C39</f>
        <v>0.20899999999999999</v>
      </c>
      <c r="E39" s="51">
        <f>C39</f>
        <v>0.20899999999999999</v>
      </c>
      <c r="F39" s="51">
        <f>C39</f>
        <v>0.20899999999999999</v>
      </c>
    </row>
    <row r="40" spans="1:6" ht="18.75">
      <c r="A40" s="50" t="s">
        <v>51</v>
      </c>
      <c r="B40" s="20" t="s">
        <v>52</v>
      </c>
      <c r="C40" s="51"/>
      <c r="D40" s="51">
        <f>C40</f>
        <v>0</v>
      </c>
      <c r="E40" s="51"/>
      <c r="F40" s="51"/>
    </row>
    <row r="41" spans="1:6" ht="18.75">
      <c r="A41" s="28" t="s">
        <v>53</v>
      </c>
      <c r="B41" s="52" t="s">
        <v>54</v>
      </c>
      <c r="C41" s="39">
        <f>SUM(C38:C40,C27:C36,C9:C25)*('Управителю (Форма)'!$D$7-1)</f>
        <v>0.46200000000000002</v>
      </c>
      <c r="D41" s="39">
        <f>SUM(D38:D40,D27:D36,D9:D25)*('Управителю (Форма)'!$D$7-1)</f>
        <v>0.46200000000000002</v>
      </c>
      <c r="E41" s="39">
        <f>SUM(E38:E40,E27:E36,E9:E25)*('Управителю (Форма)'!$D$7-1)</f>
        <v>0.318</v>
      </c>
      <c r="F41" s="39">
        <f>SUM(F38:F40,F27:F36,F9:F25)*('Управителю (Форма)'!$D$7-1)</f>
        <v>0.33600000000000002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0.63600000000000001</v>
      </c>
      <c r="D42" s="40">
        <f>SUM(D38:D41,D27:D36,D9:D25)*0.2</f>
        <v>0.63600000000000001</v>
      </c>
      <c r="E42" s="40">
        <f>SUM(E38:E41,E27:E36,E9:E25)*0.2</f>
        <v>0.437</v>
      </c>
      <c r="F42" s="40">
        <f>SUM(F38:F41,F27:F36,F9:F25)*0.2</f>
        <v>0.46300000000000002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3.8149999999999999</v>
      </c>
      <c r="D43" s="38">
        <f>SUM(D38:D40,D27:D36,D9:D25)+D41+D42</f>
        <v>3.8149999999999999</v>
      </c>
      <c r="E43" s="38">
        <f>SUM(E38:E40,E27:E36,E9:E25)+E41+E42</f>
        <v>2.6230000000000002</v>
      </c>
      <c r="F43" s="38">
        <f>SUM(F38:F40,F27:F36,F9:F25)+F41+F42</f>
        <v>2.7759999999999998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B74" sqref="B74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(Форма)'!CR10&amp;", "&amp;'Управителю (Форма)'!CR11</f>
        <v>пров. Д. Самоквасова, 4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(Форма)'!CR13</f>
        <v>3.5999999999999997E-2</v>
      </c>
      <c r="D9" s="46">
        <f>C9</f>
        <v>3.5999999999999997E-2</v>
      </c>
      <c r="E9" s="46">
        <f>C9</f>
        <v>3.5999999999999997E-2</v>
      </c>
      <c r="F9" s="46">
        <f>C9</f>
        <v>3.5999999999999997E-2</v>
      </c>
    </row>
    <row r="10" spans="1:6" ht="18.75">
      <c r="A10" s="45" t="s">
        <v>9</v>
      </c>
      <c r="B10" s="21" t="s">
        <v>10</v>
      </c>
      <c r="C10" s="46">
        <f>'Управителю (Форма)'!CR14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(Форма)'!CR15</f>
        <v>0.65600000000000003</v>
      </c>
      <c r="D11" s="46">
        <f t="shared" si="0"/>
        <v>0.65600000000000003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(Форма)'!CR16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(Форма)'!CR19</f>
        <v>0.105</v>
      </c>
      <c r="D15" s="161">
        <f t="shared" si="0"/>
        <v>0.105</v>
      </c>
      <c r="E15" s="161">
        <f t="shared" si="2"/>
        <v>0.105</v>
      </c>
      <c r="F15" s="161">
        <f t="shared" si="1"/>
        <v>0.105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(Форма)'!CR26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(Форма)'!CR27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(Форма)'!CR28</f>
        <v>0.189</v>
      </c>
      <c r="D24" s="46">
        <f t="shared" si="0"/>
        <v>0.189</v>
      </c>
      <c r="E24" s="46">
        <f t="shared" si="2"/>
        <v>0.189</v>
      </c>
      <c r="F24" s="46">
        <f t="shared" si="1"/>
        <v>0.189</v>
      </c>
    </row>
    <row r="25" spans="1:6" ht="75">
      <c r="A25" s="45" t="s">
        <v>33</v>
      </c>
      <c r="B25" s="21" t="s">
        <v>34</v>
      </c>
      <c r="C25" s="46">
        <f>'Управителю (Форма)'!CR29</f>
        <v>0.03</v>
      </c>
      <c r="D25" s="46">
        <f t="shared" si="0"/>
        <v>0.03</v>
      </c>
      <c r="E25" s="46">
        <f t="shared" si="2"/>
        <v>0.03</v>
      </c>
      <c r="F25" s="46">
        <f t="shared" si="1"/>
        <v>0.03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(Форма)'!CR31</f>
        <v>0</v>
      </c>
      <c r="D27" s="46">
        <f t="shared" ref="D27:D36" si="3">C27</f>
        <v>0</v>
      </c>
      <c r="E27" s="46">
        <f t="shared" ref="E27:E36" si="4">C27</f>
        <v>0</v>
      </c>
      <c r="F27" s="46">
        <f t="shared" ref="F27:F36" si="5">C27</f>
        <v>0</v>
      </c>
    </row>
    <row r="28" spans="1:6" ht="18.75">
      <c r="A28" s="155" t="s">
        <v>39</v>
      </c>
      <c r="B28" s="35" t="s">
        <v>40</v>
      </c>
      <c r="C28" s="156">
        <f>'Управителю (Форма)'!CR32</f>
        <v>0.38500000000000001</v>
      </c>
      <c r="D28" s="156">
        <f t="shared" si="3"/>
        <v>0.38500000000000001</v>
      </c>
      <c r="E28" s="156">
        <f t="shared" si="4"/>
        <v>0.38500000000000001</v>
      </c>
      <c r="F28" s="156">
        <f t="shared" si="5"/>
        <v>0.38500000000000001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(Форма)'!CR42</f>
        <v>0</v>
      </c>
      <c r="D38" s="46">
        <f>C38</f>
        <v>0</v>
      </c>
      <c r="E38" s="46">
        <f>C38</f>
        <v>0</v>
      </c>
      <c r="F38" s="46">
        <f>C38</f>
        <v>0</v>
      </c>
    </row>
    <row r="39" spans="1:6" ht="37.5">
      <c r="A39" s="45" t="s">
        <v>49</v>
      </c>
      <c r="B39" s="20" t="s">
        <v>50</v>
      </c>
      <c r="C39" s="46">
        <f>'Управителю (Форма)'!CR43</f>
        <v>0.97799999999999998</v>
      </c>
      <c r="D39" s="46">
        <f>C39</f>
        <v>0.97799999999999998</v>
      </c>
      <c r="E39" s="46">
        <f>C39</f>
        <v>0.97799999999999998</v>
      </c>
      <c r="F39" s="46">
        <f>C39</f>
        <v>0.97799999999999998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0.40400000000000003</v>
      </c>
      <c r="D41" s="39">
        <f>SUM(D38:D40,D27:D36,D9:D25)*('Управителю (Форма)'!$D$7-1)</f>
        <v>0.40400000000000003</v>
      </c>
      <c r="E41" s="39">
        <f>SUM(E38:E40,E27:E36,E9:E25)*('Управителю (Форма)'!$D$7-1)</f>
        <v>0.29299999999999998</v>
      </c>
      <c r="F41" s="39">
        <f>SUM(F38:F40,F27:F36,F9:F25)*('Управителю (Форма)'!$D$7-1)</f>
        <v>0.29299999999999998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0.55700000000000005</v>
      </c>
      <c r="D42" s="40">
        <f>SUM(D38:D41,D27:D36,D9:D25)*0.2</f>
        <v>0.55700000000000005</v>
      </c>
      <c r="E42" s="40">
        <f>SUM(E38:E41,E27:E36,E9:E25)*0.2</f>
        <v>0.40300000000000002</v>
      </c>
      <c r="F42" s="40">
        <f>SUM(F38:F41,F27:F36,F9:F25)*0.2</f>
        <v>0.40300000000000002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3.34</v>
      </c>
      <c r="D43" s="38">
        <f>SUM(D38:D40,D27:D36,D9:D25)+D41+D42</f>
        <v>3.34</v>
      </c>
      <c r="E43" s="38">
        <f>SUM(E38:E40,E27:E36,E9:E25)+E41+E42</f>
        <v>2.419</v>
      </c>
      <c r="F43" s="38">
        <f>SUM(F38:F40,F27:F36,F9:F25)+F41+F42</f>
        <v>2.419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C53" sqref="C53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(Форма)'!BQ10&amp;", "&amp;'Управителю (Форма)'!BQ11</f>
        <v>вул. Текстильникiв, 33</v>
      </c>
      <c r="B4" s="167"/>
      <c r="C4" s="167"/>
      <c r="D4" s="167"/>
      <c r="E4" s="167"/>
      <c r="F4" s="167"/>
    </row>
    <row r="5" spans="1:6" ht="19.5" thickBot="1">
      <c r="A5" s="4"/>
    </row>
    <row r="6" spans="1:6" ht="36.7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(Форма)'!BQ13</f>
        <v>0.66500000000000004</v>
      </c>
      <c r="D9" s="46">
        <f>C9</f>
        <v>0.66500000000000004</v>
      </c>
      <c r="E9" s="46">
        <f>C9</f>
        <v>0.66500000000000004</v>
      </c>
      <c r="F9" s="46">
        <f>C9</f>
        <v>0.66500000000000004</v>
      </c>
    </row>
    <row r="10" spans="1:6" ht="18.75">
      <c r="A10" s="45" t="s">
        <v>9</v>
      </c>
      <c r="B10" s="21" t="s">
        <v>10</v>
      </c>
      <c r="C10" s="46">
        <f>'Управителю (Форма)'!BQ14</f>
        <v>0.17899999999999999</v>
      </c>
      <c r="D10" s="46">
        <f t="shared" ref="D10:D25" si="0">C10</f>
        <v>0.17899999999999999</v>
      </c>
      <c r="E10" s="46"/>
      <c r="F10" s="46">
        <f t="shared" ref="F10:F25" si="1">C10</f>
        <v>0.17899999999999999</v>
      </c>
    </row>
    <row r="11" spans="1:6" ht="37.5">
      <c r="A11" s="45" t="s">
        <v>11</v>
      </c>
      <c r="B11" s="21" t="s">
        <v>12</v>
      </c>
      <c r="C11" s="46">
        <f>'Управителю (Форма)'!BQ15</f>
        <v>0.4</v>
      </c>
      <c r="D11" s="46">
        <f t="shared" si="0"/>
        <v>0.4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(Форма)'!BQ16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(Форма)'!BQ19</f>
        <v>0.40500000000000003</v>
      </c>
      <c r="D15" s="161">
        <f t="shared" si="0"/>
        <v>0.40500000000000003</v>
      </c>
      <c r="E15" s="161">
        <f t="shared" si="2"/>
        <v>0.40500000000000003</v>
      </c>
      <c r="F15" s="161">
        <f t="shared" si="1"/>
        <v>0.40500000000000003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(Форма)'!BQ26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(Форма)'!BQ27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(Форма)'!BQ28</f>
        <v>0.13700000000000001</v>
      </c>
      <c r="D24" s="46">
        <f t="shared" si="0"/>
        <v>0.13700000000000001</v>
      </c>
      <c r="E24" s="46">
        <f t="shared" si="2"/>
        <v>0.13700000000000001</v>
      </c>
      <c r="F24" s="46">
        <f t="shared" si="1"/>
        <v>0.13700000000000001</v>
      </c>
    </row>
    <row r="25" spans="1:6" ht="75">
      <c r="A25" s="45" t="s">
        <v>33</v>
      </c>
      <c r="B25" s="21" t="s">
        <v>34</v>
      </c>
      <c r="C25" s="46">
        <f>'Управителю (Форма)'!BQ29</f>
        <v>0.20399999999999999</v>
      </c>
      <c r="D25" s="46">
        <f t="shared" si="0"/>
        <v>0.20399999999999999</v>
      </c>
      <c r="E25" s="46">
        <f t="shared" si="2"/>
        <v>0.20399999999999999</v>
      </c>
      <c r="F25" s="46">
        <f t="shared" si="1"/>
        <v>0.20399999999999999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(Форма)'!BQ31</f>
        <v>2.5999999999999999E-2</v>
      </c>
      <c r="D27" s="46">
        <f t="shared" ref="D27:D36" si="3">C27</f>
        <v>2.5999999999999999E-2</v>
      </c>
      <c r="E27" s="46">
        <f t="shared" ref="E27:E36" si="4">C27</f>
        <v>2.5999999999999999E-2</v>
      </c>
      <c r="F27" s="46">
        <f t="shared" ref="F27:F36" si="5">C27</f>
        <v>2.5999999999999999E-2</v>
      </c>
    </row>
    <row r="28" spans="1:6" ht="18.75">
      <c r="A28" s="155" t="s">
        <v>39</v>
      </c>
      <c r="B28" s="35" t="s">
        <v>40</v>
      </c>
      <c r="C28" s="156">
        <f>'Управителю (Форма)'!BQ32</f>
        <v>0.46200000000000002</v>
      </c>
      <c r="D28" s="156">
        <f t="shared" si="3"/>
        <v>0.46200000000000002</v>
      </c>
      <c r="E28" s="156">
        <f t="shared" si="4"/>
        <v>0.46200000000000002</v>
      </c>
      <c r="F28" s="156">
        <f t="shared" si="5"/>
        <v>0.46200000000000002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(Форма)'!BQ42</f>
        <v>2E-3</v>
      </c>
      <c r="D38" s="46">
        <f>C38</f>
        <v>2E-3</v>
      </c>
      <c r="E38" s="46">
        <f>C38</f>
        <v>2E-3</v>
      </c>
      <c r="F38" s="46">
        <f>C38</f>
        <v>2E-3</v>
      </c>
    </row>
    <row r="39" spans="1:6" ht="37.5">
      <c r="A39" s="45" t="s">
        <v>49</v>
      </c>
      <c r="B39" s="20" t="s">
        <v>50</v>
      </c>
      <c r="C39" s="46">
        <f>'Управителю (Форма)'!BQ43</f>
        <v>0.29599999999999999</v>
      </c>
      <c r="D39" s="46">
        <f>C39</f>
        <v>0.29599999999999999</v>
      </c>
      <c r="E39" s="46">
        <f>C39</f>
        <v>0.29599999999999999</v>
      </c>
      <c r="F39" s="46">
        <f>C39</f>
        <v>0.29599999999999999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0.47199999999999998</v>
      </c>
      <c r="D41" s="39">
        <f>SUM(D38:D40,D27:D36,D9:D25)*('Управителю (Форма)'!$D$7-1)</f>
        <v>0.47199999999999998</v>
      </c>
      <c r="E41" s="39">
        <f>SUM(E38:E40,E27:E36,E9:E25)*('Управителю (Форма)'!$D$7-1)</f>
        <v>0.373</v>
      </c>
      <c r="F41" s="39">
        <f>SUM(F38:F40,F27:F36,F9:F25)*('Управителю (Форма)'!$D$7-1)</f>
        <v>0.40400000000000003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0.65</v>
      </c>
      <c r="D42" s="40">
        <f>SUM(D38:D41,D27:D36,D9:D25)*0.2</f>
        <v>0.65</v>
      </c>
      <c r="E42" s="40">
        <f>SUM(E38:E41,E27:E36,E9:E25)*0.2</f>
        <v>0.51400000000000001</v>
      </c>
      <c r="F42" s="40">
        <f>SUM(F38:F41,F27:F36,F9:F25)*0.2</f>
        <v>0.55600000000000005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3.8980000000000001</v>
      </c>
      <c r="D43" s="38">
        <f>SUM(D38:D40,D27:D36,D9:D25)+D41+D42</f>
        <v>3.8980000000000001</v>
      </c>
      <c r="E43" s="38">
        <f>SUM(E38:E40,E27:E36,E9:E25)+E41+E42</f>
        <v>3.0840000000000001</v>
      </c>
      <c r="F43" s="38">
        <f>SUM(F38:F40,F27:F36,F9:F25)+F41+F42</f>
        <v>3.3359999999999999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D48" sqref="D48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(Форма)'!BP10&amp;", "&amp;'Управителю (Форма)'!BP11</f>
        <v>вул. Текстильникiв, 31</v>
      </c>
      <c r="B4" s="167"/>
      <c r="C4" s="167"/>
      <c r="D4" s="167"/>
      <c r="E4" s="167"/>
      <c r="F4" s="167"/>
    </row>
    <row r="5" spans="1:6" ht="19.5" thickBot="1">
      <c r="A5" s="4"/>
    </row>
    <row r="6" spans="1:6" ht="33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(Форма)'!BP13</f>
        <v>0.72699999999999998</v>
      </c>
      <c r="D9" s="46">
        <f>C9</f>
        <v>0.72699999999999998</v>
      </c>
      <c r="E9" s="46">
        <f>C9</f>
        <v>0.72699999999999998</v>
      </c>
      <c r="F9" s="46">
        <f>C9</f>
        <v>0.72699999999999998</v>
      </c>
    </row>
    <row r="10" spans="1:6" ht="18.75">
      <c r="A10" s="45" t="s">
        <v>9</v>
      </c>
      <c r="B10" s="21" t="s">
        <v>10</v>
      </c>
      <c r="C10" s="46">
        <f>'Управителю (Форма)'!BP14</f>
        <v>0.17</v>
      </c>
      <c r="D10" s="46">
        <f t="shared" ref="D10:D25" si="0">C10</f>
        <v>0.17</v>
      </c>
      <c r="E10" s="46"/>
      <c r="F10" s="46">
        <f t="shared" ref="F10:F25" si="1">C10</f>
        <v>0.17</v>
      </c>
    </row>
    <row r="11" spans="1:6" ht="37.5">
      <c r="A11" s="45" t="s">
        <v>11</v>
      </c>
      <c r="B11" s="21" t="s">
        <v>12</v>
      </c>
      <c r="C11" s="46">
        <f>'Управителю (Форма)'!BP15</f>
        <v>0.32100000000000001</v>
      </c>
      <c r="D11" s="46">
        <f t="shared" si="0"/>
        <v>0.32100000000000001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(Форма)'!BP16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(Форма)'!BP19</f>
        <v>0.39700000000000002</v>
      </c>
      <c r="D15" s="161">
        <f t="shared" si="0"/>
        <v>0.39700000000000002</v>
      </c>
      <c r="E15" s="161">
        <f t="shared" si="2"/>
        <v>0.39700000000000002</v>
      </c>
      <c r="F15" s="161">
        <f t="shared" si="1"/>
        <v>0.39700000000000002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(Форма)'!BP26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(Форма)'!BP27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(Форма)'!BP28</f>
        <v>0.13400000000000001</v>
      </c>
      <c r="D24" s="46">
        <f t="shared" si="0"/>
        <v>0.13400000000000001</v>
      </c>
      <c r="E24" s="46">
        <f t="shared" si="2"/>
        <v>0.13400000000000001</v>
      </c>
      <c r="F24" s="46">
        <f t="shared" si="1"/>
        <v>0.13400000000000001</v>
      </c>
    </row>
    <row r="25" spans="1:6" ht="75">
      <c r="A25" s="45" t="s">
        <v>33</v>
      </c>
      <c r="B25" s="21" t="s">
        <v>34</v>
      </c>
      <c r="C25" s="46">
        <f>'Управителю (Форма)'!BP29</f>
        <v>0.20100000000000001</v>
      </c>
      <c r="D25" s="46">
        <f t="shared" si="0"/>
        <v>0.20100000000000001</v>
      </c>
      <c r="E25" s="46">
        <f t="shared" si="2"/>
        <v>0.20100000000000001</v>
      </c>
      <c r="F25" s="46">
        <f t="shared" si="1"/>
        <v>0.20100000000000001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(Форма)'!BP31</f>
        <v>3.1E-2</v>
      </c>
      <c r="D27" s="46">
        <f t="shared" ref="D27:D36" si="3">C27</f>
        <v>3.1E-2</v>
      </c>
      <c r="E27" s="46">
        <f t="shared" ref="E27:E36" si="4">C27</f>
        <v>3.1E-2</v>
      </c>
      <c r="F27" s="46">
        <f t="shared" ref="F27:F36" si="5">C27</f>
        <v>3.1E-2</v>
      </c>
    </row>
    <row r="28" spans="1:6" ht="18.75">
      <c r="A28" s="155" t="s">
        <v>39</v>
      </c>
      <c r="B28" s="35" t="s">
        <v>40</v>
      </c>
      <c r="C28" s="156">
        <f>'Управителю (Форма)'!BP32</f>
        <v>0.49399999999999999</v>
      </c>
      <c r="D28" s="156">
        <f t="shared" si="3"/>
        <v>0.49399999999999999</v>
      </c>
      <c r="E28" s="156">
        <f t="shared" si="4"/>
        <v>0.49399999999999999</v>
      </c>
      <c r="F28" s="156">
        <f t="shared" si="5"/>
        <v>0.49399999999999999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(Форма)'!BP42</f>
        <v>2E-3</v>
      </c>
      <c r="D38" s="46">
        <f>C38</f>
        <v>2E-3</v>
      </c>
      <c r="E38" s="46">
        <f>C38</f>
        <v>2E-3</v>
      </c>
      <c r="F38" s="46">
        <f>C38</f>
        <v>2E-3</v>
      </c>
    </row>
    <row r="39" spans="1:6" ht="37.5">
      <c r="A39" s="45" t="s">
        <v>49</v>
      </c>
      <c r="B39" s="20" t="s">
        <v>50</v>
      </c>
      <c r="C39" s="46">
        <f>'Управителю (Форма)'!BP43</f>
        <v>0.29099999999999998</v>
      </c>
      <c r="D39" s="46">
        <f>C39</f>
        <v>0.29099999999999998</v>
      </c>
      <c r="E39" s="46">
        <f>C39</f>
        <v>0.29099999999999998</v>
      </c>
      <c r="F39" s="46">
        <f>C39</f>
        <v>0.29099999999999998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0.47099999999999997</v>
      </c>
      <c r="D41" s="39">
        <f>SUM(D38:D40,D27:D36,D9:D25)*('Управителю (Форма)'!$D$7-1)</f>
        <v>0.47099999999999997</v>
      </c>
      <c r="E41" s="39">
        <f>SUM(E38:E40,E27:E36,E9:E25)*('Управителю (Форма)'!$D$7-1)</f>
        <v>0.38700000000000001</v>
      </c>
      <c r="F41" s="39">
        <f>SUM(F38:F40,F27:F36,F9:F25)*('Управителю (Форма)'!$D$7-1)</f>
        <v>0.41599999999999998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0.64800000000000002</v>
      </c>
      <c r="D42" s="40">
        <f>SUM(D38:D41,D27:D36,D9:D25)*0.2</f>
        <v>0.64800000000000002</v>
      </c>
      <c r="E42" s="40">
        <f>SUM(E38:E41,E27:E36,E9:E25)*0.2</f>
        <v>0.53300000000000003</v>
      </c>
      <c r="F42" s="40">
        <f>SUM(F38:F41,F27:F36,F9:F25)*0.2</f>
        <v>0.57299999999999995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3.887</v>
      </c>
      <c r="D43" s="38">
        <f>SUM(D38:D40,D27:D36,D9:D25)+D41+D42</f>
        <v>3.887</v>
      </c>
      <c r="E43" s="38">
        <f>SUM(E38:E40,E27:E36,E9:E25)+E41+E42</f>
        <v>3.1970000000000001</v>
      </c>
      <c r="F43" s="38">
        <f>SUM(F38:F40,F27:F36,F9:F25)+F41+F42</f>
        <v>3.4359999999999999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C55" sqref="C55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(Форма)'!BO10&amp;", "&amp;'Управителю (Форма)'!BO11</f>
        <v>вул. Текстильникiв, 3</v>
      </c>
      <c r="B4" s="167"/>
      <c r="C4" s="167"/>
      <c r="D4" s="167"/>
      <c r="E4" s="167"/>
      <c r="F4" s="167"/>
    </row>
    <row r="5" spans="1:6" ht="19.5" thickBot="1">
      <c r="A5" s="4"/>
    </row>
    <row r="6" spans="1:6" ht="33.7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(Форма)'!BO13</f>
        <v>0.11899999999999999</v>
      </c>
      <c r="D9" s="46">
        <f>C9</f>
        <v>0.11899999999999999</v>
      </c>
      <c r="E9" s="46">
        <f>C9</f>
        <v>0.11899999999999999</v>
      </c>
      <c r="F9" s="46">
        <f>C9</f>
        <v>0.11899999999999999</v>
      </c>
    </row>
    <row r="10" spans="1:6" ht="18.75">
      <c r="A10" s="45" t="s">
        <v>9</v>
      </c>
      <c r="B10" s="21" t="s">
        <v>10</v>
      </c>
      <c r="C10" s="46">
        <f>'Управителю (Форма)'!BO14</f>
        <v>6.5000000000000002E-2</v>
      </c>
      <c r="D10" s="46">
        <f t="shared" ref="D10:D25" si="0">C10</f>
        <v>6.5000000000000002E-2</v>
      </c>
      <c r="E10" s="46"/>
      <c r="F10" s="46">
        <f t="shared" ref="F10:F25" si="1">C10</f>
        <v>6.5000000000000002E-2</v>
      </c>
    </row>
    <row r="11" spans="1:6" ht="37.5">
      <c r="A11" s="45" t="s">
        <v>11</v>
      </c>
      <c r="B11" s="21" t="s">
        <v>12</v>
      </c>
      <c r="C11" s="46">
        <f>'Управителю (Форма)'!BO15</f>
        <v>0.52400000000000002</v>
      </c>
      <c r="D11" s="46">
        <f t="shared" si="0"/>
        <v>0.52400000000000002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(Форма)'!BO16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(Форма)'!BO19</f>
        <v>0.4</v>
      </c>
      <c r="D15" s="161">
        <f t="shared" si="0"/>
        <v>0.4</v>
      </c>
      <c r="E15" s="161">
        <f t="shared" si="2"/>
        <v>0.4</v>
      </c>
      <c r="F15" s="161">
        <f t="shared" si="1"/>
        <v>0.4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(Форма)'!BO26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(Форма)'!BO27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(Форма)'!BO28</f>
        <v>6.0000000000000001E-3</v>
      </c>
      <c r="D24" s="46">
        <f t="shared" si="0"/>
        <v>6.0000000000000001E-3</v>
      </c>
      <c r="E24" s="46">
        <f t="shared" si="2"/>
        <v>6.0000000000000001E-3</v>
      </c>
      <c r="F24" s="46">
        <f t="shared" si="1"/>
        <v>6.0000000000000001E-3</v>
      </c>
    </row>
    <row r="25" spans="1:6" ht="75">
      <c r="A25" s="45" t="s">
        <v>33</v>
      </c>
      <c r="B25" s="21" t="s">
        <v>34</v>
      </c>
      <c r="C25" s="46">
        <f>'Управителю (Форма)'!BO29</f>
        <v>6.6000000000000003E-2</v>
      </c>
      <c r="D25" s="46">
        <f t="shared" si="0"/>
        <v>6.6000000000000003E-2</v>
      </c>
      <c r="E25" s="46">
        <f t="shared" si="2"/>
        <v>6.6000000000000003E-2</v>
      </c>
      <c r="F25" s="46">
        <f t="shared" si="1"/>
        <v>6.6000000000000003E-2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(Форма)'!BO31</f>
        <v>7.8E-2</v>
      </c>
      <c r="D27" s="46">
        <f t="shared" ref="D27:D36" si="3">C27</f>
        <v>7.8E-2</v>
      </c>
      <c r="E27" s="46">
        <f t="shared" ref="E27:E36" si="4">C27</f>
        <v>7.8E-2</v>
      </c>
      <c r="F27" s="46">
        <f t="shared" ref="F27:F36" si="5">C27</f>
        <v>7.8E-2</v>
      </c>
    </row>
    <row r="28" spans="1:6" ht="18.75">
      <c r="A28" s="155" t="s">
        <v>39</v>
      </c>
      <c r="B28" s="35" t="s">
        <v>40</v>
      </c>
      <c r="C28" s="156">
        <f>'Управителю (Форма)'!BO32</f>
        <v>0.70899999999999996</v>
      </c>
      <c r="D28" s="156">
        <f t="shared" si="3"/>
        <v>0.70899999999999996</v>
      </c>
      <c r="E28" s="156">
        <f t="shared" si="4"/>
        <v>0.70899999999999996</v>
      </c>
      <c r="F28" s="156">
        <f t="shared" si="5"/>
        <v>0.70899999999999996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(Форма)'!BO42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(Форма)'!BO43</f>
        <v>0.27400000000000002</v>
      </c>
      <c r="D39" s="46">
        <f>C39</f>
        <v>0.27400000000000002</v>
      </c>
      <c r="E39" s="46">
        <f>C39</f>
        <v>0.27400000000000002</v>
      </c>
      <c r="F39" s="46">
        <f>C39</f>
        <v>0.27400000000000002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0.38100000000000001</v>
      </c>
      <c r="D41" s="39">
        <f>SUM(D38:D40,D27:D36,D9:D25)*('Управителю (Форма)'!$D$7-1)</f>
        <v>0.38100000000000001</v>
      </c>
      <c r="E41" s="39">
        <f>SUM(E38:E40,E27:E36,E9:E25)*('Управителю (Форма)'!$D$7-1)</f>
        <v>0.28100000000000003</v>
      </c>
      <c r="F41" s="39">
        <f>SUM(F38:F40,F27:F36,F9:F25)*('Управителю (Форма)'!$D$7-1)</f>
        <v>0.29199999999999998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0.52500000000000002</v>
      </c>
      <c r="D42" s="40">
        <f>SUM(D38:D41,D27:D36,D9:D25)*0.2</f>
        <v>0.52500000000000002</v>
      </c>
      <c r="E42" s="40">
        <f>SUM(E38:E41,E27:E36,E9:E25)*0.2</f>
        <v>0.38700000000000001</v>
      </c>
      <c r="F42" s="40">
        <f>SUM(F38:F41,F27:F36,F9:F25)*0.2</f>
        <v>0.40200000000000002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3.1480000000000001</v>
      </c>
      <c r="D43" s="38">
        <f>SUM(D38:D40,D27:D36,D9:D25)+D41+D42</f>
        <v>3.1480000000000001</v>
      </c>
      <c r="E43" s="38">
        <f>SUM(E38:E40,E27:E36,E9:E25)+E41+E42</f>
        <v>2.3210000000000002</v>
      </c>
      <c r="F43" s="38">
        <f>SUM(F38:F40,F27:F36,F9:F25)+F41+F42</f>
        <v>2.4119999999999999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B56" sqref="B56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(Форма)'!BN10&amp;", "&amp;'Управителю (Форма)'!BN11</f>
        <v>вул. Текстильникiв, 25а</v>
      </c>
      <c r="B4" s="167"/>
      <c r="C4" s="167"/>
      <c r="D4" s="167"/>
      <c r="E4" s="167"/>
      <c r="F4" s="167"/>
    </row>
    <row r="5" spans="1:6" ht="19.5" thickBot="1">
      <c r="A5" s="4"/>
    </row>
    <row r="6" spans="1:6" ht="31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(Форма)'!BN13</f>
        <v>0.34399999999999997</v>
      </c>
      <c r="D9" s="46">
        <f>C9</f>
        <v>0.34399999999999997</v>
      </c>
      <c r="E9" s="46">
        <f>C9</f>
        <v>0.34399999999999997</v>
      </c>
      <c r="F9" s="46">
        <f>C9</f>
        <v>0.34399999999999997</v>
      </c>
    </row>
    <row r="10" spans="1:6" ht="18.75">
      <c r="A10" s="45" t="s">
        <v>9</v>
      </c>
      <c r="B10" s="21" t="s">
        <v>10</v>
      </c>
      <c r="C10" s="46">
        <f>'Управителю (Форма)'!BN14</f>
        <v>8.5000000000000006E-2</v>
      </c>
      <c r="D10" s="46">
        <f t="shared" ref="D10:D25" si="0">C10</f>
        <v>8.5000000000000006E-2</v>
      </c>
      <c r="E10" s="46"/>
      <c r="F10" s="46">
        <f t="shared" ref="F10:F25" si="1">C10</f>
        <v>8.5000000000000006E-2</v>
      </c>
    </row>
    <row r="11" spans="1:6" ht="37.5">
      <c r="A11" s="45" t="s">
        <v>11</v>
      </c>
      <c r="B11" s="21" t="s">
        <v>12</v>
      </c>
      <c r="C11" s="46">
        <f>'Управителю (Форма)'!BN15</f>
        <v>0.35299999999999998</v>
      </c>
      <c r="D11" s="46">
        <f t="shared" si="0"/>
        <v>0.35299999999999998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(Форма)'!BN16</f>
        <v>8.9999999999999993E-3</v>
      </c>
      <c r="D12" s="46">
        <f t="shared" si="0"/>
        <v>8.9999999999999993E-3</v>
      </c>
      <c r="E12" s="46">
        <f t="shared" ref="E12:E25" si="2">C12</f>
        <v>8.9999999999999993E-3</v>
      </c>
      <c r="F12" s="46">
        <f t="shared" si="1"/>
        <v>8.9999999999999993E-3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(Форма)'!BN19</f>
        <v>0.44</v>
      </c>
      <c r="D15" s="161">
        <f t="shared" si="0"/>
        <v>0.44</v>
      </c>
      <c r="E15" s="161">
        <f t="shared" si="2"/>
        <v>0.44</v>
      </c>
      <c r="F15" s="161">
        <f t="shared" si="1"/>
        <v>0.44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(Форма)'!BN26</f>
        <v>2.4E-2</v>
      </c>
      <c r="D22" s="46">
        <f t="shared" si="0"/>
        <v>2.4E-2</v>
      </c>
      <c r="E22" s="46">
        <f t="shared" si="2"/>
        <v>2.4E-2</v>
      </c>
      <c r="F22" s="46">
        <f t="shared" si="1"/>
        <v>2.4E-2</v>
      </c>
    </row>
    <row r="23" spans="1:6" ht="18.75">
      <c r="A23" s="45" t="s">
        <v>29</v>
      </c>
      <c r="B23" s="21" t="s">
        <v>30</v>
      </c>
      <c r="C23" s="46">
        <f>'Управителю (Форма)'!BN27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(Форма)'!BN28</f>
        <v>2.1000000000000001E-2</v>
      </c>
      <c r="D24" s="46">
        <f t="shared" si="0"/>
        <v>2.1000000000000001E-2</v>
      </c>
      <c r="E24" s="46">
        <f t="shared" si="2"/>
        <v>2.1000000000000001E-2</v>
      </c>
      <c r="F24" s="46">
        <f t="shared" si="1"/>
        <v>2.1000000000000001E-2</v>
      </c>
    </row>
    <row r="25" spans="1:6" ht="75">
      <c r="A25" s="45" t="s">
        <v>33</v>
      </c>
      <c r="B25" s="21" t="s">
        <v>34</v>
      </c>
      <c r="C25" s="46">
        <f>'Управителю (Форма)'!BN29</f>
        <v>0.13500000000000001</v>
      </c>
      <c r="D25" s="46">
        <f t="shared" si="0"/>
        <v>0.13500000000000001</v>
      </c>
      <c r="E25" s="46">
        <f t="shared" si="2"/>
        <v>0.13500000000000001</v>
      </c>
      <c r="F25" s="46">
        <f t="shared" si="1"/>
        <v>0.13500000000000001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(Форма)'!BN31</f>
        <v>9.5000000000000001E-2</v>
      </c>
      <c r="D27" s="46">
        <f t="shared" ref="D27:D36" si="3">C27</f>
        <v>9.5000000000000001E-2</v>
      </c>
      <c r="E27" s="46">
        <f t="shared" ref="E27:E36" si="4">C27</f>
        <v>9.5000000000000001E-2</v>
      </c>
      <c r="F27" s="46">
        <f t="shared" ref="F27:F36" si="5">C27</f>
        <v>9.5000000000000001E-2</v>
      </c>
    </row>
    <row r="28" spans="1:6" ht="18.75">
      <c r="A28" s="155" t="s">
        <v>39</v>
      </c>
      <c r="B28" s="35" t="s">
        <v>40</v>
      </c>
      <c r="C28" s="156">
        <f>'Управителю (Форма)'!BN32</f>
        <v>1.113</v>
      </c>
      <c r="D28" s="156">
        <f t="shared" si="3"/>
        <v>1.113</v>
      </c>
      <c r="E28" s="156">
        <f t="shared" si="4"/>
        <v>1.113</v>
      </c>
      <c r="F28" s="156">
        <f t="shared" si="5"/>
        <v>1.113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(Форма)'!BN42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(Форма)'!BN43</f>
        <v>0.16400000000000001</v>
      </c>
      <c r="D39" s="46">
        <f>C39</f>
        <v>0.16400000000000001</v>
      </c>
      <c r="E39" s="46">
        <f>C39</f>
        <v>0.16400000000000001</v>
      </c>
      <c r="F39" s="46">
        <f>C39</f>
        <v>0.16400000000000001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0.47299999999999998</v>
      </c>
      <c r="D41" s="39">
        <f>SUM(D38:D40,D27:D36,D9:D25)*('Управителю (Форма)'!$D$7-1)</f>
        <v>0.47299999999999998</v>
      </c>
      <c r="E41" s="39">
        <f>SUM(E38:E40,E27:E36,E9:E25)*('Управителю (Форма)'!$D$7-1)</f>
        <v>0.39900000000000002</v>
      </c>
      <c r="F41" s="39">
        <f>SUM(F38:F40,F27:F36,F9:F25)*('Управителю (Форма)'!$D$7-1)</f>
        <v>0.41299999999999998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0.65200000000000002</v>
      </c>
      <c r="D42" s="40">
        <f>SUM(D38:D41,D27:D36,D9:D25)*0.2</f>
        <v>0.65200000000000002</v>
      </c>
      <c r="E42" s="40">
        <f>SUM(E38:E41,E27:E36,E9:E25)*0.2</f>
        <v>0.54900000000000004</v>
      </c>
      <c r="F42" s="40">
        <f>SUM(F38:F41,F27:F36,F9:F25)*0.2</f>
        <v>0.56899999999999995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3.91</v>
      </c>
      <c r="D43" s="38">
        <f>SUM(D38:D40,D27:D36,D9:D25)+D41+D42</f>
        <v>3.91</v>
      </c>
      <c r="E43" s="38">
        <f>SUM(E38:E40,E27:E36,E9:E25)+E41+E42</f>
        <v>3.2949999999999999</v>
      </c>
      <c r="F43" s="38">
        <f>SUM(F38:F40,F27:F36,F9:F25)+F41+F42</f>
        <v>3.4140000000000001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C49" sqref="C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(Форма)'!BM10&amp;", "&amp;'Управителю (Форма)'!BM11</f>
        <v>вул. Текстильникiв, 24а</v>
      </c>
      <c r="B4" s="167"/>
      <c r="C4" s="167"/>
      <c r="D4" s="167"/>
      <c r="E4" s="167"/>
      <c r="F4" s="167"/>
    </row>
    <row r="5" spans="1:6" ht="19.5" thickBot="1">
      <c r="A5" s="4"/>
    </row>
    <row r="6" spans="1:6" ht="33.7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(Форма)'!BM13</f>
        <v>0.57599999999999996</v>
      </c>
      <c r="D9" s="46">
        <f>C9</f>
        <v>0.57599999999999996</v>
      </c>
      <c r="E9" s="46">
        <f>C9</f>
        <v>0.57599999999999996</v>
      </c>
      <c r="F9" s="46">
        <f>C9</f>
        <v>0.57599999999999996</v>
      </c>
    </row>
    <row r="10" spans="1:6" ht="18.75">
      <c r="A10" s="45" t="s">
        <v>9</v>
      </c>
      <c r="B10" s="21" t="s">
        <v>10</v>
      </c>
      <c r="C10" s="46">
        <f>'Управителю (Форма)'!BM14</f>
        <v>0.29399999999999998</v>
      </c>
      <c r="D10" s="46">
        <f t="shared" ref="D10:D25" si="0">C10</f>
        <v>0.29399999999999998</v>
      </c>
      <c r="E10" s="46"/>
      <c r="F10" s="46">
        <f t="shared" ref="F10:F25" si="1">C10</f>
        <v>0.29399999999999998</v>
      </c>
    </row>
    <row r="11" spans="1:6" ht="37.5">
      <c r="A11" s="45" t="s">
        <v>11</v>
      </c>
      <c r="B11" s="21" t="s">
        <v>12</v>
      </c>
      <c r="C11" s="46">
        <f>'Управителю (Форма)'!BM15</f>
        <v>0.32500000000000001</v>
      </c>
      <c r="D11" s="46">
        <f t="shared" si="0"/>
        <v>0.32500000000000001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(Форма)'!BM16</f>
        <v>1.6E-2</v>
      </c>
      <c r="D12" s="46">
        <f t="shared" si="0"/>
        <v>1.6E-2</v>
      </c>
      <c r="E12" s="46">
        <f t="shared" ref="E12:E25" si="2">C12</f>
        <v>1.6E-2</v>
      </c>
      <c r="F12" s="46">
        <f t="shared" si="1"/>
        <v>1.6E-2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(Форма)'!BM17</f>
        <v>0.25600000000000001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(Форма)'!BM18</f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(Форма)'!BM19</f>
        <v>0.37</v>
      </c>
      <c r="D15" s="161">
        <f t="shared" si="0"/>
        <v>0.37</v>
      </c>
      <c r="E15" s="161">
        <f t="shared" si="2"/>
        <v>0.37</v>
      </c>
      <c r="F15" s="161">
        <f t="shared" si="1"/>
        <v>0.37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(Форма)'!BM26</f>
        <v>1.6E-2</v>
      </c>
      <c r="D22" s="46">
        <f t="shared" si="0"/>
        <v>1.6E-2</v>
      </c>
      <c r="E22" s="46">
        <f t="shared" si="2"/>
        <v>1.6E-2</v>
      </c>
      <c r="F22" s="46">
        <f t="shared" si="1"/>
        <v>1.6E-2</v>
      </c>
    </row>
    <row r="23" spans="1:6" ht="18.75">
      <c r="A23" s="45" t="s">
        <v>29</v>
      </c>
      <c r="B23" s="21" t="s">
        <v>30</v>
      </c>
      <c r="C23" s="46">
        <f>'Управителю (Форма)'!BM27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(Форма)'!BM28</f>
        <v>1.9E-2</v>
      </c>
      <c r="D24" s="46">
        <f t="shared" si="0"/>
        <v>1.9E-2</v>
      </c>
      <c r="E24" s="46">
        <f t="shared" si="2"/>
        <v>1.9E-2</v>
      </c>
      <c r="F24" s="46">
        <f t="shared" si="1"/>
        <v>1.9E-2</v>
      </c>
    </row>
    <row r="25" spans="1:6" ht="75">
      <c r="A25" s="45" t="s">
        <v>33</v>
      </c>
      <c r="B25" s="21" t="s">
        <v>34</v>
      </c>
      <c r="C25" s="46">
        <f>'Управителю (Форма)'!BM29</f>
        <v>2.5999999999999999E-2</v>
      </c>
      <c r="D25" s="46">
        <f t="shared" si="0"/>
        <v>2.5999999999999999E-2</v>
      </c>
      <c r="E25" s="46">
        <f t="shared" si="2"/>
        <v>2.5999999999999999E-2</v>
      </c>
      <c r="F25" s="46">
        <f t="shared" si="1"/>
        <v>2.5999999999999999E-2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(Форма)'!BM31</f>
        <v>0.01</v>
      </c>
      <c r="D27" s="46">
        <f t="shared" ref="D27:D36" si="3">C27</f>
        <v>0.01</v>
      </c>
      <c r="E27" s="46">
        <f t="shared" ref="E27:E36" si="4">C27</f>
        <v>0.01</v>
      </c>
      <c r="F27" s="46">
        <f t="shared" ref="F27:F36" si="5">C27</f>
        <v>0.01</v>
      </c>
    </row>
    <row r="28" spans="1:6" ht="18.75">
      <c r="A28" s="155" t="s">
        <v>39</v>
      </c>
      <c r="B28" s="35" t="s">
        <v>40</v>
      </c>
      <c r="C28" s="156">
        <f>'Управителю (Форма)'!BM32</f>
        <v>0.82499999999999996</v>
      </c>
      <c r="D28" s="156">
        <f t="shared" si="3"/>
        <v>0.82499999999999996</v>
      </c>
      <c r="E28" s="156">
        <f t="shared" si="4"/>
        <v>0.82499999999999996</v>
      </c>
      <c r="F28" s="156">
        <f t="shared" si="5"/>
        <v>0.82499999999999996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(Форма)'!BM42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(Форма)'!BM43</f>
        <v>0.23400000000000001</v>
      </c>
      <c r="D39" s="46">
        <f>C39</f>
        <v>0.23400000000000001</v>
      </c>
      <c r="E39" s="46">
        <f>C39</f>
        <v>0.23400000000000001</v>
      </c>
      <c r="F39" s="46">
        <f>C39</f>
        <v>0.23400000000000001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(Форма)'!BM44</f>
        <v>0.22500000000000001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0.46100000000000002</v>
      </c>
      <c r="D41" s="39">
        <f>SUM(D38:D40,D27:D36,D9:D25)*('Управителю (Форма)'!$D$7-1)</f>
        <v>0.54300000000000004</v>
      </c>
      <c r="E41" s="39">
        <f>SUM(E38:E40,E27:E36,E9:E25)*('Управителю (Форма)'!$D$7-1)</f>
        <v>0.35599999999999998</v>
      </c>
      <c r="F41" s="39">
        <f>SUM(F38:F40,F27:F36,F9:F25)*('Управителю (Форма)'!$D$7-1)</f>
        <v>0.40600000000000003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0.63500000000000001</v>
      </c>
      <c r="D42" s="40">
        <f>SUM(D38:D41,D27:D36,D9:D25)*0.2</f>
        <v>0.747</v>
      </c>
      <c r="E42" s="40">
        <f>SUM(E38:E41,E27:E36,E9:E25)*0.2</f>
        <v>0.49</v>
      </c>
      <c r="F42" s="40">
        <f>SUM(F38:F41,F27:F36,F9:F25)*0.2</f>
        <v>0.55900000000000005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3.8090000000000002</v>
      </c>
      <c r="D43" s="38">
        <f>SUM(D38:D40,D27:D36,D9:D25)+D41+D42</f>
        <v>4.484</v>
      </c>
      <c r="E43" s="38">
        <f>SUM(E38:E40,E27:E36,E9:E25)+E41+E42</f>
        <v>2.94</v>
      </c>
      <c r="F43" s="38">
        <f>SUM(F38:F40,F27:F36,F9:F25)+F41+F42</f>
        <v>3.3530000000000002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D48" sqref="D48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(Форма)'!BL10&amp;", "&amp;'Управителю (Форма)'!BL11</f>
        <v>вул. Текстильникiв, 24</v>
      </c>
      <c r="B4" s="167"/>
      <c r="C4" s="167"/>
      <c r="D4" s="167"/>
      <c r="E4" s="167"/>
      <c r="F4" s="167"/>
    </row>
    <row r="5" spans="1:6" ht="19.5" thickBot="1">
      <c r="A5" s="4"/>
    </row>
    <row r="6" spans="1:6" ht="33.7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(Форма)'!BL13</f>
        <v>0.48599999999999999</v>
      </c>
      <c r="D9" s="46">
        <f>C9</f>
        <v>0.48599999999999999</v>
      </c>
      <c r="E9" s="46">
        <f>C9</f>
        <v>0.48599999999999999</v>
      </c>
      <c r="F9" s="46">
        <f>C9</f>
        <v>0.48599999999999999</v>
      </c>
    </row>
    <row r="10" spans="1:6" ht="18.75">
      <c r="A10" s="45" t="s">
        <v>9</v>
      </c>
      <c r="B10" s="21" t="s">
        <v>10</v>
      </c>
      <c r="C10" s="46">
        <f>'Управителю (Форма)'!BL14</f>
        <v>0.114</v>
      </c>
      <c r="D10" s="46">
        <f t="shared" ref="D10:D25" si="0">C10</f>
        <v>0.114</v>
      </c>
      <c r="E10" s="46"/>
      <c r="F10" s="46">
        <f t="shared" ref="F10:F25" si="1">C10</f>
        <v>0.114</v>
      </c>
    </row>
    <row r="11" spans="1:6" ht="37.5">
      <c r="A11" s="45" t="s">
        <v>11</v>
      </c>
      <c r="B11" s="21" t="s">
        <v>12</v>
      </c>
      <c r="C11" s="46">
        <f>'Управителю (Форма)'!BL15</f>
        <v>0.49099999999999999</v>
      </c>
      <c r="D11" s="46">
        <f t="shared" si="0"/>
        <v>0.49099999999999999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(Форма)'!BL16</f>
        <v>1.6E-2</v>
      </c>
      <c r="D12" s="46">
        <f t="shared" si="0"/>
        <v>1.6E-2</v>
      </c>
      <c r="E12" s="46">
        <f t="shared" ref="E12:E25" si="2">C12</f>
        <v>1.6E-2</v>
      </c>
      <c r="F12" s="46">
        <f t="shared" si="1"/>
        <v>1.6E-2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(Форма)'!BL19</f>
        <v>0.42699999999999999</v>
      </c>
      <c r="D15" s="161">
        <f t="shared" si="0"/>
        <v>0.42699999999999999</v>
      </c>
      <c r="E15" s="161">
        <f t="shared" si="2"/>
        <v>0.42699999999999999</v>
      </c>
      <c r="F15" s="161">
        <f t="shared" si="1"/>
        <v>0.42699999999999999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(Форма)'!BL26</f>
        <v>2.4E-2</v>
      </c>
      <c r="D22" s="46">
        <f t="shared" si="0"/>
        <v>2.4E-2</v>
      </c>
      <c r="E22" s="46">
        <f t="shared" si="2"/>
        <v>2.4E-2</v>
      </c>
      <c r="F22" s="46">
        <f t="shared" si="1"/>
        <v>2.4E-2</v>
      </c>
    </row>
    <row r="23" spans="1:6" ht="18.75">
      <c r="A23" s="45" t="s">
        <v>29</v>
      </c>
      <c r="B23" s="21" t="s">
        <v>30</v>
      </c>
      <c r="C23" s="46">
        <f>'Управителю (Форма)'!BL27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(Форма)'!BL28</f>
        <v>4.1000000000000002E-2</v>
      </c>
      <c r="D24" s="46">
        <f t="shared" si="0"/>
        <v>4.1000000000000002E-2</v>
      </c>
      <c r="E24" s="46">
        <f t="shared" si="2"/>
        <v>4.1000000000000002E-2</v>
      </c>
      <c r="F24" s="46">
        <f t="shared" si="1"/>
        <v>4.1000000000000002E-2</v>
      </c>
    </row>
    <row r="25" spans="1:6" ht="75">
      <c r="A25" s="45" t="s">
        <v>33</v>
      </c>
      <c r="B25" s="21" t="s">
        <v>34</v>
      </c>
      <c r="C25" s="46">
        <f>'Управителю (Форма)'!BL29</f>
        <v>8.4000000000000005E-2</v>
      </c>
      <c r="D25" s="46">
        <f t="shared" si="0"/>
        <v>8.4000000000000005E-2</v>
      </c>
      <c r="E25" s="46">
        <f t="shared" si="2"/>
        <v>8.4000000000000005E-2</v>
      </c>
      <c r="F25" s="46">
        <f t="shared" si="1"/>
        <v>8.4000000000000005E-2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(Форма)'!BL31</f>
        <v>4.7E-2</v>
      </c>
      <c r="D27" s="46">
        <f t="shared" ref="D27:D36" si="3">C27</f>
        <v>4.7E-2</v>
      </c>
      <c r="E27" s="46">
        <f t="shared" ref="E27:E36" si="4">C27</f>
        <v>4.7E-2</v>
      </c>
      <c r="F27" s="46">
        <f t="shared" ref="F27:F36" si="5">C27</f>
        <v>4.7E-2</v>
      </c>
    </row>
    <row r="28" spans="1:6" ht="18.75">
      <c r="A28" s="155" t="s">
        <v>39</v>
      </c>
      <c r="B28" s="35" t="s">
        <v>40</v>
      </c>
      <c r="C28" s="156">
        <f>'Управителю (Форма)'!BL32</f>
        <v>0.86099999999999999</v>
      </c>
      <c r="D28" s="156">
        <f t="shared" si="3"/>
        <v>0.86099999999999999</v>
      </c>
      <c r="E28" s="156">
        <f t="shared" si="4"/>
        <v>0.86099999999999999</v>
      </c>
      <c r="F28" s="156">
        <f t="shared" si="5"/>
        <v>0.86099999999999999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(Форма)'!BL42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(Форма)'!BL43</f>
        <v>0.19700000000000001</v>
      </c>
      <c r="D39" s="46">
        <f>C39</f>
        <v>0.19700000000000001</v>
      </c>
      <c r="E39" s="46">
        <f>C39</f>
        <v>0.19700000000000001</v>
      </c>
      <c r="F39" s="46">
        <f>C39</f>
        <v>0.19700000000000001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0.47399999999999998</v>
      </c>
      <c r="D41" s="39">
        <f>SUM(D38:D40,D27:D36,D9:D25)*('Управителю (Форма)'!$D$7-1)</f>
        <v>0.47399999999999998</v>
      </c>
      <c r="E41" s="39">
        <f>SUM(E38:E40,E27:E36,E9:E25)*('Управителю (Форма)'!$D$7-1)</f>
        <v>0.371</v>
      </c>
      <c r="F41" s="39">
        <f>SUM(F38:F40,F27:F36,F9:F25)*('Управителю (Форма)'!$D$7-1)</f>
        <v>0.39100000000000001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0.65300000000000002</v>
      </c>
      <c r="D42" s="40">
        <f>SUM(D38:D41,D27:D36,D9:D25)*0.2</f>
        <v>0.65300000000000002</v>
      </c>
      <c r="E42" s="40">
        <f>SUM(E38:E41,E27:E36,E9:E25)*0.2</f>
        <v>0.51100000000000001</v>
      </c>
      <c r="F42" s="40">
        <f>SUM(F38:F41,F27:F36,F9:F25)*0.2</f>
        <v>0.53800000000000003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3.9169999999999998</v>
      </c>
      <c r="D43" s="38">
        <f>SUM(D38:D40,D27:D36,D9:D25)+D41+D42</f>
        <v>3.9169999999999998</v>
      </c>
      <c r="E43" s="38">
        <f>SUM(E38:E40,E27:E36,E9:E25)+E41+E42</f>
        <v>3.0670000000000002</v>
      </c>
      <c r="F43" s="38">
        <f>SUM(F38:F40,F27:F36,F9:F25)+F41+F42</f>
        <v>3.2280000000000002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C49" sqref="C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(Форма)'!BK10&amp;", "&amp;'Управителю (Форма)'!BK11</f>
        <v>вул. Текстильникiв, 23</v>
      </c>
      <c r="B4" s="167"/>
      <c r="C4" s="167"/>
      <c r="D4" s="167"/>
      <c r="E4" s="167"/>
      <c r="F4" s="167"/>
    </row>
    <row r="5" spans="1:6" ht="19.5" thickBot="1">
      <c r="A5" s="4"/>
    </row>
    <row r="6" spans="1:6" ht="34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(Форма)'!BK13</f>
        <v>0.74099999999999999</v>
      </c>
      <c r="D9" s="46">
        <f>C9</f>
        <v>0.74099999999999999</v>
      </c>
      <c r="E9" s="46">
        <f>C9</f>
        <v>0.74099999999999999</v>
      </c>
      <c r="F9" s="46">
        <f>C9</f>
        <v>0.74099999999999999</v>
      </c>
    </row>
    <row r="10" spans="1:6" ht="18.75">
      <c r="A10" s="45" t="s">
        <v>9</v>
      </c>
      <c r="B10" s="21" t="s">
        <v>10</v>
      </c>
      <c r="C10" s="46">
        <f>'Управителю (Форма)'!BK14</f>
        <v>0.22700000000000001</v>
      </c>
      <c r="D10" s="46">
        <f t="shared" ref="D10:D25" si="0">C10</f>
        <v>0.22700000000000001</v>
      </c>
      <c r="E10" s="46"/>
      <c r="F10" s="46">
        <f t="shared" ref="F10:F25" si="1">C10</f>
        <v>0.22700000000000001</v>
      </c>
    </row>
    <row r="11" spans="1:6" ht="37.5">
      <c r="A11" s="45" t="s">
        <v>11</v>
      </c>
      <c r="B11" s="21" t="s">
        <v>12</v>
      </c>
      <c r="C11" s="46">
        <f>'Управителю (Форма)'!BK15</f>
        <v>0.45300000000000001</v>
      </c>
      <c r="D11" s="46">
        <f t="shared" si="0"/>
        <v>0.45300000000000001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(Форма)'!BK16</f>
        <v>8.9999999999999993E-3</v>
      </c>
      <c r="D12" s="46">
        <f t="shared" si="0"/>
        <v>8.9999999999999993E-3</v>
      </c>
      <c r="E12" s="46">
        <f t="shared" ref="E12:E25" si="2">C12</f>
        <v>8.9999999999999993E-3</v>
      </c>
      <c r="F12" s="46">
        <f t="shared" si="1"/>
        <v>8.9999999999999993E-3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(Форма)'!BK19</f>
        <v>0.372</v>
      </c>
      <c r="D15" s="161">
        <f t="shared" si="0"/>
        <v>0.372</v>
      </c>
      <c r="E15" s="161">
        <f t="shared" si="2"/>
        <v>0.372</v>
      </c>
      <c r="F15" s="161">
        <f t="shared" si="1"/>
        <v>0.372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(Форма)'!BK26</f>
        <v>2.9000000000000001E-2</v>
      </c>
      <c r="D22" s="46">
        <f t="shared" si="0"/>
        <v>2.9000000000000001E-2</v>
      </c>
      <c r="E22" s="46">
        <f t="shared" si="2"/>
        <v>2.9000000000000001E-2</v>
      </c>
      <c r="F22" s="46">
        <f t="shared" si="1"/>
        <v>2.9000000000000001E-2</v>
      </c>
    </row>
    <row r="23" spans="1:6" ht="18.75">
      <c r="A23" s="45" t="s">
        <v>29</v>
      </c>
      <c r="B23" s="21" t="s">
        <v>30</v>
      </c>
      <c r="C23" s="46">
        <f>'Управителю (Форма)'!BK27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(Форма)'!BK28</f>
        <v>1.0999999999999999E-2</v>
      </c>
      <c r="D24" s="46">
        <f t="shared" si="0"/>
        <v>1.0999999999999999E-2</v>
      </c>
      <c r="E24" s="46">
        <f t="shared" si="2"/>
        <v>1.0999999999999999E-2</v>
      </c>
      <c r="F24" s="46">
        <f t="shared" si="1"/>
        <v>1.0999999999999999E-2</v>
      </c>
    </row>
    <row r="25" spans="1:6" ht="75">
      <c r="A25" s="45" t="s">
        <v>33</v>
      </c>
      <c r="B25" s="21" t="s">
        <v>34</v>
      </c>
      <c r="C25" s="46">
        <f>'Управителю (Форма)'!BK29</f>
        <v>0.14899999999999999</v>
      </c>
      <c r="D25" s="46">
        <f t="shared" si="0"/>
        <v>0.14899999999999999</v>
      </c>
      <c r="E25" s="46">
        <f t="shared" si="2"/>
        <v>0.14899999999999999</v>
      </c>
      <c r="F25" s="46">
        <f t="shared" si="1"/>
        <v>0.14899999999999999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(Форма)'!BK31</f>
        <v>2.1000000000000001E-2</v>
      </c>
      <c r="D27" s="46">
        <f t="shared" ref="D27:D36" si="3">C27</f>
        <v>2.1000000000000001E-2</v>
      </c>
      <c r="E27" s="46">
        <f t="shared" ref="E27:E36" si="4">C27</f>
        <v>2.1000000000000001E-2</v>
      </c>
      <c r="F27" s="46">
        <f t="shared" ref="F27:F36" si="5">C27</f>
        <v>2.1000000000000001E-2</v>
      </c>
    </row>
    <row r="28" spans="1:6" ht="18.75">
      <c r="A28" s="155" t="s">
        <v>39</v>
      </c>
      <c r="B28" s="35" t="s">
        <v>40</v>
      </c>
      <c r="C28" s="156">
        <f>'Управителю (Форма)'!BK32</f>
        <v>0.48899999999999999</v>
      </c>
      <c r="D28" s="156">
        <f t="shared" si="3"/>
        <v>0.48899999999999999</v>
      </c>
      <c r="E28" s="156">
        <f t="shared" si="4"/>
        <v>0.48899999999999999</v>
      </c>
      <c r="F28" s="156">
        <f t="shared" si="5"/>
        <v>0.48899999999999999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(Форма)'!BK42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(Форма)'!BK43</f>
        <v>0.31</v>
      </c>
      <c r="D39" s="46">
        <f>C39</f>
        <v>0.31</v>
      </c>
      <c r="E39" s="46">
        <f>C39</f>
        <v>0.31</v>
      </c>
      <c r="F39" s="46">
        <f>C39</f>
        <v>0.31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0.47799999999999998</v>
      </c>
      <c r="D41" s="39">
        <f>SUM(D38:D40,D27:D36,D9:D25)*('Управителю (Форма)'!$D$7-1)</f>
        <v>0.47799999999999998</v>
      </c>
      <c r="E41" s="39">
        <f>SUM(E38:E40,E27:E36,E9:E25)*('Управителю (Форма)'!$D$7-1)</f>
        <v>0.36299999999999999</v>
      </c>
      <c r="F41" s="39">
        <f>SUM(F38:F40,F27:F36,F9:F25)*('Управителю (Форма)'!$D$7-1)</f>
        <v>0.40100000000000002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0.65800000000000003</v>
      </c>
      <c r="D42" s="40">
        <f>SUM(D38:D41,D27:D36,D9:D25)*0.2</f>
        <v>0.65800000000000003</v>
      </c>
      <c r="E42" s="40">
        <f>SUM(E38:E41,E27:E36,E9:E25)*0.2</f>
        <v>0.499</v>
      </c>
      <c r="F42" s="40">
        <f>SUM(F38:F41,F27:F36,F9:F25)*0.2</f>
        <v>0.55200000000000005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3.9489999999999998</v>
      </c>
      <c r="D43" s="38">
        <f>SUM(D38:D40,D27:D36,D9:D25)+D41+D42</f>
        <v>3.9489999999999998</v>
      </c>
      <c r="E43" s="38">
        <f>SUM(E38:E40,E27:E36,E9:E25)+E41+E42</f>
        <v>2.9950000000000001</v>
      </c>
      <c r="F43" s="38">
        <f>SUM(F38:F40,F27:F36,F9:F25)+F41+F42</f>
        <v>3.3130000000000002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C46" sqref="C46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(Форма)'!BJ10&amp;", "&amp;'Управителю (Форма)'!BJ11</f>
        <v>вул. Текстильникiв, 22</v>
      </c>
      <c r="B4" s="167"/>
      <c r="C4" s="167"/>
      <c r="D4" s="167"/>
      <c r="E4" s="167"/>
      <c r="F4" s="167"/>
    </row>
    <row r="5" spans="1:6" ht="19.5" thickBot="1">
      <c r="A5" s="4"/>
    </row>
    <row r="6" spans="1:6" ht="33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(Форма)'!BJ13</f>
        <v>0.41899999999999998</v>
      </c>
      <c r="D9" s="46">
        <f>C9</f>
        <v>0.41899999999999998</v>
      </c>
      <c r="E9" s="46">
        <f>C9</f>
        <v>0.41899999999999998</v>
      </c>
      <c r="F9" s="46">
        <f>C9</f>
        <v>0.41899999999999998</v>
      </c>
    </row>
    <row r="10" spans="1:6" ht="18.75">
      <c r="A10" s="45" t="s">
        <v>9</v>
      </c>
      <c r="B10" s="21" t="s">
        <v>10</v>
      </c>
      <c r="C10" s="46">
        <f>'Управителю (Форма)'!BJ14</f>
        <v>0.19700000000000001</v>
      </c>
      <c r="D10" s="46">
        <f t="shared" ref="D10:D25" si="0">C10</f>
        <v>0.19700000000000001</v>
      </c>
      <c r="E10" s="46"/>
      <c r="F10" s="46">
        <f t="shared" ref="F10:F25" si="1">C10</f>
        <v>0.19700000000000001</v>
      </c>
    </row>
    <row r="11" spans="1:6" ht="37.5">
      <c r="A11" s="45" t="s">
        <v>11</v>
      </c>
      <c r="B11" s="21" t="s">
        <v>12</v>
      </c>
      <c r="C11" s="46">
        <f>'Управителю (Форма)'!BJ15</f>
        <v>0.39500000000000002</v>
      </c>
      <c r="D11" s="46">
        <f t="shared" si="0"/>
        <v>0.39500000000000002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(Форма)'!BJ16</f>
        <v>1.4E-2</v>
      </c>
      <c r="D12" s="46">
        <f t="shared" si="0"/>
        <v>1.4E-2</v>
      </c>
      <c r="E12" s="46">
        <f t="shared" ref="E12:E25" si="2">C12</f>
        <v>1.4E-2</v>
      </c>
      <c r="F12" s="46">
        <f t="shared" si="1"/>
        <v>1.4E-2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(Форма)'!BJ19</f>
        <v>0.42699999999999999</v>
      </c>
      <c r="D15" s="161">
        <f t="shared" si="0"/>
        <v>0.42699999999999999</v>
      </c>
      <c r="E15" s="161">
        <f t="shared" si="2"/>
        <v>0.42699999999999999</v>
      </c>
      <c r="F15" s="161">
        <f t="shared" si="1"/>
        <v>0.42699999999999999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(Форма)'!BJ26</f>
        <v>4.1000000000000002E-2</v>
      </c>
      <c r="D22" s="46">
        <f t="shared" si="0"/>
        <v>4.1000000000000002E-2</v>
      </c>
      <c r="E22" s="46">
        <f t="shared" si="2"/>
        <v>4.1000000000000002E-2</v>
      </c>
      <c r="F22" s="46">
        <f t="shared" si="1"/>
        <v>4.1000000000000002E-2</v>
      </c>
    </row>
    <row r="23" spans="1:6" ht="18.75">
      <c r="A23" s="45" t="s">
        <v>29</v>
      </c>
      <c r="B23" s="21" t="s">
        <v>30</v>
      </c>
      <c r="C23" s="46">
        <f>'Управителю (Форма)'!BJ27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(Форма)'!BJ28</f>
        <v>2.5999999999999999E-2</v>
      </c>
      <c r="D24" s="46">
        <f t="shared" si="0"/>
        <v>2.5999999999999999E-2</v>
      </c>
      <c r="E24" s="46">
        <f t="shared" si="2"/>
        <v>2.5999999999999999E-2</v>
      </c>
      <c r="F24" s="46">
        <f t="shared" si="1"/>
        <v>2.5999999999999999E-2</v>
      </c>
    </row>
    <row r="25" spans="1:6" ht="75">
      <c r="A25" s="45" t="s">
        <v>33</v>
      </c>
      <c r="B25" s="21" t="s">
        <v>34</v>
      </c>
      <c r="C25" s="46">
        <f>'Управителю (Форма)'!BJ29</f>
        <v>9.6000000000000002E-2</v>
      </c>
      <c r="D25" s="46">
        <f t="shared" si="0"/>
        <v>9.6000000000000002E-2</v>
      </c>
      <c r="E25" s="46">
        <f t="shared" si="2"/>
        <v>9.6000000000000002E-2</v>
      </c>
      <c r="F25" s="46">
        <f t="shared" si="1"/>
        <v>9.6000000000000002E-2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(Форма)'!BJ31</f>
        <v>5.6000000000000001E-2</v>
      </c>
      <c r="D27" s="46">
        <f t="shared" ref="D27:D36" si="3">C27</f>
        <v>5.6000000000000001E-2</v>
      </c>
      <c r="E27" s="46">
        <f t="shared" ref="E27:E36" si="4">C27</f>
        <v>5.6000000000000001E-2</v>
      </c>
      <c r="F27" s="46">
        <f t="shared" ref="F27:F36" si="5">C27</f>
        <v>5.6000000000000001E-2</v>
      </c>
    </row>
    <row r="28" spans="1:6" ht="18.75">
      <c r="A28" s="155" t="s">
        <v>39</v>
      </c>
      <c r="B28" s="35" t="s">
        <v>40</v>
      </c>
      <c r="C28" s="156">
        <f>'Управителю (Форма)'!BJ32</f>
        <v>0.70299999999999996</v>
      </c>
      <c r="D28" s="156">
        <f t="shared" si="3"/>
        <v>0.70299999999999996</v>
      </c>
      <c r="E28" s="156">
        <f t="shared" si="4"/>
        <v>0.70299999999999996</v>
      </c>
      <c r="F28" s="156">
        <f t="shared" si="5"/>
        <v>0.70299999999999996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(Форма)'!BJ42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(Форма)'!BJ43</f>
        <v>0.188</v>
      </c>
      <c r="D39" s="46">
        <f>C39</f>
        <v>0.188</v>
      </c>
      <c r="E39" s="46">
        <f>C39</f>
        <v>0.188</v>
      </c>
      <c r="F39" s="46">
        <f>C39</f>
        <v>0.188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0.436</v>
      </c>
      <c r="D41" s="39">
        <f>SUM(D38:D40,D27:D36,D9:D25)*('Управителю (Форма)'!$D$7-1)</f>
        <v>0.436</v>
      </c>
      <c r="E41" s="39">
        <f>SUM(E38:E40,E27:E36,E9:E25)*('Управителю (Форма)'!$D$7-1)</f>
        <v>0.33500000000000002</v>
      </c>
      <c r="F41" s="39">
        <f>SUM(F38:F40,F27:F36,F9:F25)*('Управителю (Форма)'!$D$7-1)</f>
        <v>0.36899999999999999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</v>
      </c>
      <c r="D42" s="40">
        <f>SUM(D38:D41,D27:D36,D9:D25)*0.2</f>
        <v>0.6</v>
      </c>
      <c r="E42" s="40">
        <f>SUM(E38:E41,E27:E36,E9:E25)*0.2</f>
        <v>0.46100000000000002</v>
      </c>
      <c r="F42" s="40">
        <f>SUM(F38:F41,F27:F36,F9:F25)*0.2</f>
        <v>0.50800000000000001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3.6</v>
      </c>
      <c r="D43" s="38">
        <f>SUM(D38:D40,D27:D36,D9:D25)+D41+D42</f>
        <v>3.6</v>
      </c>
      <c r="E43" s="38">
        <f>SUM(E38:E40,E27:E36,E9:E25)+E41+E42</f>
        <v>2.7679999999999998</v>
      </c>
      <c r="F43" s="38">
        <f>SUM(F38:F40,F27:F36,F9:F25)+F41+F42</f>
        <v>3.0459999999999998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C57" sqref="C57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(Форма)'!BI10&amp;", "&amp;'Управителю (Форма)'!BI11</f>
        <v>вул. Текстильникiв, 21</v>
      </c>
      <c r="B4" s="167"/>
      <c r="C4" s="167"/>
      <c r="D4" s="167"/>
      <c r="E4" s="167"/>
      <c r="F4" s="167"/>
    </row>
    <row r="5" spans="1:6" ht="19.5" thickBot="1">
      <c r="A5" s="4"/>
    </row>
    <row r="6" spans="1:6" ht="35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(Форма)'!BI13</f>
        <v>0.66400000000000003</v>
      </c>
      <c r="D9" s="46">
        <f>C9</f>
        <v>0.66400000000000003</v>
      </c>
      <c r="E9" s="46">
        <f>C9</f>
        <v>0.66400000000000003</v>
      </c>
      <c r="F9" s="46">
        <f>C9</f>
        <v>0.66400000000000003</v>
      </c>
    </row>
    <row r="10" spans="1:6" ht="18.75">
      <c r="A10" s="45" t="s">
        <v>9</v>
      </c>
      <c r="B10" s="21" t="s">
        <v>10</v>
      </c>
      <c r="C10" s="46">
        <f>'Управителю (Форма)'!BI14</f>
        <v>0.17399999999999999</v>
      </c>
      <c r="D10" s="46">
        <f t="shared" ref="D10:D25" si="0">C10</f>
        <v>0.17399999999999999</v>
      </c>
      <c r="E10" s="46"/>
      <c r="F10" s="46">
        <f t="shared" ref="F10:F25" si="1">C10</f>
        <v>0.17399999999999999</v>
      </c>
    </row>
    <row r="11" spans="1:6" ht="37.5">
      <c r="A11" s="45" t="s">
        <v>11</v>
      </c>
      <c r="B11" s="21" t="s">
        <v>12</v>
      </c>
      <c r="C11" s="46">
        <f>'Управителю (Форма)'!BI15</f>
        <v>0.38400000000000001</v>
      </c>
      <c r="D11" s="46">
        <f t="shared" si="0"/>
        <v>0.38400000000000001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(Форма)'!BI16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(Форма)'!BI19</f>
        <v>0.41199999999999998</v>
      </c>
      <c r="D15" s="161">
        <f t="shared" si="0"/>
        <v>0.41199999999999998</v>
      </c>
      <c r="E15" s="161">
        <f t="shared" si="2"/>
        <v>0.41199999999999998</v>
      </c>
      <c r="F15" s="161">
        <f t="shared" si="1"/>
        <v>0.41199999999999998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(Форма)'!BI26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(Форма)'!BI27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(Форма)'!BI28</f>
        <v>0.13200000000000001</v>
      </c>
      <c r="D24" s="46">
        <f t="shared" si="0"/>
        <v>0.13200000000000001</v>
      </c>
      <c r="E24" s="46">
        <f t="shared" si="2"/>
        <v>0.13200000000000001</v>
      </c>
      <c r="F24" s="46">
        <f t="shared" si="1"/>
        <v>0.13200000000000001</v>
      </c>
    </row>
    <row r="25" spans="1:6" ht="75">
      <c r="A25" s="45" t="s">
        <v>33</v>
      </c>
      <c r="B25" s="21" t="s">
        <v>34</v>
      </c>
      <c r="C25" s="46">
        <f>'Управителю (Форма)'!BI29</f>
        <v>0.16300000000000001</v>
      </c>
      <c r="D25" s="46">
        <f t="shared" si="0"/>
        <v>0.16300000000000001</v>
      </c>
      <c r="E25" s="46">
        <f t="shared" si="2"/>
        <v>0.16300000000000001</v>
      </c>
      <c r="F25" s="46">
        <f t="shared" si="1"/>
        <v>0.16300000000000001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(Форма)'!BI31</f>
        <v>3.1E-2</v>
      </c>
      <c r="D27" s="46">
        <f t="shared" ref="D27:D36" si="3">C27</f>
        <v>3.1E-2</v>
      </c>
      <c r="E27" s="46">
        <f t="shared" ref="E27:E36" si="4">C27</f>
        <v>3.1E-2</v>
      </c>
      <c r="F27" s="46">
        <f t="shared" ref="F27:F36" si="5">C27</f>
        <v>3.1E-2</v>
      </c>
    </row>
    <row r="28" spans="1:6" ht="18.75">
      <c r="A28" s="155" t="s">
        <v>39</v>
      </c>
      <c r="B28" s="35" t="s">
        <v>40</v>
      </c>
      <c r="C28" s="156">
        <f>'Управителю (Форма)'!BI32</f>
        <v>0.55300000000000005</v>
      </c>
      <c r="D28" s="156">
        <f t="shared" si="3"/>
        <v>0.55300000000000005</v>
      </c>
      <c r="E28" s="156">
        <f t="shared" si="4"/>
        <v>0.55300000000000005</v>
      </c>
      <c r="F28" s="156">
        <f t="shared" si="5"/>
        <v>0.55300000000000005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(Форма)'!BI42</f>
        <v>2E-3</v>
      </c>
      <c r="D38" s="46">
        <f>C38</f>
        <v>2E-3</v>
      </c>
      <c r="E38" s="46">
        <f>C38</f>
        <v>2E-3</v>
      </c>
      <c r="F38" s="46">
        <f>C38</f>
        <v>2E-3</v>
      </c>
    </row>
    <row r="39" spans="1:6" ht="37.5">
      <c r="A39" s="45" t="s">
        <v>49</v>
      </c>
      <c r="B39" s="20" t="s">
        <v>50</v>
      </c>
      <c r="C39" s="46">
        <f>'Управителю (Форма)'!BI43</f>
        <v>0.28299999999999997</v>
      </c>
      <c r="D39" s="46">
        <f>C39</f>
        <v>0.28299999999999997</v>
      </c>
      <c r="E39" s="46">
        <f>C39</f>
        <v>0.28299999999999997</v>
      </c>
      <c r="F39" s="46">
        <f>C39</f>
        <v>0.28299999999999997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0.47599999999999998</v>
      </c>
      <c r="D41" s="39">
        <f>SUM(D38:D40,D27:D36,D9:D25)*('Управителю (Форма)'!$D$7-1)</f>
        <v>0.47599999999999998</v>
      </c>
      <c r="E41" s="39">
        <f>SUM(E38:E40,E27:E36,E9:E25)*('Управителю (Форма)'!$D$7-1)</f>
        <v>0.38100000000000001</v>
      </c>
      <c r="F41" s="39">
        <f>SUM(F38:F40,F27:F36,F9:F25)*('Управителю (Форма)'!$D$7-1)</f>
        <v>0.41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0.65500000000000003</v>
      </c>
      <c r="D42" s="40">
        <f>SUM(D38:D41,D27:D36,D9:D25)*0.2</f>
        <v>0.65500000000000003</v>
      </c>
      <c r="E42" s="40">
        <f>SUM(E38:E41,E27:E36,E9:E25)*0.2</f>
        <v>0.52400000000000002</v>
      </c>
      <c r="F42" s="40">
        <f>SUM(F38:F41,F27:F36,F9:F25)*0.2</f>
        <v>0.56499999999999995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3.9289999999999998</v>
      </c>
      <c r="D43" s="38">
        <f>SUM(D38:D40,D27:D36,D9:D25)+D41+D42</f>
        <v>3.9289999999999998</v>
      </c>
      <c r="E43" s="38">
        <f>SUM(E38:E40,E27:E36,E9:E25)+E41+E42</f>
        <v>3.145</v>
      </c>
      <c r="F43" s="38">
        <f>SUM(F38:F40,F27:F36,F9:F25)+F41+F42</f>
        <v>3.3889999999999998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C54" sqref="C54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(Форма)'!BH10&amp;", "&amp;'Управителю (Форма)'!BH11</f>
        <v>вул. Текстильникiв, 20</v>
      </c>
      <c r="B4" s="167"/>
      <c r="C4" s="167"/>
      <c r="D4" s="167"/>
      <c r="E4" s="167"/>
      <c r="F4" s="167"/>
    </row>
    <row r="5" spans="1:6" ht="19.5" thickBot="1">
      <c r="A5" s="4"/>
    </row>
    <row r="6" spans="1:6" ht="33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(Форма)'!BH13</f>
        <v>0.82299999999999995</v>
      </c>
      <c r="D9" s="46">
        <f>C9</f>
        <v>0.82299999999999995</v>
      </c>
      <c r="E9" s="46">
        <f>C9</f>
        <v>0.82299999999999995</v>
      </c>
      <c r="F9" s="46">
        <f>C9</f>
        <v>0.82299999999999995</v>
      </c>
    </row>
    <row r="10" spans="1:6" ht="18.75">
      <c r="A10" s="45" t="s">
        <v>9</v>
      </c>
      <c r="B10" s="21" t="s">
        <v>10</v>
      </c>
      <c r="C10" s="46">
        <f>'Управителю (Форма)'!BH14</f>
        <v>0.155</v>
      </c>
      <c r="D10" s="46">
        <f t="shared" ref="D10:D25" si="0">C10</f>
        <v>0.155</v>
      </c>
      <c r="E10" s="46"/>
      <c r="F10" s="46">
        <f t="shared" ref="F10:F25" si="1">C10</f>
        <v>0.155</v>
      </c>
    </row>
    <row r="11" spans="1:6" ht="37.5">
      <c r="A11" s="45" t="s">
        <v>11</v>
      </c>
      <c r="B11" s="21" t="s">
        <v>12</v>
      </c>
      <c r="C11" s="46">
        <f>'Управителю (Форма)'!BH15</f>
        <v>0.55600000000000005</v>
      </c>
      <c r="D11" s="46">
        <f t="shared" si="0"/>
        <v>0.55600000000000005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(Форма)'!BH16</f>
        <v>1.2E-2</v>
      </c>
      <c r="D12" s="46">
        <f t="shared" si="0"/>
        <v>1.2E-2</v>
      </c>
      <c r="E12" s="46">
        <f t="shared" ref="E12:E25" si="2">C12</f>
        <v>1.2E-2</v>
      </c>
      <c r="F12" s="46">
        <f t="shared" si="1"/>
        <v>1.2E-2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(Форма)'!BH19</f>
        <v>0.34200000000000003</v>
      </c>
      <c r="D15" s="161">
        <f t="shared" si="0"/>
        <v>0.34200000000000003</v>
      </c>
      <c r="E15" s="161">
        <f t="shared" si="2"/>
        <v>0.34200000000000003</v>
      </c>
      <c r="F15" s="161">
        <f t="shared" si="1"/>
        <v>0.34200000000000003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(Форма)'!BH26</f>
        <v>3.4000000000000002E-2</v>
      </c>
      <c r="D22" s="46">
        <f t="shared" si="0"/>
        <v>3.4000000000000002E-2</v>
      </c>
      <c r="E22" s="46">
        <f t="shared" si="2"/>
        <v>3.4000000000000002E-2</v>
      </c>
      <c r="F22" s="46">
        <f t="shared" si="1"/>
        <v>3.4000000000000002E-2</v>
      </c>
    </row>
    <row r="23" spans="1:6" ht="18.75">
      <c r="A23" s="45" t="s">
        <v>29</v>
      </c>
      <c r="B23" s="21" t="s">
        <v>30</v>
      </c>
      <c r="C23" s="46">
        <f>'Управителю (Форма)'!BH27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(Форма)'!BH28</f>
        <v>4.8000000000000001E-2</v>
      </c>
      <c r="D24" s="46">
        <f t="shared" si="0"/>
        <v>4.8000000000000001E-2</v>
      </c>
      <c r="E24" s="46">
        <f t="shared" si="2"/>
        <v>4.8000000000000001E-2</v>
      </c>
      <c r="F24" s="46">
        <f t="shared" si="1"/>
        <v>4.8000000000000001E-2</v>
      </c>
    </row>
    <row r="25" spans="1:6" ht="75">
      <c r="A25" s="45" t="s">
        <v>33</v>
      </c>
      <c r="B25" s="21" t="s">
        <v>34</v>
      </c>
      <c r="C25" s="46">
        <f>'Управителю (Форма)'!BH29</f>
        <v>7.4999999999999997E-2</v>
      </c>
      <c r="D25" s="46">
        <f t="shared" si="0"/>
        <v>7.4999999999999997E-2</v>
      </c>
      <c r="E25" s="46">
        <f t="shared" si="2"/>
        <v>7.4999999999999997E-2</v>
      </c>
      <c r="F25" s="46">
        <f t="shared" si="1"/>
        <v>7.4999999999999997E-2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(Форма)'!BH31</f>
        <v>1.2999999999999999E-2</v>
      </c>
      <c r="D27" s="46">
        <f t="shared" ref="D27:D36" si="3">C27</f>
        <v>1.2999999999999999E-2</v>
      </c>
      <c r="E27" s="46">
        <f t="shared" ref="E27:E36" si="4">C27</f>
        <v>1.2999999999999999E-2</v>
      </c>
      <c r="F27" s="46">
        <f t="shared" ref="F27:F36" si="5">C27</f>
        <v>1.2999999999999999E-2</v>
      </c>
    </row>
    <row r="28" spans="1:6" ht="18.75">
      <c r="A28" s="155" t="s">
        <v>39</v>
      </c>
      <c r="B28" s="35" t="s">
        <v>40</v>
      </c>
      <c r="C28" s="156">
        <f>'Управителю (Форма)'!BH32</f>
        <v>0.53300000000000003</v>
      </c>
      <c r="D28" s="156">
        <f t="shared" si="3"/>
        <v>0.53300000000000003</v>
      </c>
      <c r="E28" s="156">
        <f t="shared" si="4"/>
        <v>0.53300000000000003</v>
      </c>
      <c r="F28" s="156">
        <f t="shared" si="5"/>
        <v>0.53300000000000003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(Форма)'!BH42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(Форма)'!BH43</f>
        <v>0.23100000000000001</v>
      </c>
      <c r="D39" s="46">
        <f>C39</f>
        <v>0.23100000000000001</v>
      </c>
      <c r="E39" s="46">
        <f>C39</f>
        <v>0.23100000000000001</v>
      </c>
      <c r="F39" s="46">
        <f>C39</f>
        <v>0.23100000000000001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</v>
      </c>
      <c r="D41" s="39">
        <f>SUM(D38:D40,D27:D36,D9:D25)*('Управителю (Форма)'!$D$7-1)</f>
        <v>0.48</v>
      </c>
      <c r="E41" s="39">
        <f>SUM(E38:E40,E27:E36,E9:E25)*('Управителю (Форма)'!$D$7-1)</f>
        <v>0.35899999999999999</v>
      </c>
      <c r="F41" s="39">
        <f>SUM(F38:F40,F27:F36,F9:F25)*('Управителю (Форма)'!$D$7-1)</f>
        <v>0.38600000000000001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0.66100000000000003</v>
      </c>
      <c r="D42" s="40">
        <f>SUM(D38:D41,D27:D36,D9:D25)*0.2</f>
        <v>0.66100000000000003</v>
      </c>
      <c r="E42" s="40">
        <f>SUM(E38:E41,E27:E36,E9:E25)*0.2</f>
        <v>0.49399999999999999</v>
      </c>
      <c r="F42" s="40">
        <f>SUM(F38:F41,F27:F36,F9:F25)*0.2</f>
        <v>0.53100000000000003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3.9649999999999999</v>
      </c>
      <c r="D43" s="38">
        <f>SUM(D38:D40,D27:D36,D9:D25)+D41+D42</f>
        <v>3.9649999999999999</v>
      </c>
      <c r="E43" s="38">
        <f>SUM(E38:E40,E27:E36,E9:E25)+E41+E42</f>
        <v>2.9660000000000002</v>
      </c>
      <c r="F43" s="38">
        <f>SUM(F38:F40,F27:F36,F9:F25)+F41+F42</f>
        <v>3.1850000000000001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D54" sqref="D54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(Форма)'!CQ10&amp;", "&amp;'Управителю (Форма)'!CQ11</f>
        <v>пров. Д. Самоквасова, 3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(Форма)'!CQ13</f>
        <v>3.5999999999999997E-2</v>
      </c>
      <c r="D9" s="46">
        <f>C9</f>
        <v>3.5999999999999997E-2</v>
      </c>
      <c r="E9" s="46">
        <f>C9</f>
        <v>3.5999999999999997E-2</v>
      </c>
      <c r="F9" s="46">
        <f>C9</f>
        <v>3.5999999999999997E-2</v>
      </c>
    </row>
    <row r="10" spans="1:6" ht="18.75">
      <c r="A10" s="45" t="s">
        <v>9</v>
      </c>
      <c r="B10" s="21" t="s">
        <v>10</v>
      </c>
      <c r="C10" s="46">
        <f>'Управителю (Форма)'!CQ14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(Форма)'!CQ15</f>
        <v>0.54800000000000004</v>
      </c>
      <c r="D11" s="46">
        <f t="shared" si="0"/>
        <v>0.54800000000000004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(Форма)'!CQ16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(Форма)'!CQ19</f>
        <v>0.105</v>
      </c>
      <c r="D15" s="161">
        <f t="shared" si="0"/>
        <v>0.105</v>
      </c>
      <c r="E15" s="161">
        <f t="shared" si="2"/>
        <v>0.105</v>
      </c>
      <c r="F15" s="161">
        <f t="shared" si="1"/>
        <v>0.105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(Форма)'!CQ26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(Форма)'!CQ27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(Форма)'!CQ28</f>
        <v>0.19</v>
      </c>
      <c r="D24" s="46">
        <f t="shared" si="0"/>
        <v>0.19</v>
      </c>
      <c r="E24" s="46">
        <f t="shared" si="2"/>
        <v>0.19</v>
      </c>
      <c r="F24" s="46">
        <f t="shared" si="1"/>
        <v>0.19</v>
      </c>
    </row>
    <row r="25" spans="1:6" ht="75">
      <c r="A25" s="45" t="s">
        <v>33</v>
      </c>
      <c r="B25" s="21" t="s">
        <v>34</v>
      </c>
      <c r="C25" s="46">
        <f>'Управителю (Форма)'!CQ29</f>
        <v>0.03</v>
      </c>
      <c r="D25" s="46">
        <f t="shared" si="0"/>
        <v>0.03</v>
      </c>
      <c r="E25" s="46">
        <f t="shared" si="2"/>
        <v>0.03</v>
      </c>
      <c r="F25" s="46">
        <f t="shared" si="1"/>
        <v>0.03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(Форма)'!CQ31</f>
        <v>0</v>
      </c>
      <c r="D27" s="46">
        <f t="shared" ref="D27:D36" si="3">C27</f>
        <v>0</v>
      </c>
      <c r="E27" s="46">
        <f t="shared" ref="E27:E36" si="4">C27</f>
        <v>0</v>
      </c>
      <c r="F27" s="46">
        <f t="shared" ref="F27:F36" si="5">C27</f>
        <v>0</v>
      </c>
    </row>
    <row r="28" spans="1:6" ht="18.75">
      <c r="A28" s="155" t="s">
        <v>39</v>
      </c>
      <c r="B28" s="35" t="s">
        <v>40</v>
      </c>
      <c r="C28" s="156">
        <f>'Управителю (Форма)'!CQ32</f>
        <v>0.41199999999999998</v>
      </c>
      <c r="D28" s="156">
        <f t="shared" si="3"/>
        <v>0.41199999999999998</v>
      </c>
      <c r="E28" s="156">
        <f t="shared" si="4"/>
        <v>0.41199999999999998</v>
      </c>
      <c r="F28" s="156">
        <f t="shared" si="5"/>
        <v>0.41199999999999998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(Форма)'!CQ42</f>
        <v>0</v>
      </c>
      <c r="D38" s="46">
        <f>C38</f>
        <v>0</v>
      </c>
      <c r="E38" s="46">
        <f>C38</f>
        <v>0</v>
      </c>
      <c r="F38" s="46">
        <f>C38</f>
        <v>0</v>
      </c>
    </row>
    <row r="39" spans="1:6" ht="37.5">
      <c r="A39" s="45" t="s">
        <v>49</v>
      </c>
      <c r="B39" s="20" t="s">
        <v>50</v>
      </c>
      <c r="C39" s="46">
        <f>'Управителю (Форма)'!CQ43</f>
        <v>0.97799999999999998</v>
      </c>
      <c r="D39" s="46">
        <f>C39</f>
        <v>0.97799999999999998</v>
      </c>
      <c r="E39" s="46">
        <f>C39</f>
        <v>0.97799999999999998</v>
      </c>
      <c r="F39" s="46">
        <f>C39</f>
        <v>0.97799999999999998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0.39100000000000001</v>
      </c>
      <c r="D41" s="39">
        <f>SUM(D38:D40,D27:D36,D9:D25)*('Управителю (Форма)'!$D$7-1)</f>
        <v>0.39100000000000001</v>
      </c>
      <c r="E41" s="39">
        <f>SUM(E38:E40,E27:E36,E9:E25)*('Управителю (Форма)'!$D$7-1)</f>
        <v>0.29799999999999999</v>
      </c>
      <c r="F41" s="39">
        <f>SUM(F38:F40,F27:F36,F9:F25)*('Управителю (Форма)'!$D$7-1)</f>
        <v>0.29799999999999999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0.53800000000000003</v>
      </c>
      <c r="D42" s="40">
        <f>SUM(D38:D41,D27:D36,D9:D25)*0.2</f>
        <v>0.53800000000000003</v>
      </c>
      <c r="E42" s="40">
        <f>SUM(E38:E41,E27:E36,E9:E25)*0.2</f>
        <v>0.41</v>
      </c>
      <c r="F42" s="40">
        <f>SUM(F38:F41,F27:F36,F9:F25)*0.2</f>
        <v>0.41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3.2280000000000002</v>
      </c>
      <c r="D43" s="38">
        <f>SUM(D38:D40,D27:D36,D9:D25)+D41+D42</f>
        <v>3.2280000000000002</v>
      </c>
      <c r="E43" s="38">
        <f>SUM(E38:E40,E27:E36,E9:E25)+E41+E42</f>
        <v>2.4590000000000001</v>
      </c>
      <c r="F43" s="38">
        <f>SUM(F38:F40,F27:F36,F9:F25)+F41+F42</f>
        <v>2.4590000000000001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C48" sqref="C48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(Форма)'!BG10&amp;", "&amp;'Управителю (Форма)'!BG11</f>
        <v>вул. Текстильникiв, 19</v>
      </c>
      <c r="B4" s="167"/>
      <c r="C4" s="167"/>
      <c r="D4" s="167"/>
      <c r="E4" s="167"/>
      <c r="F4" s="167"/>
    </row>
    <row r="5" spans="1:6" ht="19.5" thickBot="1">
      <c r="A5" s="4"/>
    </row>
    <row r="6" spans="1:6" ht="35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(Форма)'!BG13</f>
        <v>0.66400000000000003</v>
      </c>
      <c r="D9" s="46">
        <f>C9</f>
        <v>0.66400000000000003</v>
      </c>
      <c r="E9" s="46">
        <f>C9</f>
        <v>0.66400000000000003</v>
      </c>
      <c r="F9" s="46">
        <f>C9</f>
        <v>0.66400000000000003</v>
      </c>
    </row>
    <row r="10" spans="1:6" ht="18.75">
      <c r="A10" s="45" t="s">
        <v>9</v>
      </c>
      <c r="B10" s="21" t="s">
        <v>10</v>
      </c>
      <c r="C10" s="46">
        <f>'Управителю (Форма)'!BG14</f>
        <v>0.17699999999999999</v>
      </c>
      <c r="D10" s="46">
        <f t="shared" ref="D10:D25" si="0">C10</f>
        <v>0.17699999999999999</v>
      </c>
      <c r="E10" s="46"/>
      <c r="F10" s="46">
        <f t="shared" ref="F10:F25" si="1">C10</f>
        <v>0.17699999999999999</v>
      </c>
    </row>
    <row r="11" spans="1:6" ht="37.5">
      <c r="A11" s="45" t="s">
        <v>11</v>
      </c>
      <c r="B11" s="21" t="s">
        <v>12</v>
      </c>
      <c r="C11" s="46">
        <f>'Управителю (Форма)'!BG15</f>
        <v>0.38700000000000001</v>
      </c>
      <c r="D11" s="46">
        <f t="shared" si="0"/>
        <v>0.38700000000000001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(Форма)'!BG16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(Форма)'!BG19</f>
        <v>0.38700000000000001</v>
      </c>
      <c r="D15" s="161">
        <f t="shared" si="0"/>
        <v>0.38700000000000001</v>
      </c>
      <c r="E15" s="161">
        <f t="shared" si="2"/>
        <v>0.38700000000000001</v>
      </c>
      <c r="F15" s="161">
        <f t="shared" si="1"/>
        <v>0.38700000000000001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(Форма)'!BG26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(Форма)'!BG27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(Форма)'!BG28</f>
        <v>0.13200000000000001</v>
      </c>
      <c r="D24" s="46">
        <f t="shared" si="0"/>
        <v>0.13200000000000001</v>
      </c>
      <c r="E24" s="46">
        <f t="shared" si="2"/>
        <v>0.13200000000000001</v>
      </c>
      <c r="F24" s="46">
        <f t="shared" si="1"/>
        <v>0.13200000000000001</v>
      </c>
    </row>
    <row r="25" spans="1:6" ht="75">
      <c r="A25" s="45" t="s">
        <v>33</v>
      </c>
      <c r="B25" s="21" t="s">
        <v>34</v>
      </c>
      <c r="C25" s="46">
        <f>'Управителю (Форма)'!BG29</f>
        <v>0.16500000000000001</v>
      </c>
      <c r="D25" s="46">
        <f t="shared" si="0"/>
        <v>0.16500000000000001</v>
      </c>
      <c r="E25" s="46">
        <f t="shared" si="2"/>
        <v>0.16500000000000001</v>
      </c>
      <c r="F25" s="46">
        <f t="shared" si="1"/>
        <v>0.16500000000000001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(Форма)'!BG31</f>
        <v>3.2000000000000001E-2</v>
      </c>
      <c r="D27" s="46">
        <f t="shared" ref="D27:D36" si="3">C27</f>
        <v>3.2000000000000001E-2</v>
      </c>
      <c r="E27" s="46">
        <f t="shared" ref="E27:E36" si="4">C27</f>
        <v>3.2000000000000001E-2</v>
      </c>
      <c r="F27" s="46">
        <f t="shared" ref="F27:F36" si="5">C27</f>
        <v>3.2000000000000001E-2</v>
      </c>
    </row>
    <row r="28" spans="1:6" ht="18.75">
      <c r="A28" s="155" t="s">
        <v>39</v>
      </c>
      <c r="B28" s="35" t="s">
        <v>40</v>
      </c>
      <c r="C28" s="156">
        <f>'Управителю (Форма)'!BG32</f>
        <v>0.52600000000000002</v>
      </c>
      <c r="D28" s="156">
        <f t="shared" si="3"/>
        <v>0.52600000000000002</v>
      </c>
      <c r="E28" s="156">
        <f t="shared" si="4"/>
        <v>0.52600000000000002</v>
      </c>
      <c r="F28" s="156">
        <f t="shared" si="5"/>
        <v>0.52600000000000002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(Форма)'!BG42</f>
        <v>2E-3</v>
      </c>
      <c r="D38" s="46">
        <f>C38</f>
        <v>2E-3</v>
      </c>
      <c r="E38" s="46">
        <f>C38</f>
        <v>2E-3</v>
      </c>
      <c r="F38" s="46">
        <f>C38</f>
        <v>2E-3</v>
      </c>
    </row>
    <row r="39" spans="1:6" ht="37.5">
      <c r="A39" s="45" t="s">
        <v>49</v>
      </c>
      <c r="B39" s="20" t="s">
        <v>50</v>
      </c>
      <c r="C39" s="46">
        <f>'Управителю (Форма)'!BG43</f>
        <v>0.28499999999999998</v>
      </c>
      <c r="D39" s="46">
        <f>C39</f>
        <v>0.28499999999999998</v>
      </c>
      <c r="E39" s="46">
        <f>C39</f>
        <v>0.28499999999999998</v>
      </c>
      <c r="F39" s="46">
        <f>C39</f>
        <v>0.28499999999999998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0.46899999999999997</v>
      </c>
      <c r="D41" s="39">
        <f>SUM(D38:D40,D27:D36,D9:D25)*('Управителю (Форма)'!$D$7-1)</f>
        <v>0.46899999999999997</v>
      </c>
      <c r="E41" s="39">
        <f>SUM(E38:E40,E27:E36,E9:E25)*('Управителю (Форма)'!$D$7-1)</f>
        <v>0.373</v>
      </c>
      <c r="F41" s="39">
        <f>SUM(F38:F40,F27:F36,F9:F25)*('Управителю (Форма)'!$D$7-1)</f>
        <v>0.40300000000000002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0.64500000000000002</v>
      </c>
      <c r="D42" s="40">
        <f>SUM(D38:D41,D27:D36,D9:D25)*0.2</f>
        <v>0.64500000000000002</v>
      </c>
      <c r="E42" s="40">
        <f>SUM(E38:E41,E27:E36,E9:E25)*0.2</f>
        <v>0.51300000000000001</v>
      </c>
      <c r="F42" s="40">
        <f>SUM(F38:F41,F27:F36,F9:F25)*0.2</f>
        <v>0.55500000000000005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3.871</v>
      </c>
      <c r="D43" s="38">
        <f>SUM(D38:D40,D27:D36,D9:D25)+D41+D42</f>
        <v>3.871</v>
      </c>
      <c r="E43" s="38">
        <f>SUM(E38:E40,E27:E36,E9:E25)+E41+E42</f>
        <v>3.0790000000000002</v>
      </c>
      <c r="F43" s="38">
        <f>SUM(F38:F40,F27:F36,F9:F25)+F41+F42</f>
        <v>3.3279999999999998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C59" sqref="C5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(Форма)'!BF10&amp;", "&amp;'Управителю (Форма)'!BF11</f>
        <v>вул. Текстильникiв, 18</v>
      </c>
      <c r="B4" s="167"/>
      <c r="C4" s="167"/>
      <c r="D4" s="167"/>
      <c r="E4" s="167"/>
      <c r="F4" s="167"/>
    </row>
    <row r="5" spans="1:6" ht="19.5" thickBot="1">
      <c r="A5" s="4"/>
    </row>
    <row r="6" spans="1:6" ht="33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(Форма)'!BF13</f>
        <v>0.33800000000000002</v>
      </c>
      <c r="D9" s="46">
        <f>C9</f>
        <v>0.33800000000000002</v>
      </c>
      <c r="E9" s="46">
        <f>C9</f>
        <v>0.33800000000000002</v>
      </c>
      <c r="F9" s="46">
        <f>C9</f>
        <v>0.33800000000000002</v>
      </c>
    </row>
    <row r="10" spans="1:6" ht="18.75">
      <c r="A10" s="45" t="s">
        <v>9</v>
      </c>
      <c r="B10" s="21" t="s">
        <v>10</v>
      </c>
      <c r="C10" s="46">
        <f>'Управителю (Форма)'!BF14</f>
        <v>0.22900000000000001</v>
      </c>
      <c r="D10" s="46">
        <f t="shared" ref="D10:D25" si="0">C10</f>
        <v>0.22900000000000001</v>
      </c>
      <c r="E10" s="46"/>
      <c r="F10" s="46">
        <f t="shared" ref="F10:F25" si="1">C10</f>
        <v>0.22900000000000001</v>
      </c>
    </row>
    <row r="11" spans="1:6" ht="37.5">
      <c r="A11" s="45" t="s">
        <v>11</v>
      </c>
      <c r="B11" s="21" t="s">
        <v>12</v>
      </c>
      <c r="C11" s="46">
        <f>'Управителю (Форма)'!BF15</f>
        <v>0.34</v>
      </c>
      <c r="D11" s="46">
        <f t="shared" si="0"/>
        <v>0.34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(Форма)'!BF16</f>
        <v>2E-3</v>
      </c>
      <c r="D12" s="46">
        <f t="shared" si="0"/>
        <v>2E-3</v>
      </c>
      <c r="E12" s="46">
        <f t="shared" ref="E12:E25" si="2">C12</f>
        <v>2E-3</v>
      </c>
      <c r="F12" s="46">
        <f t="shared" si="1"/>
        <v>2E-3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(Форма)'!BF19</f>
        <v>0.39900000000000002</v>
      </c>
      <c r="D15" s="161">
        <f t="shared" si="0"/>
        <v>0.39900000000000002</v>
      </c>
      <c r="E15" s="161">
        <f t="shared" si="2"/>
        <v>0.39900000000000002</v>
      </c>
      <c r="F15" s="161">
        <f t="shared" si="1"/>
        <v>0.39900000000000002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(Форма)'!BF26</f>
        <v>8.0000000000000002E-3</v>
      </c>
      <c r="D22" s="46">
        <f t="shared" si="0"/>
        <v>8.0000000000000002E-3</v>
      </c>
      <c r="E22" s="46">
        <f t="shared" si="2"/>
        <v>8.0000000000000002E-3</v>
      </c>
      <c r="F22" s="46">
        <f t="shared" si="1"/>
        <v>8.0000000000000002E-3</v>
      </c>
    </row>
    <row r="23" spans="1:6" ht="18.75">
      <c r="A23" s="45" t="s">
        <v>29</v>
      </c>
      <c r="B23" s="21" t="s">
        <v>30</v>
      </c>
      <c r="C23" s="46">
        <f>'Управителю (Форма)'!BF27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(Форма)'!BF28</f>
        <v>0.02</v>
      </c>
      <c r="D24" s="46">
        <f t="shared" si="0"/>
        <v>0.02</v>
      </c>
      <c r="E24" s="46">
        <f t="shared" si="2"/>
        <v>0.02</v>
      </c>
      <c r="F24" s="46">
        <f t="shared" si="1"/>
        <v>0.02</v>
      </c>
    </row>
    <row r="25" spans="1:6" ht="75">
      <c r="A25" s="45" t="s">
        <v>33</v>
      </c>
      <c r="B25" s="21" t="s">
        <v>34</v>
      </c>
      <c r="C25" s="46">
        <f>'Управителю (Форма)'!BF29</f>
        <v>7.0999999999999994E-2</v>
      </c>
      <c r="D25" s="46">
        <f t="shared" si="0"/>
        <v>7.0999999999999994E-2</v>
      </c>
      <c r="E25" s="46">
        <f t="shared" si="2"/>
        <v>7.0999999999999994E-2</v>
      </c>
      <c r="F25" s="46">
        <f t="shared" si="1"/>
        <v>7.0999999999999994E-2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(Форма)'!BF31</f>
        <v>5.8999999999999997E-2</v>
      </c>
      <c r="D27" s="46">
        <f t="shared" ref="D27:D36" si="3">C27</f>
        <v>5.8999999999999997E-2</v>
      </c>
      <c r="E27" s="46">
        <f t="shared" ref="E27:E36" si="4">C27</f>
        <v>5.8999999999999997E-2</v>
      </c>
      <c r="F27" s="46">
        <f t="shared" ref="F27:F36" si="5">C27</f>
        <v>5.8999999999999997E-2</v>
      </c>
    </row>
    <row r="28" spans="1:6" ht="18.75">
      <c r="A28" s="155" t="s">
        <v>39</v>
      </c>
      <c r="B28" s="35" t="s">
        <v>40</v>
      </c>
      <c r="C28" s="156">
        <f>'Управителю (Форма)'!BF32</f>
        <v>0.81599999999999995</v>
      </c>
      <c r="D28" s="156">
        <f t="shared" si="3"/>
        <v>0.81599999999999995</v>
      </c>
      <c r="E28" s="156">
        <f t="shared" si="4"/>
        <v>0.81599999999999995</v>
      </c>
      <c r="F28" s="156">
        <f t="shared" si="5"/>
        <v>0.81599999999999995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(Форма)'!BF42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(Форма)'!BF43</f>
        <v>0.183</v>
      </c>
      <c r="D39" s="46">
        <f>C39</f>
        <v>0.183</v>
      </c>
      <c r="E39" s="46">
        <f>C39</f>
        <v>0.183</v>
      </c>
      <c r="F39" s="46">
        <f>C39</f>
        <v>0.183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0.41899999999999998</v>
      </c>
      <c r="D41" s="39">
        <f>SUM(D38:D40,D27:D36,D9:D25)*('Управителю (Форма)'!$D$7-1)</f>
        <v>0.41899999999999998</v>
      </c>
      <c r="E41" s="39">
        <f>SUM(E38:E40,E27:E36,E9:E25)*('Управителю (Форма)'!$D$7-1)</f>
        <v>0.32300000000000001</v>
      </c>
      <c r="F41" s="39">
        <f>SUM(F38:F40,F27:F36,F9:F25)*('Управителю (Форма)'!$D$7-1)</f>
        <v>0.36199999999999999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0.57699999999999996</v>
      </c>
      <c r="D42" s="40">
        <f>SUM(D38:D41,D27:D36,D9:D25)*0.2</f>
        <v>0.57699999999999996</v>
      </c>
      <c r="E42" s="40">
        <f>SUM(E38:E41,E27:E36,E9:E25)*0.2</f>
        <v>0.44400000000000001</v>
      </c>
      <c r="F42" s="40">
        <f>SUM(F38:F41,F27:F36,F9:F25)*0.2</f>
        <v>0.498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3.4630000000000001</v>
      </c>
      <c r="D43" s="38">
        <f>SUM(D38:D40,D27:D36,D9:D25)+D41+D42</f>
        <v>3.4630000000000001</v>
      </c>
      <c r="E43" s="38">
        <f>SUM(E38:E40,E27:E36,E9:E25)+E41+E42</f>
        <v>2.665</v>
      </c>
      <c r="F43" s="38">
        <f>SUM(F38:F40,F27:F36,F9:F25)+F41+F42</f>
        <v>2.9870000000000001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C52" sqref="C52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(Форма)'!BE10&amp;", "&amp;'Управителю (Форма)'!BE11</f>
        <v>вул. Текстильникiв, 17/43</v>
      </c>
      <c r="B4" s="167"/>
      <c r="C4" s="167"/>
      <c r="D4" s="167"/>
      <c r="E4" s="167"/>
      <c r="F4" s="167"/>
    </row>
    <row r="5" spans="1:6" ht="19.5" thickBot="1">
      <c r="A5" s="4"/>
    </row>
    <row r="6" spans="1:6" ht="32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(Форма)'!BE13</f>
        <v>0.47299999999999998</v>
      </c>
      <c r="D9" s="46">
        <f>C9</f>
        <v>0.47299999999999998</v>
      </c>
      <c r="E9" s="46">
        <f>C9</f>
        <v>0.47299999999999998</v>
      </c>
      <c r="F9" s="46">
        <f>C9</f>
        <v>0.47299999999999998</v>
      </c>
    </row>
    <row r="10" spans="1:6" ht="18.75">
      <c r="A10" s="45" t="s">
        <v>9</v>
      </c>
      <c r="B10" s="21" t="s">
        <v>10</v>
      </c>
      <c r="C10" s="46">
        <f>'Управителю (Форма)'!BE14</f>
        <v>0.16</v>
      </c>
      <c r="D10" s="46">
        <f t="shared" ref="D10:D25" si="0">C10</f>
        <v>0.16</v>
      </c>
      <c r="E10" s="46"/>
      <c r="F10" s="46">
        <f t="shared" ref="F10:F25" si="1">C10</f>
        <v>0.16</v>
      </c>
    </row>
    <row r="11" spans="1:6" ht="37.5">
      <c r="A11" s="45" t="s">
        <v>11</v>
      </c>
      <c r="B11" s="21" t="s">
        <v>12</v>
      </c>
      <c r="C11" s="46">
        <f>'Управителю (Форма)'!BE15</f>
        <v>0.43099999999999999</v>
      </c>
      <c r="D11" s="46">
        <f t="shared" si="0"/>
        <v>0.43099999999999999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(Форма)'!BE16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(Форма)'!BE19</f>
        <v>0.46200000000000002</v>
      </c>
      <c r="D15" s="161">
        <f t="shared" si="0"/>
        <v>0.46200000000000002</v>
      </c>
      <c r="E15" s="161">
        <f t="shared" si="2"/>
        <v>0.46200000000000002</v>
      </c>
      <c r="F15" s="161">
        <f t="shared" si="1"/>
        <v>0.46200000000000002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(Форма)'!BE26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(Форма)'!BE27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(Форма)'!BE28</f>
        <v>4.8000000000000001E-2</v>
      </c>
      <c r="D24" s="46">
        <f t="shared" si="0"/>
        <v>4.8000000000000001E-2</v>
      </c>
      <c r="E24" s="46">
        <f t="shared" si="2"/>
        <v>4.8000000000000001E-2</v>
      </c>
      <c r="F24" s="46">
        <f t="shared" si="1"/>
        <v>4.8000000000000001E-2</v>
      </c>
    </row>
    <row r="25" spans="1:6" ht="75">
      <c r="A25" s="45" t="s">
        <v>33</v>
      </c>
      <c r="B25" s="21" t="s">
        <v>34</v>
      </c>
      <c r="C25" s="46">
        <f>'Управителю (Форма)'!BE29</f>
        <v>0.1</v>
      </c>
      <c r="D25" s="46">
        <f t="shared" si="0"/>
        <v>0.1</v>
      </c>
      <c r="E25" s="46">
        <f t="shared" si="2"/>
        <v>0.1</v>
      </c>
      <c r="F25" s="46">
        <f t="shared" si="1"/>
        <v>0.1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(Форма)'!BE31</f>
        <v>4.9000000000000002E-2</v>
      </c>
      <c r="D27" s="46">
        <f t="shared" ref="D27:D36" si="3">C27</f>
        <v>4.9000000000000002E-2</v>
      </c>
      <c r="E27" s="46">
        <f t="shared" ref="E27:E36" si="4">C27</f>
        <v>4.9000000000000002E-2</v>
      </c>
      <c r="F27" s="46">
        <f t="shared" ref="F27:F36" si="5">C27</f>
        <v>4.9000000000000002E-2</v>
      </c>
    </row>
    <row r="28" spans="1:6" ht="18.75">
      <c r="A28" s="155" t="s">
        <v>39</v>
      </c>
      <c r="B28" s="35" t="s">
        <v>40</v>
      </c>
      <c r="C28" s="156">
        <f>'Управителю (Форма)'!BE32</f>
        <v>0.77700000000000002</v>
      </c>
      <c r="D28" s="156">
        <f t="shared" si="3"/>
        <v>0.77700000000000002</v>
      </c>
      <c r="E28" s="156">
        <f t="shared" si="4"/>
        <v>0.77700000000000002</v>
      </c>
      <c r="F28" s="156">
        <f t="shared" si="5"/>
        <v>0.77700000000000002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(Форма)'!BE42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(Форма)'!BE43</f>
        <v>0.214</v>
      </c>
      <c r="D39" s="46">
        <f>C39</f>
        <v>0.214</v>
      </c>
      <c r="E39" s="46">
        <f>C39</f>
        <v>0.214</v>
      </c>
      <c r="F39" s="46">
        <f>C39</f>
        <v>0.214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0.46200000000000002</v>
      </c>
      <c r="D41" s="39">
        <f>SUM(D38:D40,D27:D36,D9:D25)*('Управителю (Форма)'!$D$7-1)</f>
        <v>0.46200000000000002</v>
      </c>
      <c r="E41" s="39">
        <f>SUM(E38:E40,E27:E36,E9:E25)*('Управителю (Форма)'!$D$7-1)</f>
        <v>0.36099999999999999</v>
      </c>
      <c r="F41" s="39">
        <f>SUM(F38:F40,F27:F36,F9:F25)*('Управителю (Форма)'!$D$7-1)</f>
        <v>0.38800000000000001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0.63500000000000001</v>
      </c>
      <c r="D42" s="40">
        <f>SUM(D38:D41,D27:D36,D9:D25)*0.2</f>
        <v>0.63500000000000001</v>
      </c>
      <c r="E42" s="40">
        <f>SUM(E38:E41,E27:E36,E9:E25)*0.2</f>
        <v>0.497</v>
      </c>
      <c r="F42" s="40">
        <f>SUM(F38:F41,F27:F36,F9:F25)*0.2</f>
        <v>0.53400000000000003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3.8119999999999998</v>
      </c>
      <c r="D43" s="38">
        <f>SUM(D38:D40,D27:D36,D9:D25)+D41+D42</f>
        <v>3.8119999999999998</v>
      </c>
      <c r="E43" s="38">
        <f>SUM(E38:E40,E27:E36,E9:E25)+E41+E42</f>
        <v>2.9820000000000002</v>
      </c>
      <c r="F43" s="38">
        <f>SUM(F38:F40,F27:F36,F9:F25)+F41+F42</f>
        <v>3.206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C49" sqref="C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(Форма)'!BD10&amp;", "&amp;'Управителю (Форма)'!BD11</f>
        <v>вул. Текстильникiв, 16</v>
      </c>
      <c r="B4" s="167"/>
      <c r="C4" s="167"/>
      <c r="D4" s="167"/>
      <c r="E4" s="167"/>
      <c r="F4" s="167"/>
    </row>
    <row r="5" spans="1:6" ht="19.5" thickBot="1">
      <c r="A5" s="4"/>
    </row>
    <row r="6" spans="1:6" ht="32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(Форма)'!BD13</f>
        <v>0.51800000000000002</v>
      </c>
      <c r="D9" s="46">
        <f>C9</f>
        <v>0.51800000000000002</v>
      </c>
      <c r="E9" s="46">
        <f>C9</f>
        <v>0.51800000000000002</v>
      </c>
      <c r="F9" s="46">
        <f>C9</f>
        <v>0.51800000000000002</v>
      </c>
    </row>
    <row r="10" spans="1:6" ht="18.75">
      <c r="A10" s="45" t="s">
        <v>9</v>
      </c>
      <c r="B10" s="21" t="s">
        <v>10</v>
      </c>
      <c r="C10" s="46">
        <f>'Управителю (Форма)'!BD14</f>
        <v>0.19500000000000001</v>
      </c>
      <c r="D10" s="46">
        <f t="shared" ref="D10:D25" si="0">C10</f>
        <v>0.19500000000000001</v>
      </c>
      <c r="E10" s="46"/>
      <c r="F10" s="46">
        <f t="shared" ref="F10:F25" si="1">C10</f>
        <v>0.19500000000000001</v>
      </c>
    </row>
    <row r="11" spans="1:6" ht="37.5">
      <c r="A11" s="45" t="s">
        <v>11</v>
      </c>
      <c r="B11" s="21" t="s">
        <v>12</v>
      </c>
      <c r="C11" s="46">
        <f>'Управителю (Форма)'!BD15</f>
        <v>0.34699999999999998</v>
      </c>
      <c r="D11" s="46">
        <f t="shared" si="0"/>
        <v>0.34699999999999998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(Форма)'!BD16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(Форма)'!BD19</f>
        <v>0.39700000000000002</v>
      </c>
      <c r="D15" s="161">
        <f t="shared" si="0"/>
        <v>0.39700000000000002</v>
      </c>
      <c r="E15" s="161">
        <f t="shared" si="2"/>
        <v>0.39700000000000002</v>
      </c>
      <c r="F15" s="161">
        <f t="shared" si="1"/>
        <v>0.39700000000000002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(Форма)'!BD26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(Форма)'!BD27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(Форма)'!BD28</f>
        <v>0.20799999999999999</v>
      </c>
      <c r="D24" s="46">
        <f t="shared" si="0"/>
        <v>0.20799999999999999</v>
      </c>
      <c r="E24" s="46">
        <f t="shared" si="2"/>
        <v>0.20799999999999999</v>
      </c>
      <c r="F24" s="46">
        <f t="shared" si="1"/>
        <v>0.20799999999999999</v>
      </c>
    </row>
    <row r="25" spans="1:6" ht="75">
      <c r="A25" s="45" t="s">
        <v>33</v>
      </c>
      <c r="B25" s="21" t="s">
        <v>34</v>
      </c>
      <c r="C25" s="46">
        <f>'Управителю (Форма)'!BD29</f>
        <v>8.3000000000000004E-2</v>
      </c>
      <c r="D25" s="46">
        <f t="shared" si="0"/>
        <v>8.3000000000000004E-2</v>
      </c>
      <c r="E25" s="46">
        <f t="shared" si="2"/>
        <v>8.3000000000000004E-2</v>
      </c>
      <c r="F25" s="46">
        <f t="shared" si="1"/>
        <v>8.3000000000000004E-2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(Форма)'!BD31</f>
        <v>4.8000000000000001E-2</v>
      </c>
      <c r="D27" s="46">
        <f t="shared" ref="D27:D36" si="3">C27</f>
        <v>4.8000000000000001E-2</v>
      </c>
      <c r="E27" s="46">
        <f t="shared" ref="E27:E36" si="4">C27</f>
        <v>4.8000000000000001E-2</v>
      </c>
      <c r="F27" s="46">
        <f t="shared" ref="F27:F36" si="5">C27</f>
        <v>4.8000000000000001E-2</v>
      </c>
    </row>
    <row r="28" spans="1:6" ht="18.75">
      <c r="A28" s="155" t="s">
        <v>39</v>
      </c>
      <c r="B28" s="35" t="s">
        <v>40</v>
      </c>
      <c r="C28" s="156">
        <f>'Управителю (Форма)'!BD32</f>
        <v>0.61499999999999999</v>
      </c>
      <c r="D28" s="156">
        <f t="shared" si="3"/>
        <v>0.61499999999999999</v>
      </c>
      <c r="E28" s="156">
        <f t="shared" si="4"/>
        <v>0.61499999999999999</v>
      </c>
      <c r="F28" s="156">
        <f t="shared" si="5"/>
        <v>0.61499999999999999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(Форма)'!BD42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(Форма)'!BD43</f>
        <v>0.19</v>
      </c>
      <c r="D39" s="46">
        <f>C39</f>
        <v>0.19</v>
      </c>
      <c r="E39" s="46">
        <f>C39</f>
        <v>0.19</v>
      </c>
      <c r="F39" s="46">
        <f>C39</f>
        <v>0.19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0.442</v>
      </c>
      <c r="D41" s="39">
        <f>SUM(D38:D40,D27:D36,D9:D25)*('Управителю (Форма)'!$D$7-1)</f>
        <v>0.442</v>
      </c>
      <c r="E41" s="39">
        <f>SUM(E38:E40,E27:E36,E9:E25)*('Управителю (Форма)'!$D$7-1)</f>
        <v>0.35</v>
      </c>
      <c r="F41" s="39">
        <f>SUM(F38:F40,F27:F36,F9:F25)*('Управителю (Форма)'!$D$7-1)</f>
        <v>0.38300000000000001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0.60899999999999999</v>
      </c>
      <c r="D42" s="40">
        <f>SUM(D38:D41,D27:D36,D9:D25)*0.2</f>
        <v>0.60899999999999999</v>
      </c>
      <c r="E42" s="40">
        <f>SUM(E38:E41,E27:E36,E9:E25)*0.2</f>
        <v>0.48199999999999998</v>
      </c>
      <c r="F42" s="40">
        <f>SUM(F38:F41,F27:F36,F9:F25)*0.2</f>
        <v>0.52800000000000002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3.653</v>
      </c>
      <c r="D43" s="38">
        <f>SUM(D38:D40,D27:D36,D9:D25)+D41+D42</f>
        <v>3.653</v>
      </c>
      <c r="E43" s="38">
        <f>SUM(E38:E40,E27:E36,E9:E25)+E41+E42</f>
        <v>2.8919999999999999</v>
      </c>
      <c r="F43" s="38">
        <f>SUM(F38:F40,F27:F36,F9:F25)+F41+F42</f>
        <v>3.1659999999999999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C51" sqref="C51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(Форма)'!BC10&amp;", "&amp;'Управителю (Форма)'!BC11</f>
        <v>вул. Текстильникiв, 15а</v>
      </c>
      <c r="B4" s="167"/>
      <c r="C4" s="167"/>
      <c r="D4" s="167"/>
      <c r="E4" s="167"/>
      <c r="F4" s="167"/>
    </row>
    <row r="5" spans="1:6" ht="19.5" thickBot="1">
      <c r="A5" s="4"/>
    </row>
    <row r="6" spans="1:6" ht="32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50" t="s">
        <v>7</v>
      </c>
      <c r="B9" s="20" t="s">
        <v>8</v>
      </c>
      <c r="C9" s="51">
        <f>'Управителю (Форма)'!BC13</f>
        <v>0.41899999999999998</v>
      </c>
      <c r="D9" s="51">
        <f>C9</f>
        <v>0.41899999999999998</v>
      </c>
      <c r="E9" s="51">
        <f>C9</f>
        <v>0.41899999999999998</v>
      </c>
      <c r="F9" s="51">
        <f>C9</f>
        <v>0.41899999999999998</v>
      </c>
    </row>
    <row r="10" spans="1:6" ht="18.75">
      <c r="A10" s="50" t="s">
        <v>9</v>
      </c>
      <c r="B10" s="21" t="s">
        <v>10</v>
      </c>
      <c r="C10" s="51">
        <f>'Управителю (Форма)'!BC14</f>
        <v>0.41499999999999998</v>
      </c>
      <c r="D10" s="51">
        <f t="shared" ref="D10:D25" si="0">C10</f>
        <v>0.41499999999999998</v>
      </c>
      <c r="E10" s="51"/>
      <c r="F10" s="51">
        <f t="shared" ref="F10:F25" si="1">C10</f>
        <v>0.41499999999999998</v>
      </c>
    </row>
    <row r="11" spans="1:6" ht="37.5">
      <c r="A11" s="50" t="s">
        <v>11</v>
      </c>
      <c r="B11" s="21" t="s">
        <v>12</v>
      </c>
      <c r="C11" s="51">
        <f>'Управителю (Форма)'!BC15</f>
        <v>0.41799999999999998</v>
      </c>
      <c r="D11" s="51">
        <f t="shared" si="0"/>
        <v>0.41799999999999998</v>
      </c>
      <c r="E11" s="51"/>
      <c r="F11" s="51"/>
    </row>
    <row r="12" spans="1:6" ht="37.5">
      <c r="A12" s="50" t="s">
        <v>13</v>
      </c>
      <c r="B12" s="20" t="s">
        <v>14</v>
      </c>
      <c r="C12" s="51">
        <f>'Управителю (Форма)'!BC16</f>
        <v>7.0000000000000001E-3</v>
      </c>
      <c r="D12" s="51">
        <f t="shared" si="0"/>
        <v>7.0000000000000001E-3</v>
      </c>
      <c r="E12" s="51">
        <f t="shared" ref="E12:E25" si="2">C12</f>
        <v>7.0000000000000001E-3</v>
      </c>
      <c r="F12" s="51">
        <f t="shared" si="1"/>
        <v>7.0000000000000001E-3</v>
      </c>
    </row>
    <row r="13" spans="1:6" ht="18.75">
      <c r="A13" s="50" t="s">
        <v>15</v>
      </c>
      <c r="B13" s="21" t="s">
        <v>16</v>
      </c>
      <c r="C13" s="54"/>
      <c r="D13" s="51">
        <f>'Управителю (Форма)'!BC17</f>
        <v>0.45400000000000001</v>
      </c>
      <c r="E13" s="51"/>
      <c r="F13" s="51"/>
    </row>
    <row r="14" spans="1:6" ht="18.75">
      <c r="A14" s="50" t="s">
        <v>17</v>
      </c>
      <c r="B14" s="21" t="s">
        <v>18</v>
      </c>
      <c r="C14" s="51"/>
      <c r="D14" s="54">
        <f>'Управителю (Форма)'!BC18</f>
        <v>0</v>
      </c>
      <c r="E14" s="51"/>
      <c r="F14" s="51"/>
    </row>
    <row r="15" spans="1:6" ht="37.5">
      <c r="A15" s="155" t="s">
        <v>19</v>
      </c>
      <c r="B15" s="23" t="s">
        <v>20</v>
      </c>
      <c r="C15" s="161">
        <f>'Управителю (Форма)'!BC19</f>
        <v>0.27600000000000002</v>
      </c>
      <c r="D15" s="161">
        <f t="shared" si="0"/>
        <v>0.27600000000000002</v>
      </c>
      <c r="E15" s="161">
        <f t="shared" si="2"/>
        <v>0.27600000000000002</v>
      </c>
      <c r="F15" s="161">
        <f t="shared" si="1"/>
        <v>0.27600000000000002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50" t="s">
        <v>27</v>
      </c>
      <c r="B22" s="21" t="s">
        <v>28</v>
      </c>
      <c r="C22" s="51">
        <f>'Управителю (Форма)'!BC26</f>
        <v>0.01</v>
      </c>
      <c r="D22" s="51">
        <f t="shared" si="0"/>
        <v>0.01</v>
      </c>
      <c r="E22" s="51">
        <f t="shared" si="2"/>
        <v>0.01</v>
      </c>
      <c r="F22" s="51">
        <f t="shared" si="1"/>
        <v>0.01</v>
      </c>
    </row>
    <row r="23" spans="1:6" ht="18.75">
      <c r="A23" s="50" t="s">
        <v>29</v>
      </c>
      <c r="B23" s="21" t="s">
        <v>30</v>
      </c>
      <c r="C23" s="51">
        <f>'Управителю (Форма)'!BC27</f>
        <v>1E-3</v>
      </c>
      <c r="D23" s="51">
        <f t="shared" si="0"/>
        <v>1E-3</v>
      </c>
      <c r="E23" s="51">
        <f t="shared" si="2"/>
        <v>1E-3</v>
      </c>
      <c r="F23" s="51">
        <f t="shared" si="1"/>
        <v>1E-3</v>
      </c>
    </row>
    <row r="24" spans="1:6" ht="37.5">
      <c r="A24" s="50" t="s">
        <v>31</v>
      </c>
      <c r="B24" s="21" t="s">
        <v>32</v>
      </c>
      <c r="C24" s="51">
        <f>'Управителю (Форма)'!BC28</f>
        <v>2.4E-2</v>
      </c>
      <c r="D24" s="51">
        <f t="shared" si="0"/>
        <v>2.4E-2</v>
      </c>
      <c r="E24" s="51">
        <f t="shared" si="2"/>
        <v>2.4E-2</v>
      </c>
      <c r="F24" s="51">
        <f t="shared" si="1"/>
        <v>2.4E-2</v>
      </c>
    </row>
    <row r="25" spans="1:6" ht="75">
      <c r="A25" s="50" t="s">
        <v>33</v>
      </c>
      <c r="B25" s="21" t="s">
        <v>34</v>
      </c>
      <c r="C25" s="51">
        <f>'Управителю (Форма)'!BC29</f>
        <v>2.1999999999999999E-2</v>
      </c>
      <c r="D25" s="51">
        <f t="shared" si="0"/>
        <v>2.1999999999999999E-2</v>
      </c>
      <c r="E25" s="51">
        <f t="shared" si="2"/>
        <v>2.1999999999999999E-2</v>
      </c>
      <c r="F25" s="51">
        <f t="shared" si="1"/>
        <v>2.1999999999999999E-2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50" t="s">
        <v>37</v>
      </c>
      <c r="B27" s="21" t="s">
        <v>38</v>
      </c>
      <c r="C27" s="51">
        <f>'Управителю (Форма)'!BC31</f>
        <v>1.9E-2</v>
      </c>
      <c r="D27" s="51">
        <f t="shared" ref="D27:D36" si="3">C27</f>
        <v>1.9E-2</v>
      </c>
      <c r="E27" s="51">
        <f t="shared" ref="E27:E36" si="4">C27</f>
        <v>1.9E-2</v>
      </c>
      <c r="F27" s="51">
        <f t="shared" ref="F27:F36" si="5">C27</f>
        <v>1.9E-2</v>
      </c>
    </row>
    <row r="28" spans="1:6" ht="18.75">
      <c r="A28" s="155" t="s">
        <v>39</v>
      </c>
      <c r="B28" s="35" t="s">
        <v>40</v>
      </c>
      <c r="C28" s="156">
        <f>'Управителю (Форма)'!BC32</f>
        <v>0.36</v>
      </c>
      <c r="D28" s="156">
        <f t="shared" si="3"/>
        <v>0.36</v>
      </c>
      <c r="E28" s="156">
        <f t="shared" si="4"/>
        <v>0.36</v>
      </c>
      <c r="F28" s="156">
        <f t="shared" si="5"/>
        <v>0.36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50" t="s">
        <v>47</v>
      </c>
      <c r="B38" s="20" t="s">
        <v>48</v>
      </c>
      <c r="C38" s="51">
        <f>'Управителю (Форма)'!BC42</f>
        <v>1E-3</v>
      </c>
      <c r="D38" s="51">
        <f>C38</f>
        <v>1E-3</v>
      </c>
      <c r="E38" s="51">
        <f>C38</f>
        <v>1E-3</v>
      </c>
      <c r="F38" s="51">
        <f>C38</f>
        <v>1E-3</v>
      </c>
    </row>
    <row r="39" spans="1:6" ht="37.5">
      <c r="A39" s="50" t="s">
        <v>49</v>
      </c>
      <c r="B39" s="20" t="s">
        <v>50</v>
      </c>
      <c r="C39" s="51">
        <f>'Управителю (Форма)'!BC43</f>
        <v>0.46200000000000002</v>
      </c>
      <c r="D39" s="51">
        <f>C39</f>
        <v>0.46200000000000002</v>
      </c>
      <c r="E39" s="51">
        <f>C39</f>
        <v>0.46200000000000002</v>
      </c>
      <c r="F39" s="51">
        <f>C39</f>
        <v>0.46200000000000002</v>
      </c>
    </row>
    <row r="40" spans="1:6" ht="18.75">
      <c r="A40" s="50" t="s">
        <v>51</v>
      </c>
      <c r="B40" s="20" t="s">
        <v>52</v>
      </c>
      <c r="C40" s="51"/>
      <c r="D40" s="54">
        <f>'Управителю (Форма)'!BC44</f>
        <v>0.41899999999999998</v>
      </c>
      <c r="E40" s="51"/>
      <c r="F40" s="51"/>
    </row>
    <row r="41" spans="1:6" ht="18.75">
      <c r="A41" s="28" t="s">
        <v>53</v>
      </c>
      <c r="B41" s="52" t="s">
        <v>54</v>
      </c>
      <c r="C41" s="39">
        <f>SUM(C38:C40,C27:C36,C9:C25)*('Управителю (Форма)'!$D$7-1)</f>
        <v>0.41399999999999998</v>
      </c>
      <c r="D41" s="39">
        <f>SUM(D38:D40,D27:D36,D9:D25)*('Управителю (Форма)'!$D$7-1)</f>
        <v>0.56200000000000006</v>
      </c>
      <c r="E41" s="39">
        <f>SUM(E38:E40,E27:E36,E9:E25)*('Управителю (Форма)'!$D$7-1)</f>
        <v>0.27200000000000002</v>
      </c>
      <c r="F41" s="39">
        <f>SUM(F38:F40,F27:F36,F9:F25)*('Управителю (Форма)'!$D$7-1)</f>
        <v>0.34300000000000003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0.56999999999999995</v>
      </c>
      <c r="D42" s="40">
        <f>SUM(D38:D41,D27:D36,D9:D25)*0.2</f>
        <v>0.77400000000000002</v>
      </c>
      <c r="E42" s="40">
        <f>SUM(E38:E41,E27:E36,E9:E25)*0.2</f>
        <v>0.375</v>
      </c>
      <c r="F42" s="40">
        <f>SUM(F38:F41,F27:F36,F9:F25)*0.2</f>
        <v>0.47199999999999998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3.4180000000000001</v>
      </c>
      <c r="D43" s="38">
        <f>SUM(D38:D40,D27:D36,D9:D25)+D41+D42</f>
        <v>4.6429999999999998</v>
      </c>
      <c r="E43" s="38">
        <f>SUM(E38:E40,E27:E36,E9:E25)+E41+E42</f>
        <v>2.2480000000000002</v>
      </c>
      <c r="F43" s="38">
        <f>SUM(F38:F40,F27:F36,F9:F25)+F41+F42</f>
        <v>2.831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C47" sqref="C47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(Форма)'!BB10&amp;", "&amp;'Управителю (Форма)'!BB11</f>
        <v>вул. Текстильникiв, 15</v>
      </c>
      <c r="B4" s="167"/>
      <c r="C4" s="167"/>
      <c r="D4" s="167"/>
      <c r="E4" s="167"/>
      <c r="F4" s="167"/>
    </row>
    <row r="5" spans="1:6" ht="19.5" thickBot="1">
      <c r="A5" s="4"/>
    </row>
    <row r="6" spans="1:6" ht="32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(Форма)'!BB13</f>
        <v>0.59</v>
      </c>
      <c r="D9" s="46">
        <f>C9</f>
        <v>0.59</v>
      </c>
      <c r="E9" s="46">
        <f>C9</f>
        <v>0.59</v>
      </c>
      <c r="F9" s="46">
        <f>C9</f>
        <v>0.59</v>
      </c>
    </row>
    <row r="10" spans="1:6" ht="18.75">
      <c r="A10" s="45" t="s">
        <v>9</v>
      </c>
      <c r="B10" s="21" t="s">
        <v>10</v>
      </c>
      <c r="C10" s="46">
        <f>'Управителю (Форма)'!BB14</f>
        <v>0.47299999999999998</v>
      </c>
      <c r="D10" s="46">
        <f t="shared" ref="D10:D25" si="0">C10</f>
        <v>0.47299999999999998</v>
      </c>
      <c r="E10" s="46"/>
      <c r="F10" s="46">
        <f t="shared" ref="F10:F25" si="1">C10</f>
        <v>0.47299999999999998</v>
      </c>
    </row>
    <row r="11" spans="1:6" ht="37.5">
      <c r="A11" s="45" t="s">
        <v>11</v>
      </c>
      <c r="B11" s="21" t="s">
        <v>12</v>
      </c>
      <c r="C11" s="46">
        <f>'Управителю (Форма)'!BB15</f>
        <v>0.28799999999999998</v>
      </c>
      <c r="D11" s="46">
        <f t="shared" si="0"/>
        <v>0.28799999999999998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(Форма)'!BB16</f>
        <v>8.9999999999999993E-3</v>
      </c>
      <c r="D12" s="46">
        <f t="shared" si="0"/>
        <v>8.9999999999999993E-3</v>
      </c>
      <c r="E12" s="46">
        <f t="shared" ref="E12:E25" si="2">C12</f>
        <v>8.9999999999999993E-3</v>
      </c>
      <c r="F12" s="46">
        <f t="shared" si="1"/>
        <v>8.9999999999999993E-3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(Форма)'!BB17</f>
        <v>0.29099999999999998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(Форма)'!BB18</f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(Форма)'!BB19</f>
        <v>0.35299999999999998</v>
      </c>
      <c r="D15" s="161">
        <f t="shared" si="0"/>
        <v>0.35299999999999998</v>
      </c>
      <c r="E15" s="161">
        <f t="shared" si="2"/>
        <v>0.35299999999999998</v>
      </c>
      <c r="F15" s="161">
        <f t="shared" si="1"/>
        <v>0.35299999999999998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(Форма)'!BB26</f>
        <v>2.4E-2</v>
      </c>
      <c r="D22" s="46">
        <f t="shared" si="0"/>
        <v>2.4E-2</v>
      </c>
      <c r="E22" s="46">
        <f t="shared" si="2"/>
        <v>2.4E-2</v>
      </c>
      <c r="F22" s="46">
        <f t="shared" si="1"/>
        <v>2.4E-2</v>
      </c>
    </row>
    <row r="23" spans="1:6" ht="18.75">
      <c r="A23" s="45" t="s">
        <v>29</v>
      </c>
      <c r="B23" s="21" t="s">
        <v>30</v>
      </c>
      <c r="C23" s="46">
        <f>'Управителю (Форма)'!BB27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(Форма)'!BB28</f>
        <v>2.5000000000000001E-2</v>
      </c>
      <c r="D24" s="46">
        <f t="shared" si="0"/>
        <v>2.5000000000000001E-2</v>
      </c>
      <c r="E24" s="46">
        <f t="shared" si="2"/>
        <v>2.5000000000000001E-2</v>
      </c>
      <c r="F24" s="46">
        <f t="shared" si="1"/>
        <v>2.5000000000000001E-2</v>
      </c>
    </row>
    <row r="25" spans="1:6" ht="75">
      <c r="A25" s="45" t="s">
        <v>33</v>
      </c>
      <c r="B25" s="21" t="s">
        <v>34</v>
      </c>
      <c r="C25" s="46">
        <f>'Управителю (Форма)'!BB29</f>
        <v>6.0999999999999999E-2</v>
      </c>
      <c r="D25" s="46">
        <f t="shared" si="0"/>
        <v>6.0999999999999999E-2</v>
      </c>
      <c r="E25" s="46">
        <f t="shared" si="2"/>
        <v>6.0999999999999999E-2</v>
      </c>
      <c r="F25" s="46">
        <f t="shared" si="1"/>
        <v>6.0999999999999999E-2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(Форма)'!BB31</f>
        <v>4.2000000000000003E-2</v>
      </c>
      <c r="D27" s="46">
        <f t="shared" ref="D27:D36" si="3">C27</f>
        <v>4.2000000000000003E-2</v>
      </c>
      <c r="E27" s="46">
        <f t="shared" ref="E27:E36" si="4">C27</f>
        <v>4.2000000000000003E-2</v>
      </c>
      <c r="F27" s="46">
        <f t="shared" ref="F27:F36" si="5">C27</f>
        <v>4.2000000000000003E-2</v>
      </c>
    </row>
    <row r="28" spans="1:6" ht="18.75">
      <c r="A28" s="155" t="s">
        <v>39</v>
      </c>
      <c r="B28" s="35" t="s">
        <v>40</v>
      </c>
      <c r="C28" s="156">
        <f>'Управителю (Форма)'!BB32</f>
        <v>0.60799999999999998</v>
      </c>
      <c r="D28" s="156">
        <f t="shared" si="3"/>
        <v>0.60799999999999998</v>
      </c>
      <c r="E28" s="156">
        <f t="shared" si="4"/>
        <v>0.60799999999999998</v>
      </c>
      <c r="F28" s="156">
        <f t="shared" si="5"/>
        <v>0.60799999999999998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(Форма)'!BB42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(Форма)'!BB43</f>
        <v>6.7000000000000004E-2</v>
      </c>
      <c r="D39" s="46">
        <f>C39</f>
        <v>6.7000000000000004E-2</v>
      </c>
      <c r="E39" s="46">
        <f>C39</f>
        <v>6.7000000000000004E-2</v>
      </c>
      <c r="F39" s="46">
        <f>C39</f>
        <v>6.7000000000000004E-2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(Форма)'!BB44</f>
        <v>0.182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0.432</v>
      </c>
      <c r="D41" s="39">
        <f>SUM(D38:D40,D27:D36,D9:D25)*('Управителю (Форма)'!$D$7-1)</f>
        <v>0.51300000000000001</v>
      </c>
      <c r="E41" s="39">
        <f>SUM(E38:E40,E27:E36,E9:E25)*('Управителю (Форма)'!$D$7-1)</f>
        <v>0.30299999999999999</v>
      </c>
      <c r="F41" s="39">
        <f>SUM(F38:F40,F27:F36,F9:F25)*('Управителю (Форма)'!$D$7-1)</f>
        <v>0.38300000000000001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0.59499999999999997</v>
      </c>
      <c r="D42" s="40">
        <f>SUM(D38:D41,D27:D36,D9:D25)*0.2</f>
        <v>0.70599999999999996</v>
      </c>
      <c r="E42" s="40">
        <f>SUM(E38:E41,E27:E36,E9:E25)*0.2</f>
        <v>0.41699999999999998</v>
      </c>
      <c r="F42" s="40">
        <f>SUM(F38:F41,F27:F36,F9:F25)*0.2</f>
        <v>0.52700000000000002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3.569</v>
      </c>
      <c r="D43" s="38">
        <f>SUM(D38:D40,D27:D36,D9:D25)+D41+D42</f>
        <v>4.234</v>
      </c>
      <c r="E43" s="38">
        <f>SUM(E38:E40,E27:E36,E9:E25)+E41+E42</f>
        <v>2.5009999999999999</v>
      </c>
      <c r="F43" s="38">
        <f>SUM(F38:F40,F27:F36,F9:F25)+F41+F42</f>
        <v>3.1640000000000001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C57" sqref="C57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(Форма)'!BA10&amp;", "&amp;'Управителю (Форма)'!BA11</f>
        <v>вул. Текстильникiв, 14</v>
      </c>
      <c r="B4" s="167"/>
      <c r="C4" s="167"/>
      <c r="D4" s="167"/>
      <c r="E4" s="167"/>
      <c r="F4" s="167"/>
    </row>
    <row r="5" spans="1:6" ht="19.5" thickBot="1">
      <c r="A5" s="4"/>
    </row>
    <row r="6" spans="1:6" ht="31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(Форма)'!BA13</f>
        <v>1.1819999999999999</v>
      </c>
      <c r="D9" s="46">
        <f>C9</f>
        <v>1.1819999999999999</v>
      </c>
      <c r="E9" s="46">
        <f>C9</f>
        <v>1.1819999999999999</v>
      </c>
      <c r="F9" s="46">
        <f>C9</f>
        <v>1.1819999999999999</v>
      </c>
    </row>
    <row r="10" spans="1:6" ht="18.75">
      <c r="A10" s="45" t="s">
        <v>9</v>
      </c>
      <c r="B10" s="21" t="s">
        <v>10</v>
      </c>
      <c r="C10" s="46">
        <f>'Управителю (Форма)'!BA14</f>
        <v>0.184</v>
      </c>
      <c r="D10" s="46">
        <f t="shared" ref="D10:D25" si="0">C10</f>
        <v>0.184</v>
      </c>
      <c r="E10" s="46"/>
      <c r="F10" s="46">
        <f t="shared" ref="F10:F25" si="1">C10</f>
        <v>0.184</v>
      </c>
    </row>
    <row r="11" spans="1:6" ht="37.5">
      <c r="A11" s="45" t="s">
        <v>11</v>
      </c>
      <c r="B11" s="21" t="s">
        <v>12</v>
      </c>
      <c r="C11" s="46">
        <f>'Управителю (Форма)'!BA15</f>
        <v>0.442</v>
      </c>
      <c r="D11" s="46">
        <f t="shared" si="0"/>
        <v>0.442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(Форма)'!BA16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(Форма)'!BA19</f>
        <v>0.31</v>
      </c>
      <c r="D15" s="161">
        <f t="shared" si="0"/>
        <v>0.31</v>
      </c>
      <c r="E15" s="161">
        <f t="shared" si="2"/>
        <v>0.31</v>
      </c>
      <c r="F15" s="161">
        <f t="shared" si="1"/>
        <v>0.31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(Форма)'!BA26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(Форма)'!BA27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(Форма)'!BA28</f>
        <v>3.5999999999999997E-2</v>
      </c>
      <c r="D24" s="46">
        <f t="shared" si="0"/>
        <v>3.5999999999999997E-2</v>
      </c>
      <c r="E24" s="46">
        <f t="shared" si="2"/>
        <v>3.5999999999999997E-2</v>
      </c>
      <c r="F24" s="46">
        <f t="shared" si="1"/>
        <v>3.5999999999999997E-2</v>
      </c>
    </row>
    <row r="25" spans="1:6" ht="75">
      <c r="A25" s="45" t="s">
        <v>33</v>
      </c>
      <c r="B25" s="21" t="s">
        <v>34</v>
      </c>
      <c r="C25" s="46">
        <f>'Управителю (Форма)'!BA29</f>
        <v>7.2999999999999995E-2</v>
      </c>
      <c r="D25" s="46">
        <f t="shared" si="0"/>
        <v>7.2999999999999995E-2</v>
      </c>
      <c r="E25" s="46">
        <f t="shared" si="2"/>
        <v>7.2999999999999995E-2</v>
      </c>
      <c r="F25" s="46">
        <f t="shared" si="1"/>
        <v>7.2999999999999995E-2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(Форма)'!BA31</f>
        <v>0.03</v>
      </c>
      <c r="D27" s="46">
        <f t="shared" ref="D27:D36" si="3">C27</f>
        <v>0.03</v>
      </c>
      <c r="E27" s="46">
        <f t="shared" ref="E27:E36" si="4">C27</f>
        <v>0.03</v>
      </c>
      <c r="F27" s="46">
        <f t="shared" ref="F27:F36" si="5">C27</f>
        <v>0.03</v>
      </c>
    </row>
    <row r="28" spans="1:6" ht="18.75">
      <c r="A28" s="155" t="s">
        <v>39</v>
      </c>
      <c r="B28" s="35" t="s">
        <v>40</v>
      </c>
      <c r="C28" s="156">
        <f>'Управителю (Форма)'!BA32</f>
        <v>0.32500000000000001</v>
      </c>
      <c r="D28" s="156">
        <f t="shared" si="3"/>
        <v>0.32500000000000001</v>
      </c>
      <c r="E28" s="156">
        <f t="shared" si="4"/>
        <v>0.32500000000000001</v>
      </c>
      <c r="F28" s="156">
        <f t="shared" si="5"/>
        <v>0.32500000000000001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(Форма)'!BA42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(Форма)'!BA43</f>
        <v>0.20699999999999999</v>
      </c>
      <c r="D39" s="46">
        <f>C39</f>
        <v>0.20699999999999999</v>
      </c>
      <c r="E39" s="46">
        <f>C39</f>
        <v>0.20699999999999999</v>
      </c>
      <c r="F39" s="46">
        <f>C39</f>
        <v>0.20699999999999999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0.47399999999999998</v>
      </c>
      <c r="D41" s="39">
        <f>SUM(D38:D40,D27:D36,D9:D25)*('Управителю (Форма)'!$D$7-1)</f>
        <v>0.47399999999999998</v>
      </c>
      <c r="E41" s="39">
        <f>SUM(E38:E40,E27:E36,E9:E25)*('Управителю (Форма)'!$D$7-1)</f>
        <v>0.36799999999999999</v>
      </c>
      <c r="F41" s="39">
        <f>SUM(F38:F40,F27:F36,F9:F25)*('Управителю (Форма)'!$D$7-1)</f>
        <v>0.39900000000000002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0.65300000000000002</v>
      </c>
      <c r="D42" s="40">
        <f>SUM(D38:D41,D27:D36,D9:D25)*0.2</f>
        <v>0.65300000000000002</v>
      </c>
      <c r="E42" s="40">
        <f>SUM(E38:E41,E27:E36,E9:E25)*0.2</f>
        <v>0.50600000000000001</v>
      </c>
      <c r="F42" s="40">
        <f>SUM(F38:F41,F27:F36,F9:F25)*0.2</f>
        <v>0.54900000000000004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3.9169999999999998</v>
      </c>
      <c r="D43" s="38">
        <f>SUM(D38:D40,D27:D36,D9:D25)+D41+D42</f>
        <v>3.9169999999999998</v>
      </c>
      <c r="E43" s="38">
        <f>SUM(E38:E40,E27:E36,E9:E25)+E41+E42</f>
        <v>3.0379999999999998</v>
      </c>
      <c r="F43" s="38">
        <f>SUM(F38:F40,F27:F36,F9:F25)+F41+F42</f>
        <v>3.2959999999999998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C50" sqref="C50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(Форма)'!AZ10&amp;", "&amp;'Управителю (Форма)'!AZ11</f>
        <v>вул. Текстильникiв, 13</v>
      </c>
      <c r="B4" s="167"/>
      <c r="C4" s="167"/>
      <c r="D4" s="167"/>
      <c r="E4" s="167"/>
      <c r="F4" s="167"/>
    </row>
    <row r="5" spans="1:6" ht="19.5" thickBot="1">
      <c r="A5" s="4"/>
    </row>
    <row r="6" spans="1:6" ht="35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(Форма)'!AZ13</f>
        <v>0.42499999999999999</v>
      </c>
      <c r="D9" s="46">
        <f>C9</f>
        <v>0.42499999999999999</v>
      </c>
      <c r="E9" s="46">
        <f>C9</f>
        <v>0.42499999999999999</v>
      </c>
      <c r="F9" s="46">
        <f>C9</f>
        <v>0.42499999999999999</v>
      </c>
    </row>
    <row r="10" spans="1:6" ht="18.75">
      <c r="A10" s="45" t="s">
        <v>9</v>
      </c>
      <c r="B10" s="21" t="s">
        <v>10</v>
      </c>
      <c r="C10" s="46">
        <f>'Управителю (Форма)'!AZ14</f>
        <v>0.152</v>
      </c>
      <c r="D10" s="46">
        <f t="shared" ref="D10:D25" si="0">C10</f>
        <v>0.152</v>
      </c>
      <c r="E10" s="46"/>
      <c r="F10" s="46">
        <f t="shared" ref="F10:F25" si="1">C10</f>
        <v>0.152</v>
      </c>
    </row>
    <row r="11" spans="1:6" ht="37.5">
      <c r="A11" s="45" t="s">
        <v>11</v>
      </c>
      <c r="B11" s="21" t="s">
        <v>12</v>
      </c>
      <c r="C11" s="46">
        <f>'Управителю (Форма)'!AZ15</f>
        <v>0.39600000000000002</v>
      </c>
      <c r="D11" s="46">
        <f t="shared" si="0"/>
        <v>0.39600000000000002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(Форма)'!AZ16</f>
        <v>7.0000000000000001E-3</v>
      </c>
      <c r="D12" s="46">
        <f t="shared" si="0"/>
        <v>7.0000000000000001E-3</v>
      </c>
      <c r="E12" s="46">
        <f t="shared" ref="E12:E25" si="2">C12</f>
        <v>7.0000000000000001E-3</v>
      </c>
      <c r="F12" s="46">
        <f t="shared" si="1"/>
        <v>7.0000000000000001E-3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(Форма)'!AZ19</f>
        <v>0.42299999999999999</v>
      </c>
      <c r="D15" s="161">
        <f t="shared" si="0"/>
        <v>0.42299999999999999</v>
      </c>
      <c r="E15" s="161">
        <f t="shared" si="2"/>
        <v>0.42299999999999999</v>
      </c>
      <c r="F15" s="161">
        <f t="shared" si="1"/>
        <v>0.42299999999999999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(Форма)'!AZ26</f>
        <v>2.4E-2</v>
      </c>
      <c r="D22" s="46">
        <f t="shared" si="0"/>
        <v>2.4E-2</v>
      </c>
      <c r="E22" s="46">
        <f t="shared" si="2"/>
        <v>2.4E-2</v>
      </c>
      <c r="F22" s="46">
        <f t="shared" si="1"/>
        <v>2.4E-2</v>
      </c>
    </row>
    <row r="23" spans="1:6" ht="18.75">
      <c r="A23" s="45" t="s">
        <v>29</v>
      </c>
      <c r="B23" s="21" t="s">
        <v>30</v>
      </c>
      <c r="C23" s="46">
        <f>'Управителю (Форма)'!AZ27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(Форма)'!AZ28</f>
        <v>3.4000000000000002E-2</v>
      </c>
      <c r="D24" s="46">
        <f t="shared" si="0"/>
        <v>3.4000000000000002E-2</v>
      </c>
      <c r="E24" s="46">
        <f t="shared" si="2"/>
        <v>3.4000000000000002E-2</v>
      </c>
      <c r="F24" s="46">
        <f t="shared" si="1"/>
        <v>3.4000000000000002E-2</v>
      </c>
    </row>
    <row r="25" spans="1:6" ht="75">
      <c r="A25" s="45" t="s">
        <v>33</v>
      </c>
      <c r="B25" s="21" t="s">
        <v>34</v>
      </c>
      <c r="C25" s="46">
        <f>'Управителю (Форма)'!AZ29</f>
        <v>0.08</v>
      </c>
      <c r="D25" s="46">
        <f t="shared" si="0"/>
        <v>0.08</v>
      </c>
      <c r="E25" s="46">
        <f t="shared" si="2"/>
        <v>0.08</v>
      </c>
      <c r="F25" s="46">
        <f t="shared" si="1"/>
        <v>0.08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(Форма)'!AZ31</f>
        <v>5.8999999999999997E-2</v>
      </c>
      <c r="D27" s="46">
        <f t="shared" ref="D27:D36" si="3">C27</f>
        <v>5.8999999999999997E-2</v>
      </c>
      <c r="E27" s="46">
        <f t="shared" ref="E27:E36" si="4">C27</f>
        <v>5.8999999999999997E-2</v>
      </c>
      <c r="F27" s="46">
        <f t="shared" ref="F27:F36" si="5">C27</f>
        <v>5.8999999999999997E-2</v>
      </c>
    </row>
    <row r="28" spans="1:6" ht="18.75">
      <c r="A28" s="155" t="s">
        <v>39</v>
      </c>
      <c r="B28" s="35" t="s">
        <v>40</v>
      </c>
      <c r="C28" s="156">
        <f>'Управителю (Форма)'!AZ32</f>
        <v>0.85099999999999998</v>
      </c>
      <c r="D28" s="156">
        <f t="shared" si="3"/>
        <v>0.85099999999999998</v>
      </c>
      <c r="E28" s="156">
        <f t="shared" si="4"/>
        <v>0.85099999999999998</v>
      </c>
      <c r="F28" s="156">
        <f t="shared" si="5"/>
        <v>0.85099999999999998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(Форма)'!AZ42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(Форма)'!AZ43</f>
        <v>0.2</v>
      </c>
      <c r="D39" s="46">
        <f>C39</f>
        <v>0.2</v>
      </c>
      <c r="E39" s="46">
        <f>C39</f>
        <v>0.2</v>
      </c>
      <c r="F39" s="46">
        <f>C39</f>
        <v>0.2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0.45100000000000001</v>
      </c>
      <c r="D41" s="39">
        <f>SUM(D38:D40,D27:D36,D9:D25)*('Управителю (Форма)'!$D$7-1)</f>
        <v>0.45100000000000001</v>
      </c>
      <c r="E41" s="39">
        <f>SUM(E38:E40,E27:E36,E9:E25)*('Управителю (Форма)'!$D$7-1)</f>
        <v>0.35799999999999998</v>
      </c>
      <c r="F41" s="39">
        <f>SUM(F38:F40,F27:F36,F9:F25)*('Управителю (Форма)'!$D$7-1)</f>
        <v>0.38400000000000001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0.621</v>
      </c>
      <c r="D42" s="40">
        <f>SUM(D38:D41,D27:D36,D9:D25)*0.2</f>
        <v>0.621</v>
      </c>
      <c r="E42" s="40">
        <f>SUM(E38:E41,E27:E36,E9:E25)*0.2</f>
        <v>0.49299999999999999</v>
      </c>
      <c r="F42" s="40">
        <f>SUM(F38:F41,F27:F36,F9:F25)*0.2</f>
        <v>0.52800000000000002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3.7250000000000001</v>
      </c>
      <c r="D43" s="38">
        <f>SUM(D38:D40,D27:D36,D9:D25)+D41+D42</f>
        <v>3.7250000000000001</v>
      </c>
      <c r="E43" s="38">
        <f>SUM(E38:E40,E27:E36,E9:E25)+E41+E42</f>
        <v>2.956</v>
      </c>
      <c r="F43" s="38">
        <f>SUM(F38:F40,F27:F36,F9:F25)+F41+F42</f>
        <v>3.169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C51" sqref="C51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(Форма)'!AY10&amp;", "&amp;'Управителю (Форма)'!AY11</f>
        <v>вул. Текстильникiв, 12</v>
      </c>
      <c r="B4" s="167"/>
      <c r="C4" s="167"/>
      <c r="D4" s="167"/>
      <c r="E4" s="167"/>
      <c r="F4" s="167"/>
    </row>
    <row r="5" spans="1:6" ht="19.5" thickBot="1">
      <c r="A5" s="4"/>
    </row>
    <row r="6" spans="1:6" ht="33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(Форма)'!AY13</f>
        <v>0.34</v>
      </c>
      <c r="D9" s="46">
        <f>C9</f>
        <v>0.34</v>
      </c>
      <c r="E9" s="46">
        <f>C9</f>
        <v>0.34</v>
      </c>
      <c r="F9" s="46">
        <f>C9</f>
        <v>0.34</v>
      </c>
    </row>
    <row r="10" spans="1:6" ht="18.75">
      <c r="A10" s="45" t="s">
        <v>9</v>
      </c>
      <c r="B10" s="21" t="s">
        <v>10</v>
      </c>
      <c r="C10" s="46">
        <f>'Управителю (Форма)'!AY14</f>
        <v>0.11</v>
      </c>
      <c r="D10" s="46">
        <f t="shared" ref="D10:D25" si="0">C10</f>
        <v>0.11</v>
      </c>
      <c r="E10" s="46"/>
      <c r="F10" s="46">
        <f t="shared" ref="F10:F25" si="1">C10</f>
        <v>0.11</v>
      </c>
    </row>
    <row r="11" spans="1:6" ht="37.5">
      <c r="A11" s="45" t="s">
        <v>11</v>
      </c>
      <c r="B11" s="21" t="s">
        <v>12</v>
      </c>
      <c r="C11" s="46">
        <f>'Управителю (Форма)'!AY15</f>
        <v>0.92400000000000004</v>
      </c>
      <c r="D11" s="46">
        <f t="shared" si="0"/>
        <v>0.92400000000000004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(Форма)'!AY16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(Форма)'!AY19</f>
        <v>0.33</v>
      </c>
      <c r="D15" s="161">
        <f t="shared" si="0"/>
        <v>0.33</v>
      </c>
      <c r="E15" s="161">
        <f t="shared" si="2"/>
        <v>0.33</v>
      </c>
      <c r="F15" s="161">
        <f t="shared" si="1"/>
        <v>0.33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(Форма)'!AY26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(Форма)'!AY27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(Форма)'!AY28</f>
        <v>2.4E-2</v>
      </c>
      <c r="D24" s="46">
        <f t="shared" si="0"/>
        <v>2.4E-2</v>
      </c>
      <c r="E24" s="46">
        <f t="shared" si="2"/>
        <v>2.4E-2</v>
      </c>
      <c r="F24" s="46">
        <f t="shared" si="1"/>
        <v>2.4E-2</v>
      </c>
    </row>
    <row r="25" spans="1:6" ht="75">
      <c r="A25" s="45" t="s">
        <v>33</v>
      </c>
      <c r="B25" s="21" t="s">
        <v>34</v>
      </c>
      <c r="C25" s="46">
        <f>'Управителю (Форма)'!AY29</f>
        <v>8.3000000000000004E-2</v>
      </c>
      <c r="D25" s="46">
        <f t="shared" si="0"/>
        <v>8.3000000000000004E-2</v>
      </c>
      <c r="E25" s="46">
        <f t="shared" si="2"/>
        <v>8.3000000000000004E-2</v>
      </c>
      <c r="F25" s="46">
        <f t="shared" si="1"/>
        <v>8.3000000000000004E-2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(Форма)'!AY31</f>
        <v>3.2000000000000001E-2</v>
      </c>
      <c r="D27" s="46">
        <f t="shared" ref="D27:D36" si="3">C27</f>
        <v>3.2000000000000001E-2</v>
      </c>
      <c r="E27" s="46">
        <f t="shared" ref="E27:E36" si="4">C27</f>
        <v>3.2000000000000001E-2</v>
      </c>
      <c r="F27" s="46">
        <f t="shared" ref="F27:F36" si="5">C27</f>
        <v>3.2000000000000001E-2</v>
      </c>
    </row>
    <row r="28" spans="1:6" ht="18.75">
      <c r="A28" s="155" t="s">
        <v>39</v>
      </c>
      <c r="B28" s="35" t="s">
        <v>40</v>
      </c>
      <c r="C28" s="156">
        <f>'Управителю (Форма)'!AY32</f>
        <v>0.498</v>
      </c>
      <c r="D28" s="156">
        <f t="shared" si="3"/>
        <v>0.498</v>
      </c>
      <c r="E28" s="156">
        <f t="shared" si="4"/>
        <v>0.498</v>
      </c>
      <c r="F28" s="156">
        <f t="shared" si="5"/>
        <v>0.498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(Форма)'!AY42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(Форма)'!AY43</f>
        <v>0.157</v>
      </c>
      <c r="D39" s="46">
        <f>C39</f>
        <v>0.157</v>
      </c>
      <c r="E39" s="46">
        <f>C39</f>
        <v>0.157</v>
      </c>
      <c r="F39" s="46">
        <f>C39</f>
        <v>0.157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0.42499999999999999</v>
      </c>
      <c r="D41" s="39">
        <f>SUM(D38:D40,D27:D36,D9:D25)*('Управителю (Форма)'!$D$7-1)</f>
        <v>0.42499999999999999</v>
      </c>
      <c r="E41" s="39">
        <f>SUM(E38:E40,E27:E36,E9:E25)*('Управителю (Форма)'!$D$7-1)</f>
        <v>0.249</v>
      </c>
      <c r="F41" s="39">
        <f>SUM(F38:F40,F27:F36,F9:F25)*('Управителю (Форма)'!$D$7-1)</f>
        <v>0.26800000000000002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0.58499999999999996</v>
      </c>
      <c r="D42" s="40">
        <f>SUM(D38:D41,D27:D36,D9:D25)*0.2</f>
        <v>0.58499999999999996</v>
      </c>
      <c r="E42" s="40">
        <f>SUM(E38:E41,E27:E36,E9:E25)*0.2</f>
        <v>0.34300000000000003</v>
      </c>
      <c r="F42" s="40">
        <f>SUM(F38:F41,F27:F36,F9:F25)*0.2</f>
        <v>0.36899999999999999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3.5089999999999999</v>
      </c>
      <c r="D43" s="38">
        <f>SUM(D38:D40,D27:D36,D9:D25)+D41+D42</f>
        <v>3.5089999999999999</v>
      </c>
      <c r="E43" s="38">
        <f>SUM(E38:E40,E27:E36,E9:E25)+E41+E42</f>
        <v>2.0569999999999999</v>
      </c>
      <c r="F43" s="38">
        <f>SUM(F38:F40,F27:F36,F9:F25)+F41+F42</f>
        <v>2.2120000000000002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(Форма)'!AX10&amp;", "&amp;'Управителю (Форма)'!AX11</f>
        <v>вул. Текстильникiв, 11б</v>
      </c>
      <c r="B4" s="167"/>
      <c r="C4" s="167"/>
      <c r="D4" s="167"/>
      <c r="E4" s="167"/>
      <c r="F4" s="167"/>
    </row>
    <row r="5" spans="1:6" ht="19.5" thickBot="1">
      <c r="A5" s="4"/>
    </row>
    <row r="6" spans="1:6" ht="35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(Форма)'!AX13</f>
        <v>0.60099999999999998</v>
      </c>
      <c r="D9" s="46">
        <f>C9</f>
        <v>0.60099999999999998</v>
      </c>
      <c r="E9" s="46">
        <f>C9</f>
        <v>0.60099999999999998</v>
      </c>
      <c r="F9" s="46">
        <f>C9</f>
        <v>0.60099999999999998</v>
      </c>
    </row>
    <row r="10" spans="1:6" ht="18.75">
      <c r="A10" s="45" t="s">
        <v>9</v>
      </c>
      <c r="B10" s="21" t="s">
        <v>10</v>
      </c>
      <c r="C10" s="46">
        <f>'Управителю (Форма)'!AX14</f>
        <v>0.29099999999999998</v>
      </c>
      <c r="D10" s="46">
        <f t="shared" ref="D10:D25" si="0">C10</f>
        <v>0.29099999999999998</v>
      </c>
      <c r="E10" s="46"/>
      <c r="F10" s="46">
        <f t="shared" ref="F10:F25" si="1">C10</f>
        <v>0.29099999999999998</v>
      </c>
    </row>
    <row r="11" spans="1:6" ht="37.5">
      <c r="A11" s="45" t="s">
        <v>11</v>
      </c>
      <c r="B11" s="21" t="s">
        <v>12</v>
      </c>
      <c r="C11" s="46">
        <f>'Управителю (Форма)'!AX15</f>
        <v>0.35899999999999999</v>
      </c>
      <c r="D11" s="46">
        <f t="shared" si="0"/>
        <v>0.35899999999999999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(Форма)'!AX16</f>
        <v>1.6E-2</v>
      </c>
      <c r="D12" s="46">
        <f t="shared" si="0"/>
        <v>1.6E-2</v>
      </c>
      <c r="E12" s="46">
        <f t="shared" ref="E12:E25" si="2">C12</f>
        <v>1.6E-2</v>
      </c>
      <c r="F12" s="46">
        <f t="shared" si="1"/>
        <v>1.6E-2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(Форма)'!AX17</f>
        <v>0.51400000000000001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(Форма)'!AX18</f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(Форма)'!AX19</f>
        <v>0.39200000000000002</v>
      </c>
      <c r="D15" s="161">
        <f t="shared" si="0"/>
        <v>0.39200000000000002</v>
      </c>
      <c r="E15" s="161">
        <f t="shared" si="2"/>
        <v>0.39200000000000002</v>
      </c>
      <c r="F15" s="161">
        <f t="shared" si="1"/>
        <v>0.39200000000000002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(Форма)'!AX26</f>
        <v>1.7000000000000001E-2</v>
      </c>
      <c r="D22" s="46">
        <f t="shared" si="0"/>
        <v>1.7000000000000001E-2</v>
      </c>
      <c r="E22" s="46">
        <f t="shared" si="2"/>
        <v>1.7000000000000001E-2</v>
      </c>
      <c r="F22" s="46">
        <f t="shared" si="1"/>
        <v>1.7000000000000001E-2</v>
      </c>
    </row>
    <row r="23" spans="1:6" ht="18.75">
      <c r="A23" s="45" t="s">
        <v>29</v>
      </c>
      <c r="B23" s="21" t="s">
        <v>30</v>
      </c>
      <c r="C23" s="46">
        <f>'Управителю (Форма)'!AX27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(Форма)'!AX28</f>
        <v>2.1999999999999999E-2</v>
      </c>
      <c r="D24" s="46">
        <f t="shared" si="0"/>
        <v>2.1999999999999999E-2</v>
      </c>
      <c r="E24" s="46">
        <f t="shared" si="2"/>
        <v>2.1999999999999999E-2</v>
      </c>
      <c r="F24" s="46">
        <f t="shared" si="1"/>
        <v>2.1999999999999999E-2</v>
      </c>
    </row>
    <row r="25" spans="1:6" ht="75">
      <c r="A25" s="45" t="s">
        <v>33</v>
      </c>
      <c r="B25" s="21" t="s">
        <v>34</v>
      </c>
      <c r="C25" s="46">
        <f>'Управителю (Форма)'!AX29</f>
        <v>4.1000000000000002E-2</v>
      </c>
      <c r="D25" s="46">
        <f t="shared" si="0"/>
        <v>4.1000000000000002E-2</v>
      </c>
      <c r="E25" s="46">
        <f t="shared" si="2"/>
        <v>4.1000000000000002E-2</v>
      </c>
      <c r="F25" s="46">
        <f t="shared" si="1"/>
        <v>4.1000000000000002E-2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(Форма)'!AX31</f>
        <v>1.2999999999999999E-2</v>
      </c>
      <c r="D27" s="46">
        <f t="shared" ref="D27:D36" si="3">C27</f>
        <v>1.2999999999999999E-2</v>
      </c>
      <c r="E27" s="46">
        <f t="shared" ref="E27:E36" si="4">C27</f>
        <v>1.2999999999999999E-2</v>
      </c>
      <c r="F27" s="46">
        <f t="shared" ref="F27:F36" si="5">C27</f>
        <v>1.2999999999999999E-2</v>
      </c>
    </row>
    <row r="28" spans="1:6" ht="18.75">
      <c r="A28" s="155" t="s">
        <v>39</v>
      </c>
      <c r="B28" s="35" t="s">
        <v>40</v>
      </c>
      <c r="C28" s="156">
        <f>'Управителю (Форма)'!AX32</f>
        <v>0.55300000000000005</v>
      </c>
      <c r="D28" s="156">
        <f t="shared" si="3"/>
        <v>0.55300000000000005</v>
      </c>
      <c r="E28" s="156">
        <f t="shared" si="4"/>
        <v>0.55300000000000005</v>
      </c>
      <c r="F28" s="156">
        <f t="shared" si="5"/>
        <v>0.55300000000000005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(Форма)'!AX42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(Форма)'!AX43</f>
        <v>0.23799999999999999</v>
      </c>
      <c r="D39" s="46">
        <f>C39</f>
        <v>0.23799999999999999</v>
      </c>
      <c r="E39" s="46">
        <f>C39</f>
        <v>0.23799999999999999</v>
      </c>
      <c r="F39" s="46">
        <f>C39</f>
        <v>0.23799999999999999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(Форма)'!AX44</f>
        <v>0.23100000000000001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0.433</v>
      </c>
      <c r="D41" s="39">
        <f>SUM(D38:D40,D27:D36,D9:D25)*('Управителю (Форма)'!$D$7-1)</f>
        <v>0.55900000000000005</v>
      </c>
      <c r="E41" s="39">
        <f>SUM(E38:E40,E27:E36,E9:E25)*('Управителю (Форма)'!$D$7-1)</f>
        <v>0.32200000000000001</v>
      </c>
      <c r="F41" s="39">
        <f>SUM(F38:F40,F27:F36,F9:F25)*('Управителю (Форма)'!$D$7-1)</f>
        <v>0.372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0.59599999999999997</v>
      </c>
      <c r="D42" s="40">
        <f>SUM(D38:D41,D27:D36,D9:D25)*0.2</f>
        <v>0.77</v>
      </c>
      <c r="E42" s="40">
        <f>SUM(E38:E41,E27:E36,E9:E25)*0.2</f>
        <v>0.443</v>
      </c>
      <c r="F42" s="40">
        <f>SUM(F38:F41,F27:F36,F9:F25)*0.2</f>
        <v>0.51200000000000001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3.5739999999999998</v>
      </c>
      <c r="D43" s="38">
        <f>SUM(D38:D40,D27:D36,D9:D25)+D41+D42</f>
        <v>4.6189999999999998</v>
      </c>
      <c r="E43" s="38">
        <f>SUM(E38:E40,E27:E36,E9:E25)+E41+E42</f>
        <v>2.66</v>
      </c>
      <c r="F43" s="38">
        <f>SUM(F38:F40,F27:F36,F9:F25)+F41+F42</f>
        <v>3.07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40" workbookViewId="0">
      <selection activeCell="F50" sqref="F50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(Форма)'!CP10&amp;", "&amp;'Управителю (Форма)'!CP11</f>
        <v>пров. Д. Самоквасова, 2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(Форма)'!CP13</f>
        <v>3.6999999999999998E-2</v>
      </c>
      <c r="D9" s="46">
        <f>C9</f>
        <v>3.6999999999999998E-2</v>
      </c>
      <c r="E9" s="46">
        <f>C9</f>
        <v>3.6999999999999998E-2</v>
      </c>
      <c r="F9" s="46">
        <f>C9</f>
        <v>3.6999999999999998E-2</v>
      </c>
    </row>
    <row r="10" spans="1:6" ht="18.75">
      <c r="A10" s="45" t="s">
        <v>9</v>
      </c>
      <c r="B10" s="21" t="s">
        <v>10</v>
      </c>
      <c r="C10" s="46">
        <f>'Управителю (Форма)'!CP14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(Форма)'!CP15</f>
        <v>0.53400000000000003</v>
      </c>
      <c r="D11" s="46">
        <f t="shared" si="0"/>
        <v>0.53400000000000003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(Форма)'!CP16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(Форма)'!CP19</f>
        <v>0.105</v>
      </c>
      <c r="D15" s="161">
        <f t="shared" si="0"/>
        <v>0.105</v>
      </c>
      <c r="E15" s="161">
        <f t="shared" si="2"/>
        <v>0.105</v>
      </c>
      <c r="F15" s="161">
        <f t="shared" si="1"/>
        <v>0.105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(Форма)'!CP26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(Форма)'!CP27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(Форма)'!CP28</f>
        <v>0.192</v>
      </c>
      <c r="D24" s="46">
        <f t="shared" si="0"/>
        <v>0.192</v>
      </c>
      <c r="E24" s="46">
        <f t="shared" si="2"/>
        <v>0.192</v>
      </c>
      <c r="F24" s="46">
        <f t="shared" si="1"/>
        <v>0.192</v>
      </c>
    </row>
    <row r="25" spans="1:6" ht="75">
      <c r="A25" s="45" t="s">
        <v>33</v>
      </c>
      <c r="B25" s="21" t="s">
        <v>34</v>
      </c>
      <c r="C25" s="46">
        <f>'Управителю (Форма)'!CP29</f>
        <v>3.1E-2</v>
      </c>
      <c r="D25" s="46">
        <f t="shared" si="0"/>
        <v>3.1E-2</v>
      </c>
      <c r="E25" s="46">
        <f t="shared" si="2"/>
        <v>3.1E-2</v>
      </c>
      <c r="F25" s="46">
        <f t="shared" si="1"/>
        <v>3.1E-2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(Форма)'!CP31</f>
        <v>0</v>
      </c>
      <c r="D27" s="46">
        <f t="shared" ref="D27:D36" si="3">C27</f>
        <v>0</v>
      </c>
      <c r="E27" s="46">
        <f t="shared" ref="E27:E36" si="4">C27</f>
        <v>0</v>
      </c>
      <c r="F27" s="46">
        <f t="shared" ref="F27:F36" si="5">C27</f>
        <v>0</v>
      </c>
    </row>
    <row r="28" spans="1:6" ht="18.75">
      <c r="A28" s="155" t="s">
        <v>39</v>
      </c>
      <c r="B28" s="35" t="s">
        <v>40</v>
      </c>
      <c r="C28" s="156">
        <f>'Управителю (Форма)'!CP32</f>
        <v>0.40699999999999997</v>
      </c>
      <c r="D28" s="156">
        <f t="shared" si="3"/>
        <v>0.40699999999999997</v>
      </c>
      <c r="E28" s="156">
        <f t="shared" si="4"/>
        <v>0.40699999999999997</v>
      </c>
      <c r="F28" s="156">
        <f t="shared" si="5"/>
        <v>0.40699999999999997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(Форма)'!CP42</f>
        <v>0</v>
      </c>
      <c r="D38" s="46">
        <f>C38</f>
        <v>0</v>
      </c>
      <c r="E38" s="46">
        <f>C38</f>
        <v>0</v>
      </c>
      <c r="F38" s="46">
        <f>C38</f>
        <v>0</v>
      </c>
    </row>
    <row r="39" spans="1:6" ht="37.5">
      <c r="A39" s="45" t="s">
        <v>49</v>
      </c>
      <c r="B39" s="20" t="s">
        <v>50</v>
      </c>
      <c r="C39" s="46">
        <f>'Управителю (Форма)'!CP43</f>
        <v>0.97799999999999998</v>
      </c>
      <c r="D39" s="46">
        <f>C39</f>
        <v>0.97799999999999998</v>
      </c>
      <c r="E39" s="46">
        <f>C39</f>
        <v>0.97799999999999998</v>
      </c>
      <c r="F39" s="46">
        <f>C39</f>
        <v>0.97799999999999998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0.38800000000000001</v>
      </c>
      <c r="D41" s="39">
        <f>SUM(D38:D40,D27:D36,D9:D25)*('Управителю (Форма)'!$D$7-1)</f>
        <v>0.38800000000000001</v>
      </c>
      <c r="E41" s="39">
        <f>SUM(E38:E40,E27:E36,E9:E25)*('Управителю (Форма)'!$D$7-1)</f>
        <v>0.29799999999999999</v>
      </c>
      <c r="F41" s="39">
        <f>SUM(F38:F40,F27:F36,F9:F25)*('Управителю (Форма)'!$D$7-1)</f>
        <v>0.29799999999999999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0.53400000000000003</v>
      </c>
      <c r="D42" s="40">
        <f>SUM(D38:D41,D27:D36,D9:D25)*0.2</f>
        <v>0.53400000000000003</v>
      </c>
      <c r="E42" s="40">
        <f>SUM(E38:E41,E27:E36,E9:E25)*0.2</f>
        <v>0.41</v>
      </c>
      <c r="F42" s="40">
        <f>SUM(F38:F41,F27:F36,F9:F25)*0.2</f>
        <v>0.41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3.206</v>
      </c>
      <c r="D43" s="38">
        <f>SUM(D38:D40,D27:D36,D9:D25)+D41+D42</f>
        <v>3.206</v>
      </c>
      <c r="E43" s="38">
        <f>SUM(E38:E40,E27:E36,E9:E25)+E41+E42</f>
        <v>2.4580000000000002</v>
      </c>
      <c r="F43" s="38">
        <f>SUM(F38:F40,F27:F36,F9:F25)+F41+F42</f>
        <v>2.4580000000000002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40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(Форма)'!AW10&amp;", "&amp;'Управителю (Форма)'!AW11</f>
        <v>вул. Текстильникiв, 11а</v>
      </c>
      <c r="B4" s="167"/>
      <c r="C4" s="167"/>
      <c r="D4" s="167"/>
      <c r="E4" s="167"/>
      <c r="F4" s="167"/>
    </row>
    <row r="5" spans="1:6" ht="19.5" thickBot="1">
      <c r="A5" s="4"/>
    </row>
    <row r="6" spans="1:6" ht="32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(Форма)'!AW13</f>
        <v>0.52400000000000002</v>
      </c>
      <c r="D9" s="46">
        <f>C9</f>
        <v>0.52400000000000002</v>
      </c>
      <c r="E9" s="46">
        <f>C9</f>
        <v>0.52400000000000002</v>
      </c>
      <c r="F9" s="46">
        <f>C9</f>
        <v>0.52400000000000002</v>
      </c>
    </row>
    <row r="10" spans="1:6" ht="18.75">
      <c r="A10" s="45" t="s">
        <v>9</v>
      </c>
      <c r="B10" s="21" t="s">
        <v>10</v>
      </c>
      <c r="C10" s="46">
        <f>'Управителю (Форма)'!AW14</f>
        <v>0.30299999999999999</v>
      </c>
      <c r="D10" s="46">
        <f t="shared" ref="D10:D25" si="0">C10</f>
        <v>0.30299999999999999</v>
      </c>
      <c r="E10" s="46"/>
      <c r="F10" s="46">
        <f t="shared" ref="F10:F25" si="1">C10</f>
        <v>0.30299999999999999</v>
      </c>
    </row>
    <row r="11" spans="1:6" ht="37.5">
      <c r="A11" s="45" t="s">
        <v>11</v>
      </c>
      <c r="B11" s="21" t="s">
        <v>12</v>
      </c>
      <c r="C11" s="46">
        <f>'Управителю (Форма)'!AW15</f>
        <v>0.49199999999999999</v>
      </c>
      <c r="D11" s="46">
        <f t="shared" si="0"/>
        <v>0.49199999999999999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(Форма)'!AW16</f>
        <v>1.0999999999999999E-2</v>
      </c>
      <c r="D12" s="46">
        <f t="shared" si="0"/>
        <v>1.0999999999999999E-2</v>
      </c>
      <c r="E12" s="46">
        <f t="shared" ref="E12:E25" si="2">C12</f>
        <v>1.0999999999999999E-2</v>
      </c>
      <c r="F12" s="46">
        <f t="shared" si="1"/>
        <v>1.0999999999999999E-2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(Форма)'!AW17</f>
        <v>0.57999999999999996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(Форма)'!AW18</f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(Форма)'!AW19</f>
        <v>0.38900000000000001</v>
      </c>
      <c r="D15" s="161">
        <f t="shared" si="0"/>
        <v>0.38900000000000001</v>
      </c>
      <c r="E15" s="161">
        <f t="shared" si="2"/>
        <v>0.38900000000000001</v>
      </c>
      <c r="F15" s="161">
        <f t="shared" si="1"/>
        <v>0.38900000000000001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(Форма)'!AW26</f>
        <v>1.6E-2</v>
      </c>
      <c r="D22" s="46">
        <f t="shared" si="0"/>
        <v>1.6E-2</v>
      </c>
      <c r="E22" s="46">
        <f t="shared" si="2"/>
        <v>1.6E-2</v>
      </c>
      <c r="F22" s="46">
        <f t="shared" si="1"/>
        <v>1.6E-2</v>
      </c>
    </row>
    <row r="23" spans="1:6" ht="18.75">
      <c r="A23" s="45" t="s">
        <v>29</v>
      </c>
      <c r="B23" s="21" t="s">
        <v>30</v>
      </c>
      <c r="C23" s="46">
        <f>'Управителю (Форма)'!AW27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(Форма)'!AW28</f>
        <v>2.3E-2</v>
      </c>
      <c r="D24" s="46">
        <f t="shared" si="0"/>
        <v>2.3E-2</v>
      </c>
      <c r="E24" s="46">
        <f t="shared" si="2"/>
        <v>2.3E-2</v>
      </c>
      <c r="F24" s="46">
        <f t="shared" si="1"/>
        <v>2.3E-2</v>
      </c>
    </row>
    <row r="25" spans="1:6" ht="75">
      <c r="A25" s="45" t="s">
        <v>33</v>
      </c>
      <c r="B25" s="21" t="s">
        <v>34</v>
      </c>
      <c r="C25" s="46">
        <f>'Управителю (Форма)'!AW29</f>
        <v>4.5999999999999999E-2</v>
      </c>
      <c r="D25" s="46">
        <f t="shared" si="0"/>
        <v>4.5999999999999999E-2</v>
      </c>
      <c r="E25" s="46">
        <f t="shared" si="2"/>
        <v>4.5999999999999999E-2</v>
      </c>
      <c r="F25" s="46">
        <f t="shared" si="1"/>
        <v>4.5999999999999999E-2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(Форма)'!AW31</f>
        <v>1.0999999999999999E-2</v>
      </c>
      <c r="D27" s="46">
        <f t="shared" ref="D27:D36" si="3">C27</f>
        <v>1.0999999999999999E-2</v>
      </c>
      <c r="E27" s="46">
        <f t="shared" ref="E27:E36" si="4">C27</f>
        <v>1.0999999999999999E-2</v>
      </c>
      <c r="F27" s="46">
        <f t="shared" ref="F27:F36" si="5">C27</f>
        <v>1.0999999999999999E-2</v>
      </c>
    </row>
    <row r="28" spans="1:6" ht="18.75">
      <c r="A28" s="155" t="s">
        <v>39</v>
      </c>
      <c r="B28" s="35" t="s">
        <v>40</v>
      </c>
      <c r="C28" s="156">
        <f>'Управителю (Форма)'!AW32</f>
        <v>0.48899999999999999</v>
      </c>
      <c r="D28" s="156">
        <f t="shared" si="3"/>
        <v>0.48899999999999999</v>
      </c>
      <c r="E28" s="156">
        <f t="shared" si="4"/>
        <v>0.48899999999999999</v>
      </c>
      <c r="F28" s="156">
        <f t="shared" si="5"/>
        <v>0.48899999999999999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(Форма)'!AW42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(Форма)'!AW43</f>
        <v>0.23400000000000001</v>
      </c>
      <c r="D39" s="46">
        <f>C39</f>
        <v>0.23400000000000001</v>
      </c>
      <c r="E39" s="46">
        <f>C39</f>
        <v>0.23400000000000001</v>
      </c>
      <c r="F39" s="46">
        <f>C39</f>
        <v>0.23400000000000001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(Форма)'!AW44</f>
        <v>0.22600000000000001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0.432</v>
      </c>
      <c r="D41" s="39">
        <f>SUM(D38:D40,D27:D36,D9:D25)*('Управителю (Форма)'!$D$7-1)</f>
        <v>0.56899999999999995</v>
      </c>
      <c r="E41" s="39">
        <f>SUM(E38:E40,E27:E36,E9:E25)*('Управителю (Форма)'!$D$7-1)</f>
        <v>0.29699999999999999</v>
      </c>
      <c r="F41" s="39">
        <f>SUM(F38:F40,F27:F36,F9:F25)*('Управителю (Форма)'!$D$7-1)</f>
        <v>0.34799999999999998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0.59399999999999997</v>
      </c>
      <c r="D42" s="40">
        <f>SUM(D38:D41,D27:D36,D9:D25)*0.2</f>
        <v>0.78300000000000003</v>
      </c>
      <c r="E42" s="40">
        <f>SUM(E38:E41,E27:E36,E9:E25)*0.2</f>
        <v>0.40799999999999997</v>
      </c>
      <c r="F42" s="40">
        <f>SUM(F38:F41,F27:F36,F9:F25)*0.2</f>
        <v>0.47899999999999998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3.5659999999999998</v>
      </c>
      <c r="D43" s="38">
        <f>SUM(D38:D40,D27:D36,D9:D25)+D41+D42</f>
        <v>4.6980000000000004</v>
      </c>
      <c r="E43" s="38">
        <f>SUM(E38:E40,E27:E36,E9:E25)+E41+E42</f>
        <v>2.4500000000000002</v>
      </c>
      <c r="F43" s="38">
        <f>SUM(F38:F40,F27:F36,F9:F25)+F41+F42</f>
        <v>2.875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(Форма)'!AV10&amp;", "&amp;'Управителю (Форма)'!AV11</f>
        <v>вул. Попова, 31в</v>
      </c>
      <c r="B4" s="167"/>
      <c r="C4" s="167"/>
      <c r="D4" s="167"/>
      <c r="E4" s="167"/>
      <c r="F4" s="167"/>
    </row>
    <row r="5" spans="1:6" ht="19.5" thickBot="1">
      <c r="A5" s="4"/>
    </row>
    <row r="6" spans="1:6" ht="36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(Форма)'!AV13</f>
        <v>0.26600000000000001</v>
      </c>
      <c r="D9" s="46">
        <f>C9</f>
        <v>0.26600000000000001</v>
      </c>
      <c r="E9" s="46">
        <f>C9</f>
        <v>0.26600000000000001</v>
      </c>
      <c r="F9" s="46">
        <f>C9</f>
        <v>0.26600000000000001</v>
      </c>
    </row>
    <row r="10" spans="1:6" ht="18.75">
      <c r="A10" s="45" t="s">
        <v>9</v>
      </c>
      <c r="B10" s="21" t="s">
        <v>10</v>
      </c>
      <c r="C10" s="46">
        <f>'Управителю (Форма)'!AV14</f>
        <v>0.219</v>
      </c>
      <c r="D10" s="46">
        <f t="shared" ref="D10:D25" si="0">C10</f>
        <v>0.219</v>
      </c>
      <c r="E10" s="46"/>
      <c r="F10" s="46">
        <f t="shared" ref="F10:F25" si="1">C10</f>
        <v>0.219</v>
      </c>
    </row>
    <row r="11" spans="1:6" ht="37.5">
      <c r="A11" s="45" t="s">
        <v>11</v>
      </c>
      <c r="B11" s="21" t="s">
        <v>12</v>
      </c>
      <c r="C11" s="46">
        <f>'Управителю (Форма)'!AV15</f>
        <v>0.24299999999999999</v>
      </c>
      <c r="D11" s="46">
        <f t="shared" si="0"/>
        <v>0.24299999999999999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(Форма)'!AV16</f>
        <v>5.0000000000000001E-3</v>
      </c>
      <c r="D12" s="46">
        <f t="shared" si="0"/>
        <v>5.0000000000000001E-3</v>
      </c>
      <c r="E12" s="46">
        <f t="shared" ref="E12:E25" si="2">C12</f>
        <v>5.0000000000000001E-3</v>
      </c>
      <c r="F12" s="46">
        <f t="shared" si="1"/>
        <v>5.0000000000000001E-3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(Форма)'!AV17</f>
        <v>0.222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(Форма)'!AV18</f>
        <v>2.8000000000000001E-2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(Форма)'!AV19</f>
        <v>0.26400000000000001</v>
      </c>
      <c r="D15" s="161">
        <f t="shared" si="0"/>
        <v>0.26400000000000001</v>
      </c>
      <c r="E15" s="161">
        <f t="shared" si="2"/>
        <v>0.26400000000000001</v>
      </c>
      <c r="F15" s="161">
        <f t="shared" si="1"/>
        <v>0.26400000000000001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(Форма)'!AV26</f>
        <v>4.0000000000000001E-3</v>
      </c>
      <c r="D22" s="46">
        <f t="shared" si="0"/>
        <v>4.0000000000000001E-3</v>
      </c>
      <c r="E22" s="46">
        <f t="shared" si="2"/>
        <v>4.0000000000000001E-3</v>
      </c>
      <c r="F22" s="46">
        <f t="shared" si="1"/>
        <v>4.0000000000000001E-3</v>
      </c>
    </row>
    <row r="23" spans="1:6" ht="18.75">
      <c r="A23" s="45" t="s">
        <v>29</v>
      </c>
      <c r="B23" s="21" t="s">
        <v>30</v>
      </c>
      <c r="C23" s="46">
        <f>'Управителю (Форма)'!AV27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(Форма)'!AV28</f>
        <v>3.4000000000000002E-2</v>
      </c>
      <c r="D24" s="46">
        <f t="shared" si="0"/>
        <v>3.4000000000000002E-2</v>
      </c>
      <c r="E24" s="46">
        <f t="shared" si="2"/>
        <v>3.4000000000000002E-2</v>
      </c>
      <c r="F24" s="46">
        <f t="shared" si="1"/>
        <v>3.4000000000000002E-2</v>
      </c>
    </row>
    <row r="25" spans="1:6" ht="75">
      <c r="A25" s="45" t="s">
        <v>33</v>
      </c>
      <c r="B25" s="21" t="s">
        <v>34</v>
      </c>
      <c r="C25" s="46">
        <f>'Управителю (Форма)'!AV29</f>
        <v>5.5E-2</v>
      </c>
      <c r="D25" s="46">
        <f t="shared" si="0"/>
        <v>5.5E-2</v>
      </c>
      <c r="E25" s="46">
        <f t="shared" si="2"/>
        <v>5.5E-2</v>
      </c>
      <c r="F25" s="46">
        <f t="shared" si="1"/>
        <v>5.5E-2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(Форма)'!AV31</f>
        <v>2.3E-2</v>
      </c>
      <c r="D27" s="46">
        <f t="shared" ref="D27:D36" si="3">C27</f>
        <v>2.3E-2</v>
      </c>
      <c r="E27" s="46">
        <f t="shared" ref="E27:E36" si="4">C27</f>
        <v>2.3E-2</v>
      </c>
      <c r="F27" s="46">
        <f t="shared" ref="F27:F36" si="5">C27</f>
        <v>2.3E-2</v>
      </c>
    </row>
    <row r="28" spans="1:6" ht="18.75">
      <c r="A28" s="155" t="s">
        <v>39</v>
      </c>
      <c r="B28" s="35" t="s">
        <v>40</v>
      </c>
      <c r="C28" s="156">
        <f>'Управителю (Форма)'!AV32</f>
        <v>0.39900000000000002</v>
      </c>
      <c r="D28" s="156">
        <f t="shared" si="3"/>
        <v>0.39900000000000002</v>
      </c>
      <c r="E28" s="156">
        <f t="shared" si="4"/>
        <v>0.39900000000000002</v>
      </c>
      <c r="F28" s="156">
        <f t="shared" si="5"/>
        <v>0.39900000000000002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(Форма)'!AV42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(Форма)'!AV43</f>
        <v>0.3</v>
      </c>
      <c r="D39" s="46">
        <f>C39</f>
        <v>0.3</v>
      </c>
      <c r="E39" s="46">
        <f>C39</f>
        <v>0.3</v>
      </c>
      <c r="F39" s="46">
        <f>C39</f>
        <v>0.3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(Форма)'!AV44</f>
        <v>0.32300000000000001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0.308</v>
      </c>
      <c r="D41" s="39">
        <f>SUM(D38:D40,D27:D36,D9:D25)*('Управителю (Форма)'!$D$7-1)</f>
        <v>0.40600000000000003</v>
      </c>
      <c r="E41" s="39">
        <f>SUM(E38:E40,E27:E36,E9:E25)*('Управителю (Форма)'!$D$7-1)</f>
        <v>0.23</v>
      </c>
      <c r="F41" s="39">
        <f>SUM(F38:F40,F27:F36,F9:F25)*('Управителю (Форма)'!$D$7-1)</f>
        <v>0.26700000000000002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0.42399999999999999</v>
      </c>
      <c r="D42" s="40">
        <f>SUM(D38:D41,D27:D36,D9:D25)*0.2</f>
        <v>0.55800000000000005</v>
      </c>
      <c r="E42" s="40">
        <f>SUM(E38:E41,E27:E36,E9:E25)*0.2</f>
        <v>0.316</v>
      </c>
      <c r="F42" s="40">
        <f>SUM(F38:F41,F27:F36,F9:F25)*0.2</f>
        <v>0.36699999999999999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2.5449999999999999</v>
      </c>
      <c r="D43" s="38">
        <f>SUM(D38:D40,D27:D36,D9:D25)+D41+D42</f>
        <v>3.35</v>
      </c>
      <c r="E43" s="38">
        <f>SUM(E38:E40,E27:E36,E9:E25)+E41+E42</f>
        <v>1.897</v>
      </c>
      <c r="F43" s="38">
        <f>SUM(F38:F40,F27:F36,F9:F25)+F41+F42</f>
        <v>2.2040000000000002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(Форма)'!AU10&amp;", "&amp;'Управителю (Форма)'!AU11</f>
        <v>вул. Попова, 31б</v>
      </c>
      <c r="B4" s="167"/>
      <c r="C4" s="167"/>
      <c r="D4" s="167"/>
      <c r="E4" s="167"/>
      <c r="F4" s="167"/>
    </row>
    <row r="5" spans="1:6" ht="19.5" thickBot="1">
      <c r="A5" s="4"/>
    </row>
    <row r="6" spans="1:6" ht="37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(Форма)'!AU13</f>
        <v>0.25</v>
      </c>
      <c r="D9" s="46">
        <f>C9</f>
        <v>0.25</v>
      </c>
      <c r="E9" s="46">
        <f>C9</f>
        <v>0.25</v>
      </c>
      <c r="F9" s="46">
        <f>C9</f>
        <v>0.25</v>
      </c>
    </row>
    <row r="10" spans="1:6" ht="18.75">
      <c r="A10" s="45" t="s">
        <v>9</v>
      </c>
      <c r="B10" s="21" t="s">
        <v>10</v>
      </c>
      <c r="C10" s="46">
        <f>'Управителю (Форма)'!AU14</f>
        <v>0.23699999999999999</v>
      </c>
      <c r="D10" s="46">
        <f t="shared" ref="D10:D25" si="0">C10</f>
        <v>0.23699999999999999</v>
      </c>
      <c r="E10" s="46"/>
      <c r="F10" s="46">
        <f t="shared" ref="F10:F25" si="1">C10</f>
        <v>0.23699999999999999</v>
      </c>
    </row>
    <row r="11" spans="1:6" ht="37.5">
      <c r="A11" s="45" t="s">
        <v>11</v>
      </c>
      <c r="B11" s="21" t="s">
        <v>12</v>
      </c>
      <c r="C11" s="46">
        <f>'Управителю (Форма)'!AU15</f>
        <v>0.24299999999999999</v>
      </c>
      <c r="D11" s="46">
        <f t="shared" si="0"/>
        <v>0.24299999999999999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(Форма)'!AU16</f>
        <v>6.0000000000000001E-3</v>
      </c>
      <c r="D12" s="46">
        <f t="shared" si="0"/>
        <v>6.0000000000000001E-3</v>
      </c>
      <c r="E12" s="46">
        <f t="shared" ref="E12:E25" si="2">C12</f>
        <v>6.0000000000000001E-3</v>
      </c>
      <c r="F12" s="46">
        <f t="shared" si="1"/>
        <v>6.0000000000000001E-3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(Форма)'!AU17</f>
        <v>0.255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(Форма)'!AU18</f>
        <v>3.2000000000000001E-2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(Форма)'!AU19</f>
        <v>0.31</v>
      </c>
      <c r="D15" s="161">
        <f t="shared" si="0"/>
        <v>0.31</v>
      </c>
      <c r="E15" s="161">
        <f t="shared" si="2"/>
        <v>0.31</v>
      </c>
      <c r="F15" s="161">
        <f t="shared" si="1"/>
        <v>0.31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(Форма)'!AU26</f>
        <v>5.0000000000000001E-3</v>
      </c>
      <c r="D22" s="46">
        <f t="shared" si="0"/>
        <v>5.0000000000000001E-3</v>
      </c>
      <c r="E22" s="46">
        <f t="shared" si="2"/>
        <v>5.0000000000000001E-3</v>
      </c>
      <c r="F22" s="46">
        <f t="shared" si="1"/>
        <v>5.0000000000000001E-3</v>
      </c>
    </row>
    <row r="23" spans="1:6" ht="18.75">
      <c r="A23" s="45" t="s">
        <v>29</v>
      </c>
      <c r="B23" s="21" t="s">
        <v>30</v>
      </c>
      <c r="C23" s="46">
        <f>'Управителю (Форма)'!AU27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(Форма)'!AU28</f>
        <v>3.7999999999999999E-2</v>
      </c>
      <c r="D24" s="46">
        <f t="shared" si="0"/>
        <v>3.7999999999999999E-2</v>
      </c>
      <c r="E24" s="46">
        <f t="shared" si="2"/>
        <v>3.7999999999999999E-2</v>
      </c>
      <c r="F24" s="46">
        <f t="shared" si="1"/>
        <v>3.7999999999999999E-2</v>
      </c>
    </row>
    <row r="25" spans="1:6" ht="75">
      <c r="A25" s="45" t="s">
        <v>33</v>
      </c>
      <c r="B25" s="21" t="s">
        <v>34</v>
      </c>
      <c r="C25" s="46">
        <f>'Управителю (Форма)'!AU29</f>
        <v>4.7E-2</v>
      </c>
      <c r="D25" s="46">
        <f t="shared" si="0"/>
        <v>4.7E-2</v>
      </c>
      <c r="E25" s="46">
        <f t="shared" si="2"/>
        <v>4.7E-2</v>
      </c>
      <c r="F25" s="46">
        <f t="shared" si="1"/>
        <v>4.7E-2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(Форма)'!AU31</f>
        <v>2.7E-2</v>
      </c>
      <c r="D27" s="46">
        <f t="shared" ref="D27:D36" si="3">C27</f>
        <v>2.7E-2</v>
      </c>
      <c r="E27" s="46">
        <f t="shared" ref="E27:E36" si="4">C27</f>
        <v>2.7E-2</v>
      </c>
      <c r="F27" s="46">
        <f t="shared" ref="F27:F36" si="5">C27</f>
        <v>2.7E-2</v>
      </c>
    </row>
    <row r="28" spans="1:6" ht="18.75">
      <c r="A28" s="155" t="s">
        <v>39</v>
      </c>
      <c r="B28" s="35" t="s">
        <v>40</v>
      </c>
      <c r="C28" s="156">
        <f>'Управителю (Форма)'!AU32</f>
        <v>0.40699999999999997</v>
      </c>
      <c r="D28" s="156">
        <f t="shared" si="3"/>
        <v>0.40699999999999997</v>
      </c>
      <c r="E28" s="156">
        <f t="shared" si="4"/>
        <v>0.40699999999999997</v>
      </c>
      <c r="F28" s="156">
        <f t="shared" si="5"/>
        <v>0.40699999999999997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(Форма)'!AU42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(Форма)'!AU43</f>
        <v>0.17599999999999999</v>
      </c>
      <c r="D39" s="46">
        <f>C39</f>
        <v>0.17599999999999999</v>
      </c>
      <c r="E39" s="46">
        <f>C39</f>
        <v>0.17599999999999999</v>
      </c>
      <c r="F39" s="46">
        <f>C39</f>
        <v>0.17599999999999999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(Форма)'!AU44</f>
        <v>0.29799999999999999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0.29699999999999999</v>
      </c>
      <c r="D41" s="39">
        <f>SUM(D38:D40,D27:D36,D9:D25)*('Управителю (Форма)'!$D$7-1)</f>
        <v>0.39600000000000002</v>
      </c>
      <c r="E41" s="39">
        <f>SUM(E38:E40,E27:E36,E9:E25)*('Управителю (Форма)'!$D$7-1)</f>
        <v>0.215</v>
      </c>
      <c r="F41" s="39">
        <f>SUM(F38:F40,F27:F36,F9:F25)*('Управителю (Форма)'!$D$7-1)</f>
        <v>0.25600000000000001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0.40899999999999997</v>
      </c>
      <c r="D42" s="40">
        <f>SUM(D38:D41,D27:D36,D9:D25)*0.2</f>
        <v>0.54600000000000004</v>
      </c>
      <c r="E42" s="40">
        <f>SUM(E38:E41,E27:E36,E9:E25)*0.2</f>
        <v>0.29599999999999999</v>
      </c>
      <c r="F42" s="40">
        <f>SUM(F38:F41,F27:F36,F9:F25)*0.2</f>
        <v>0.35199999999999998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2.4529999999999998</v>
      </c>
      <c r="D43" s="38">
        <f>SUM(D38:D40,D27:D36,D9:D25)+D41+D42</f>
        <v>3.274</v>
      </c>
      <c r="E43" s="38">
        <f>SUM(E38:E40,E27:E36,E9:E25)+E41+E42</f>
        <v>1.778</v>
      </c>
      <c r="F43" s="38">
        <f>SUM(F38:F40,F27:F36,F9:F25)+F41+F42</f>
        <v>2.1120000000000001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28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(Форма)'!AT10&amp;", "&amp;'Управителю (Форма)'!AT11</f>
        <v>вул. Попова, 31a</v>
      </c>
      <c r="B4" s="167"/>
      <c r="C4" s="167"/>
      <c r="D4" s="167"/>
      <c r="E4" s="167"/>
      <c r="F4" s="167"/>
    </row>
    <row r="5" spans="1:6" ht="19.5" thickBot="1">
      <c r="A5" s="4"/>
    </row>
    <row r="6" spans="1:6" ht="35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(Форма)'!AT13</f>
        <v>0.24</v>
      </c>
      <c r="D9" s="46">
        <f>C9</f>
        <v>0.24</v>
      </c>
      <c r="E9" s="46">
        <f>C9</f>
        <v>0.24</v>
      </c>
      <c r="F9" s="46">
        <f>C9</f>
        <v>0.24</v>
      </c>
    </row>
    <row r="10" spans="1:6" ht="18.75">
      <c r="A10" s="45" t="s">
        <v>9</v>
      </c>
      <c r="B10" s="21" t="s">
        <v>10</v>
      </c>
      <c r="C10" s="46">
        <f>'Управителю (Форма)'!AT14</f>
        <v>0.214</v>
      </c>
      <c r="D10" s="46">
        <f t="shared" ref="D10:D25" si="0">C10</f>
        <v>0.214</v>
      </c>
      <c r="E10" s="46"/>
      <c r="F10" s="46">
        <f t="shared" ref="F10:F25" si="1">C10</f>
        <v>0.214</v>
      </c>
    </row>
    <row r="11" spans="1:6" ht="37.5">
      <c r="A11" s="45" t="s">
        <v>11</v>
      </c>
      <c r="B11" s="21" t="s">
        <v>12</v>
      </c>
      <c r="C11" s="46">
        <f>'Управителю (Форма)'!AT15</f>
        <v>0.24299999999999999</v>
      </c>
      <c r="D11" s="46">
        <f t="shared" si="0"/>
        <v>0.24299999999999999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(Форма)'!AT16</f>
        <v>6.0000000000000001E-3</v>
      </c>
      <c r="D12" s="46">
        <f t="shared" si="0"/>
        <v>6.0000000000000001E-3</v>
      </c>
      <c r="E12" s="46">
        <f t="shared" ref="E12:E25" si="2">C12</f>
        <v>6.0000000000000001E-3</v>
      </c>
      <c r="F12" s="46">
        <f t="shared" si="1"/>
        <v>6.0000000000000001E-3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(Форма)'!AT17</f>
        <v>0.191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(Форма)'!AT18</f>
        <v>2.8000000000000001E-2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(Форма)'!AT19</f>
        <v>0.28899999999999998</v>
      </c>
      <c r="D15" s="161">
        <f t="shared" si="0"/>
        <v>0.28899999999999998</v>
      </c>
      <c r="E15" s="161">
        <f t="shared" si="2"/>
        <v>0.28899999999999998</v>
      </c>
      <c r="F15" s="161">
        <f t="shared" si="1"/>
        <v>0.28899999999999998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(Форма)'!AT26</f>
        <v>5.0000000000000001E-3</v>
      </c>
      <c r="D22" s="46">
        <f t="shared" si="0"/>
        <v>5.0000000000000001E-3</v>
      </c>
      <c r="E22" s="46">
        <f t="shared" si="2"/>
        <v>5.0000000000000001E-3</v>
      </c>
      <c r="F22" s="46">
        <f t="shared" si="1"/>
        <v>5.0000000000000001E-3</v>
      </c>
    </row>
    <row r="23" spans="1:6" ht="18.75">
      <c r="A23" s="45" t="s">
        <v>29</v>
      </c>
      <c r="B23" s="21" t="s">
        <v>30</v>
      </c>
      <c r="C23" s="46">
        <f>'Управителю (Форма)'!AT27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(Форма)'!AT28</f>
        <v>3.5999999999999997E-2</v>
      </c>
      <c r="D24" s="46">
        <f t="shared" si="0"/>
        <v>3.5999999999999997E-2</v>
      </c>
      <c r="E24" s="46">
        <f t="shared" si="2"/>
        <v>3.5999999999999997E-2</v>
      </c>
      <c r="F24" s="46">
        <f t="shared" si="1"/>
        <v>3.5999999999999997E-2</v>
      </c>
    </row>
    <row r="25" spans="1:6" ht="75">
      <c r="A25" s="45" t="s">
        <v>33</v>
      </c>
      <c r="B25" s="21" t="s">
        <v>34</v>
      </c>
      <c r="C25" s="46">
        <f>'Управителю (Форма)'!AT29</f>
        <v>4.8000000000000001E-2</v>
      </c>
      <c r="D25" s="46">
        <f t="shared" si="0"/>
        <v>4.8000000000000001E-2</v>
      </c>
      <c r="E25" s="46">
        <f t="shared" si="2"/>
        <v>4.8000000000000001E-2</v>
      </c>
      <c r="F25" s="46">
        <f t="shared" si="1"/>
        <v>4.8000000000000001E-2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(Форма)'!AT31</f>
        <v>2.5000000000000001E-2</v>
      </c>
      <c r="D27" s="46">
        <f t="shared" ref="D27:D36" si="3">C27</f>
        <v>2.5000000000000001E-2</v>
      </c>
      <c r="E27" s="46">
        <f t="shared" ref="E27:E36" si="4">C27</f>
        <v>2.5000000000000001E-2</v>
      </c>
      <c r="F27" s="46">
        <f t="shared" ref="F27:F36" si="5">C27</f>
        <v>2.5000000000000001E-2</v>
      </c>
    </row>
    <row r="28" spans="1:6" ht="18.75">
      <c r="A28" s="155" t="s">
        <v>39</v>
      </c>
      <c r="B28" s="35" t="s">
        <v>40</v>
      </c>
      <c r="C28" s="156">
        <f>'Управителю (Форма)'!AT32</f>
        <v>0.36699999999999999</v>
      </c>
      <c r="D28" s="156">
        <f t="shared" si="3"/>
        <v>0.36699999999999999</v>
      </c>
      <c r="E28" s="156">
        <f t="shared" si="4"/>
        <v>0.36699999999999999</v>
      </c>
      <c r="F28" s="156">
        <f t="shared" si="5"/>
        <v>0.36699999999999999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(Форма)'!AT42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(Форма)'!AT43</f>
        <v>0.33800000000000002</v>
      </c>
      <c r="D39" s="46">
        <f>C39</f>
        <v>0.33800000000000002</v>
      </c>
      <c r="E39" s="46">
        <f>C39</f>
        <v>0.33800000000000002</v>
      </c>
      <c r="F39" s="46">
        <f>C39</f>
        <v>0.33800000000000002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(Форма)'!AT44</f>
        <v>0.33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0.308</v>
      </c>
      <c r="D41" s="39">
        <f>SUM(D38:D40,D27:D36,D9:D25)*('Управителю (Форма)'!$D$7-1)</f>
        <v>0.40100000000000002</v>
      </c>
      <c r="E41" s="39">
        <f>SUM(E38:E40,E27:E36,E9:E25)*('Управителю (Форма)'!$D$7-1)</f>
        <v>0.23</v>
      </c>
      <c r="F41" s="39">
        <f>SUM(F38:F40,F27:F36,F9:F25)*('Управителю (Форма)'!$D$7-1)</f>
        <v>0.26700000000000002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0.42399999999999999</v>
      </c>
      <c r="D42" s="40">
        <f>SUM(D38:D41,D27:D36,D9:D25)*0.2</f>
        <v>0.55200000000000005</v>
      </c>
      <c r="E42" s="40">
        <f>SUM(E38:E41,E27:E36,E9:E25)*0.2</f>
        <v>0.317</v>
      </c>
      <c r="F42" s="40">
        <f>SUM(F38:F41,F27:F36,F9:F25)*0.2</f>
        <v>0.36699999999999999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2.544</v>
      </c>
      <c r="D43" s="38">
        <f>SUM(D38:D40,D27:D36,D9:D25)+D41+D42</f>
        <v>3.3140000000000001</v>
      </c>
      <c r="E43" s="38">
        <f>SUM(E38:E40,E27:E36,E9:E25)+E41+E42</f>
        <v>1.9019999999999999</v>
      </c>
      <c r="F43" s="38">
        <f>SUM(F38:F40,F27:F36,F9:F25)+F41+F42</f>
        <v>2.2029999999999998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28" workbookViewId="0">
      <selection activeCell="B50" sqref="B50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(Форма)'!AS10&amp;", "&amp;'Управителю (Форма)'!AS11</f>
        <v>вул. Попова, 29а</v>
      </c>
      <c r="B4" s="167"/>
      <c r="C4" s="167"/>
      <c r="D4" s="167"/>
      <c r="E4" s="167"/>
      <c r="F4" s="167"/>
    </row>
    <row r="5" spans="1:6" ht="19.5" thickBot="1">
      <c r="A5" s="4"/>
    </row>
    <row r="6" spans="1:6" ht="39.7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(Форма)'!AS13</f>
        <v>0.48299999999999998</v>
      </c>
      <c r="D9" s="46">
        <f>C9</f>
        <v>0.48299999999999998</v>
      </c>
      <c r="E9" s="46">
        <f>C9</f>
        <v>0.48299999999999998</v>
      </c>
      <c r="F9" s="46">
        <f>C9</f>
        <v>0.48299999999999998</v>
      </c>
    </row>
    <row r="10" spans="1:6" ht="18.75">
      <c r="A10" s="45" t="s">
        <v>9</v>
      </c>
      <c r="B10" s="21" t="s">
        <v>10</v>
      </c>
      <c r="C10" s="46">
        <f>'Управителю (Форма)'!AS14</f>
        <v>0.19700000000000001</v>
      </c>
      <c r="D10" s="46">
        <f t="shared" ref="D10:D25" si="0">C10</f>
        <v>0.19700000000000001</v>
      </c>
      <c r="E10" s="46"/>
      <c r="F10" s="46">
        <f t="shared" ref="F10:F25" si="1">C10</f>
        <v>0.19700000000000001</v>
      </c>
    </row>
    <row r="11" spans="1:6" ht="37.5">
      <c r="A11" s="45" t="s">
        <v>11</v>
      </c>
      <c r="B11" s="21" t="s">
        <v>12</v>
      </c>
      <c r="C11" s="46">
        <f>'Управителю (Форма)'!AS15</f>
        <v>0.436</v>
      </c>
      <c r="D11" s="46">
        <f t="shared" si="0"/>
        <v>0.436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(Форма)'!AS16</f>
        <v>8.9999999999999993E-3</v>
      </c>
      <c r="D12" s="46">
        <f t="shared" si="0"/>
        <v>8.9999999999999993E-3</v>
      </c>
      <c r="E12" s="46">
        <f t="shared" ref="E12:E25" si="2">C12</f>
        <v>8.9999999999999993E-3</v>
      </c>
      <c r="F12" s="46">
        <f t="shared" si="1"/>
        <v>8.9999999999999993E-3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(Форма)'!AS19</f>
        <v>0.312</v>
      </c>
      <c r="D15" s="161">
        <f t="shared" si="0"/>
        <v>0.312</v>
      </c>
      <c r="E15" s="161">
        <f t="shared" si="2"/>
        <v>0.312</v>
      </c>
      <c r="F15" s="161">
        <f t="shared" si="1"/>
        <v>0.312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(Форма)'!AS26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(Форма)'!AS27</f>
        <v>2E-3</v>
      </c>
      <c r="D23" s="46">
        <f t="shared" si="0"/>
        <v>2E-3</v>
      </c>
      <c r="E23" s="46">
        <f t="shared" si="2"/>
        <v>2E-3</v>
      </c>
      <c r="F23" s="46">
        <f t="shared" si="1"/>
        <v>2E-3</v>
      </c>
    </row>
    <row r="24" spans="1:6" ht="37.5">
      <c r="A24" s="45" t="s">
        <v>31</v>
      </c>
      <c r="B24" s="21" t="s">
        <v>32</v>
      </c>
      <c r="C24" s="46">
        <f>'Управителю (Форма)'!AS28</f>
        <v>3.3000000000000002E-2</v>
      </c>
      <c r="D24" s="46">
        <f t="shared" si="0"/>
        <v>3.3000000000000002E-2</v>
      </c>
      <c r="E24" s="46">
        <f t="shared" si="2"/>
        <v>3.3000000000000002E-2</v>
      </c>
      <c r="F24" s="46">
        <f t="shared" si="1"/>
        <v>3.3000000000000002E-2</v>
      </c>
    </row>
    <row r="25" spans="1:6" ht="75">
      <c r="A25" s="45" t="s">
        <v>33</v>
      </c>
      <c r="B25" s="21" t="s">
        <v>34</v>
      </c>
      <c r="C25" s="46">
        <f>'Управителю (Форма)'!AS29</f>
        <v>0.246</v>
      </c>
      <c r="D25" s="46">
        <f t="shared" si="0"/>
        <v>0.246</v>
      </c>
      <c r="E25" s="46">
        <f t="shared" si="2"/>
        <v>0.246</v>
      </c>
      <c r="F25" s="46">
        <f t="shared" si="1"/>
        <v>0.246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(Форма)'!AS31</f>
        <v>7.0000000000000007E-2</v>
      </c>
      <c r="D27" s="46">
        <f t="shared" ref="D27:D36" si="3">C27</f>
        <v>7.0000000000000007E-2</v>
      </c>
      <c r="E27" s="46">
        <f t="shared" ref="E27:E36" si="4">C27</f>
        <v>7.0000000000000007E-2</v>
      </c>
      <c r="F27" s="46">
        <f t="shared" ref="F27:F36" si="5">C27</f>
        <v>7.0000000000000007E-2</v>
      </c>
    </row>
    <row r="28" spans="1:6" ht="18.75">
      <c r="A28" s="155" t="s">
        <v>39</v>
      </c>
      <c r="B28" s="35" t="s">
        <v>40</v>
      </c>
      <c r="C28" s="156">
        <f>'Управителю (Форма)'!AS32</f>
        <v>0.61499999999999999</v>
      </c>
      <c r="D28" s="156">
        <f t="shared" si="3"/>
        <v>0.61499999999999999</v>
      </c>
      <c r="E28" s="156">
        <f t="shared" si="4"/>
        <v>0.61499999999999999</v>
      </c>
      <c r="F28" s="156">
        <f t="shared" si="5"/>
        <v>0.61499999999999999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(Форма)'!AS42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(Форма)'!AS43</f>
        <v>0.14000000000000001</v>
      </c>
      <c r="D39" s="46">
        <f>C39</f>
        <v>0.14000000000000001</v>
      </c>
      <c r="E39" s="46">
        <f>C39/3/3</f>
        <v>1.6E-2</v>
      </c>
      <c r="F39" s="54">
        <f>D39/3/3</f>
        <v>1.6E-2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0.432</v>
      </c>
      <c r="D41" s="39">
        <f>SUM(D38:D40,D27:D36,D9:D25)*('Управителю (Форма)'!$D$7-1)</f>
        <v>0.432</v>
      </c>
      <c r="E41" s="39">
        <f>SUM(E38:E40,E27:E36,E9:E25)*('Управителю (Форма)'!$D$7-1)</f>
        <v>0.30399999999999999</v>
      </c>
      <c r="F41" s="39">
        <f>SUM(F38:F40,F27:F36,F9:F25)*('Управителю (Форма)'!$D$7-1)</f>
        <v>0.33700000000000002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0.59499999999999997</v>
      </c>
      <c r="D42" s="40">
        <f>SUM(D38:D41,D27:D36,D9:D25)*0.2</f>
        <v>0.59499999999999997</v>
      </c>
      <c r="E42" s="40">
        <f>SUM(E38:E41,E27:E36,E9:E25)*0.2</f>
        <v>0.41799999999999998</v>
      </c>
      <c r="F42" s="40">
        <f>SUM(F38:F41,F27:F36,F9:F25)*0.2</f>
        <v>0.46400000000000002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3.5710000000000002</v>
      </c>
      <c r="D43" s="38">
        <f>SUM(D38:D40,D27:D36,D9:D25)+D41+D42</f>
        <v>3.5710000000000002</v>
      </c>
      <c r="E43" s="38">
        <f>SUM(E38:E40,E27:E36,E9:E25)+E41+E42</f>
        <v>2.5089999999999999</v>
      </c>
      <c r="F43" s="38">
        <f>SUM(F38:F40,F27:F36,F9:F25)+F41+F42</f>
        <v>2.7850000000000001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C48" sqref="C48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(Форма)'!AR10&amp;", "&amp;'Управителю (Форма)'!AR11</f>
        <v>вул. Попова, 19/2</v>
      </c>
      <c r="B4" s="167"/>
      <c r="C4" s="167"/>
      <c r="D4" s="167"/>
      <c r="E4" s="167"/>
      <c r="F4" s="167"/>
    </row>
    <row r="5" spans="1:6" ht="19.5" thickBot="1">
      <c r="A5" s="4"/>
    </row>
    <row r="6" spans="1:6" ht="38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(Форма)'!AR13</f>
        <v>0</v>
      </c>
      <c r="D9" s="46">
        <f>C9</f>
        <v>0</v>
      </c>
      <c r="E9" s="46">
        <f>C9</f>
        <v>0</v>
      </c>
      <c r="F9" s="46">
        <f>C9</f>
        <v>0</v>
      </c>
    </row>
    <row r="10" spans="1:6" ht="18.75">
      <c r="A10" s="45" t="s">
        <v>9</v>
      </c>
      <c r="B10" s="21" t="s">
        <v>10</v>
      </c>
      <c r="C10" s="46">
        <f>'Управителю (Форма)'!AR14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(Форма)'!AR15</f>
        <v>0.49399999999999999</v>
      </c>
      <c r="D11" s="46">
        <f t="shared" si="0"/>
        <v>0.49399999999999999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(Форма)'!AR16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(Форма)'!AR19</f>
        <v>1E-3</v>
      </c>
      <c r="D15" s="161">
        <f t="shared" si="0"/>
        <v>1E-3</v>
      </c>
      <c r="E15" s="161">
        <f t="shared" si="2"/>
        <v>1E-3</v>
      </c>
      <c r="F15" s="161">
        <f t="shared" si="1"/>
        <v>1E-3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(Форма)'!AR26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(Форма)'!AR27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(Форма)'!AR28</f>
        <v>2.4E-2</v>
      </c>
      <c r="D24" s="46">
        <f t="shared" si="0"/>
        <v>2.4E-2</v>
      </c>
      <c r="E24" s="46">
        <f t="shared" si="2"/>
        <v>2.4E-2</v>
      </c>
      <c r="F24" s="46">
        <f t="shared" si="1"/>
        <v>2.4E-2</v>
      </c>
    </row>
    <row r="25" spans="1:6" ht="75">
      <c r="A25" s="45" t="s">
        <v>33</v>
      </c>
      <c r="B25" s="21" t="s">
        <v>34</v>
      </c>
      <c r="C25" s="46">
        <f>'Управителю (Форма)'!AR29</f>
        <v>0</v>
      </c>
      <c r="D25" s="46">
        <f t="shared" si="0"/>
        <v>0</v>
      </c>
      <c r="E25" s="46">
        <f t="shared" si="2"/>
        <v>0</v>
      </c>
      <c r="F25" s="46">
        <f t="shared" si="1"/>
        <v>0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(Форма)'!AR31</f>
        <v>0</v>
      </c>
      <c r="D27" s="46">
        <f t="shared" ref="D27:D36" si="3">C27</f>
        <v>0</v>
      </c>
      <c r="E27" s="46">
        <f t="shared" ref="E27:E36" si="4">C27</f>
        <v>0</v>
      </c>
      <c r="F27" s="46">
        <f t="shared" ref="F27:F36" si="5">C27</f>
        <v>0</v>
      </c>
    </row>
    <row r="28" spans="1:6" ht="18.75">
      <c r="A28" s="155" t="s">
        <v>39</v>
      </c>
      <c r="B28" s="35" t="s">
        <v>40</v>
      </c>
      <c r="C28" s="156">
        <f>'Управителю (Форма)'!AR32</f>
        <v>0.35799999999999998</v>
      </c>
      <c r="D28" s="156">
        <f t="shared" si="3"/>
        <v>0.35799999999999998</v>
      </c>
      <c r="E28" s="156">
        <f t="shared" si="4"/>
        <v>0.35799999999999998</v>
      </c>
      <c r="F28" s="156">
        <f t="shared" si="5"/>
        <v>0.35799999999999998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(Форма)'!AR42</f>
        <v>0</v>
      </c>
      <c r="D38" s="46">
        <f>C38</f>
        <v>0</v>
      </c>
      <c r="E38" s="46">
        <f>C38</f>
        <v>0</v>
      </c>
      <c r="F38" s="46">
        <f>C38</f>
        <v>0</v>
      </c>
    </row>
    <row r="39" spans="1:6" ht="37.5">
      <c r="A39" s="45" t="s">
        <v>49</v>
      </c>
      <c r="B39" s="20" t="s">
        <v>50</v>
      </c>
      <c r="C39" s="46">
        <f>'Управителю (Форма)'!AR43</f>
        <v>0</v>
      </c>
      <c r="D39" s="46">
        <f>C39</f>
        <v>0</v>
      </c>
      <c r="E39" s="46">
        <f>C39</f>
        <v>0</v>
      </c>
      <c r="F39" s="46">
        <f>C39</f>
        <v>0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0.14899999999999999</v>
      </c>
      <c r="D41" s="39">
        <f>SUM(D38:D40,D27:D36,D9:D25)*('Управителю (Форма)'!$D$7-1)</f>
        <v>0.14899999999999999</v>
      </c>
      <c r="E41" s="39">
        <f>SUM(E38:E40,E27:E36,E9:E25)*('Управителю (Форма)'!$D$7-1)</f>
        <v>6.5000000000000002E-2</v>
      </c>
      <c r="F41" s="39">
        <f>SUM(F38:F40,F27:F36,F9:F25)*('Управителю (Форма)'!$D$7-1)</f>
        <v>6.5000000000000002E-2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0.20499999999999999</v>
      </c>
      <c r="D42" s="40">
        <f>SUM(D38:D41,D27:D36,D9:D25)*0.2</f>
        <v>0.20499999999999999</v>
      </c>
      <c r="E42" s="40">
        <f>SUM(E38:E41,E27:E36,E9:E25)*0.2</f>
        <v>0.09</v>
      </c>
      <c r="F42" s="40">
        <f>SUM(F38:F41,F27:F36,F9:F25)*0.2</f>
        <v>0.09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1.2310000000000001</v>
      </c>
      <c r="D43" s="38">
        <f>SUM(D38:D40,D27:D36,D9:D25)+D41+D42</f>
        <v>1.2310000000000001</v>
      </c>
      <c r="E43" s="38">
        <f>SUM(E38:E40,E27:E36,E9:E25)+E41+E42</f>
        <v>0.53800000000000003</v>
      </c>
      <c r="F43" s="38">
        <f>SUM(F38:F40,F27:F36,F9:F25)+F41+F42</f>
        <v>0.53800000000000003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(Форма)'!AQ10&amp;", "&amp;'Управителю (Форма)'!AQ11</f>
        <v>вул. Попова, 16</v>
      </c>
      <c r="B4" s="167"/>
      <c r="C4" s="167"/>
      <c r="D4" s="167"/>
      <c r="E4" s="167"/>
      <c r="F4" s="167"/>
    </row>
    <row r="5" spans="1:6" ht="19.5" thickBot="1">
      <c r="A5" s="4"/>
    </row>
    <row r="6" spans="1:6" ht="35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(Форма)'!AQ13</f>
        <v>0</v>
      </c>
      <c r="D9" s="46">
        <f>C9</f>
        <v>0</v>
      </c>
      <c r="E9" s="46">
        <f>C9</f>
        <v>0</v>
      </c>
      <c r="F9" s="46">
        <f>C9</f>
        <v>0</v>
      </c>
    </row>
    <row r="10" spans="1:6" ht="18.75">
      <c r="A10" s="45" t="s">
        <v>9</v>
      </c>
      <c r="B10" s="21" t="s">
        <v>10</v>
      </c>
      <c r="C10" s="46">
        <f>'Управителю (Форма)'!AQ14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(Форма)'!AQ15</f>
        <v>0.23699999999999999</v>
      </c>
      <c r="D11" s="46">
        <f t="shared" si="0"/>
        <v>0.23699999999999999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(Форма)'!AQ16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(Форма)'!AQ19</f>
        <v>0.105</v>
      </c>
      <c r="D15" s="161">
        <f t="shared" si="0"/>
        <v>0.105</v>
      </c>
      <c r="E15" s="161">
        <f t="shared" si="2"/>
        <v>0.105</v>
      </c>
      <c r="F15" s="161">
        <f t="shared" si="1"/>
        <v>0.105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(Форма)'!AQ26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(Форма)'!AQ27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(Форма)'!AQ28</f>
        <v>4.8000000000000001E-2</v>
      </c>
      <c r="D24" s="46">
        <f t="shared" si="0"/>
        <v>4.8000000000000001E-2</v>
      </c>
      <c r="E24" s="46">
        <f t="shared" si="2"/>
        <v>4.8000000000000001E-2</v>
      </c>
      <c r="F24" s="46">
        <f t="shared" si="1"/>
        <v>4.8000000000000001E-2</v>
      </c>
    </row>
    <row r="25" spans="1:6" ht="75">
      <c r="A25" s="45" t="s">
        <v>33</v>
      </c>
      <c r="B25" s="21" t="s">
        <v>34</v>
      </c>
      <c r="C25" s="46">
        <f>'Управителю (Форма)'!AQ29</f>
        <v>0</v>
      </c>
      <c r="D25" s="46">
        <f t="shared" si="0"/>
        <v>0</v>
      </c>
      <c r="E25" s="46">
        <f t="shared" si="2"/>
        <v>0</v>
      </c>
      <c r="F25" s="46">
        <f t="shared" si="1"/>
        <v>0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(Форма)'!AQ31</f>
        <v>0</v>
      </c>
      <c r="D27" s="46">
        <f t="shared" ref="D27:D36" si="3">C27</f>
        <v>0</v>
      </c>
      <c r="E27" s="46">
        <f t="shared" ref="E27:E36" si="4">C27</f>
        <v>0</v>
      </c>
      <c r="F27" s="46">
        <f t="shared" ref="F27:F36" si="5">C27</f>
        <v>0</v>
      </c>
    </row>
    <row r="28" spans="1:6" ht="18.75">
      <c r="A28" s="155" t="s">
        <v>39</v>
      </c>
      <c r="B28" s="35" t="s">
        <v>40</v>
      </c>
      <c r="C28" s="156">
        <f>'Управителю (Форма)'!AQ32</f>
        <v>0.34699999999999998</v>
      </c>
      <c r="D28" s="156">
        <f t="shared" si="3"/>
        <v>0.34699999999999998</v>
      </c>
      <c r="E28" s="156">
        <f t="shared" si="4"/>
        <v>0.34699999999999998</v>
      </c>
      <c r="F28" s="156">
        <f t="shared" si="5"/>
        <v>0.34699999999999998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(Форма)'!AQ42</f>
        <v>0</v>
      </c>
      <c r="D38" s="46">
        <f>C38</f>
        <v>0</v>
      </c>
      <c r="E38" s="46">
        <f>C38</f>
        <v>0</v>
      </c>
      <c r="F38" s="46">
        <f>C38</f>
        <v>0</v>
      </c>
    </row>
    <row r="39" spans="1:6" ht="37.5">
      <c r="A39" s="45" t="s">
        <v>49</v>
      </c>
      <c r="B39" s="20" t="s">
        <v>50</v>
      </c>
      <c r="C39" s="46">
        <f>'Управителю (Форма)'!AQ43</f>
        <v>0</v>
      </c>
      <c r="D39" s="46">
        <f>C39</f>
        <v>0</v>
      </c>
      <c r="E39" s="46">
        <f>C39</f>
        <v>0</v>
      </c>
      <c r="F39" s="46">
        <f>C39</f>
        <v>0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0.125</v>
      </c>
      <c r="D41" s="39">
        <f>SUM(D38:D40,D27:D36,D9:D25)*('Управителю (Форма)'!$D$7-1)</f>
        <v>0.125</v>
      </c>
      <c r="E41" s="39">
        <f>SUM(E38:E40,E27:E36,E9:E25)*('Управителю (Форма)'!$D$7-1)</f>
        <v>8.5000000000000006E-2</v>
      </c>
      <c r="F41" s="39">
        <f>SUM(F38:F40,F27:F36,F9:F25)*('Управителю (Форма)'!$D$7-1)</f>
        <v>8.5000000000000006E-2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0.17199999999999999</v>
      </c>
      <c r="D42" s="40">
        <f>SUM(D38:D41,D27:D36,D9:D25)*0.2</f>
        <v>0.17199999999999999</v>
      </c>
      <c r="E42" s="40">
        <f>SUM(E38:E41,E27:E36,E9:E25)*0.2</f>
        <v>0.11700000000000001</v>
      </c>
      <c r="F42" s="40">
        <f>SUM(F38:F41,F27:F36,F9:F25)*0.2</f>
        <v>0.11700000000000001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1.034</v>
      </c>
      <c r="D43" s="38">
        <f>SUM(D38:D40,D27:D36,D9:D25)+D41+D42</f>
        <v>1.034</v>
      </c>
      <c r="E43" s="38">
        <f>SUM(E38:E40,E27:E36,E9:E25)+E41+E42</f>
        <v>0.70199999999999996</v>
      </c>
      <c r="F43" s="38">
        <f>SUM(F38:F40,F27:F36,F9:F25)+F41+F42</f>
        <v>0.70199999999999996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(Форма)'!AP10&amp;", "&amp;'Управителю (Форма)'!AP11</f>
        <v>вул. Попова, 29</v>
      </c>
      <c r="B4" s="167"/>
      <c r="C4" s="167"/>
      <c r="D4" s="167"/>
      <c r="E4" s="167"/>
      <c r="F4" s="167"/>
    </row>
    <row r="5" spans="1:6" ht="19.5" thickBot="1">
      <c r="A5" s="4"/>
    </row>
    <row r="6" spans="1:6" ht="35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(Форма)'!AP13</f>
        <v>0.35599999999999998</v>
      </c>
      <c r="D9" s="46">
        <f>C9</f>
        <v>0.35599999999999998</v>
      </c>
      <c r="E9" s="46">
        <f>C9</f>
        <v>0.35599999999999998</v>
      </c>
      <c r="F9" s="46">
        <f>C9</f>
        <v>0.35599999999999998</v>
      </c>
    </row>
    <row r="10" spans="1:6" ht="18.75">
      <c r="A10" s="45" t="s">
        <v>9</v>
      </c>
      <c r="B10" s="21" t="s">
        <v>10</v>
      </c>
      <c r="C10" s="46">
        <f>'Управителю (Форма)'!AP14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(Форма)'!AP15</f>
        <v>0.34699999999999998</v>
      </c>
      <c r="D11" s="46">
        <f t="shared" si="0"/>
        <v>0.34699999999999998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(Форма)'!AP16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(Форма)'!AP19</f>
        <v>0.38600000000000001</v>
      </c>
      <c r="D15" s="161">
        <f t="shared" si="0"/>
        <v>0.38600000000000001</v>
      </c>
      <c r="E15" s="161">
        <f t="shared" si="2"/>
        <v>0.38600000000000001</v>
      </c>
      <c r="F15" s="161">
        <f t="shared" si="1"/>
        <v>0.38600000000000001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(Форма)'!AP26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(Форма)'!AP27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(Форма)'!AP28</f>
        <v>5.6000000000000001E-2</v>
      </c>
      <c r="D24" s="46">
        <f t="shared" si="0"/>
        <v>5.6000000000000001E-2</v>
      </c>
      <c r="E24" s="46">
        <f t="shared" si="2"/>
        <v>5.6000000000000001E-2</v>
      </c>
      <c r="F24" s="46">
        <f t="shared" si="1"/>
        <v>5.6000000000000001E-2</v>
      </c>
    </row>
    <row r="25" spans="1:6" ht="75">
      <c r="A25" s="45" t="s">
        <v>33</v>
      </c>
      <c r="B25" s="21" t="s">
        <v>34</v>
      </c>
      <c r="C25" s="46">
        <f>'Управителю (Форма)'!AP29</f>
        <v>0.13</v>
      </c>
      <c r="D25" s="46">
        <f t="shared" si="0"/>
        <v>0.13</v>
      </c>
      <c r="E25" s="46">
        <f t="shared" si="2"/>
        <v>0.13</v>
      </c>
      <c r="F25" s="46">
        <f t="shared" si="1"/>
        <v>0.13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(Форма)'!AP31</f>
        <v>4.1000000000000002E-2</v>
      </c>
      <c r="D27" s="46">
        <f t="shared" ref="D27:D36" si="3">C27</f>
        <v>4.1000000000000002E-2</v>
      </c>
      <c r="E27" s="46">
        <f t="shared" ref="E27:E36" si="4">C27</f>
        <v>4.1000000000000002E-2</v>
      </c>
      <c r="F27" s="46">
        <f t="shared" ref="F27:F36" si="5">C27</f>
        <v>4.1000000000000002E-2</v>
      </c>
    </row>
    <row r="28" spans="1:6" ht="18.75">
      <c r="A28" s="155" t="s">
        <v>39</v>
      </c>
      <c r="B28" s="35" t="s">
        <v>40</v>
      </c>
      <c r="C28" s="156">
        <f>'Управителю (Форма)'!AP32</f>
        <v>0.88</v>
      </c>
      <c r="D28" s="156">
        <f t="shared" si="3"/>
        <v>0.88</v>
      </c>
      <c r="E28" s="156">
        <f t="shared" si="4"/>
        <v>0.88</v>
      </c>
      <c r="F28" s="156">
        <f t="shared" si="5"/>
        <v>0.88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(Форма)'!AP42</f>
        <v>2E-3</v>
      </c>
      <c r="D38" s="46">
        <f>C38</f>
        <v>2E-3</v>
      </c>
      <c r="E38" s="46">
        <f>C38</f>
        <v>2E-3</v>
      </c>
      <c r="F38" s="46">
        <f>C38</f>
        <v>2E-3</v>
      </c>
    </row>
    <row r="39" spans="1:6" ht="37.5">
      <c r="A39" s="45" t="s">
        <v>49</v>
      </c>
      <c r="B39" s="20" t="s">
        <v>50</v>
      </c>
      <c r="C39" s="46">
        <f>'Управителю (Форма)'!AP43</f>
        <v>0.155</v>
      </c>
      <c r="D39" s="46">
        <f>C39</f>
        <v>0.155</v>
      </c>
      <c r="E39" s="54">
        <f>C39/3/3</f>
        <v>1.7000000000000001E-2</v>
      </c>
      <c r="F39" s="54">
        <f>D39/3/3</f>
        <v>1.7000000000000001E-2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</v>
      </c>
      <c r="D41" s="39">
        <f>SUM(D38:D40,D27:D36,D9:D25)*('Управителю (Форма)'!$D$7-1)</f>
        <v>0.4</v>
      </c>
      <c r="E41" s="39">
        <f>SUM(E38:E40,E27:E36,E9:E25)*('Управителю (Форма)'!$D$7-1)</f>
        <v>0.318</v>
      </c>
      <c r="F41" s="39">
        <f>SUM(F38:F40,F27:F36,F9:F25)*('Управителю (Форма)'!$D$7-1)</f>
        <v>0.318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0.55100000000000005</v>
      </c>
      <c r="D42" s="40">
        <f>SUM(D38:D41,D27:D36,D9:D25)*0.2</f>
        <v>0.55100000000000005</v>
      </c>
      <c r="E42" s="40">
        <f>SUM(E38:E41,E27:E36,E9:E25)*0.2</f>
        <v>0.437</v>
      </c>
      <c r="F42" s="40">
        <f>SUM(F38:F41,F27:F36,F9:F25)*0.2</f>
        <v>0.437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3.3039999999999998</v>
      </c>
      <c r="D43" s="38">
        <f>SUM(D38:D40,D27:D36,D9:D25)+D41+D42</f>
        <v>3.3039999999999998</v>
      </c>
      <c r="E43" s="38">
        <f>SUM(E38:E40,E27:E36,E9:E25)+E41+E42</f>
        <v>2.6230000000000002</v>
      </c>
      <c r="F43" s="38">
        <f>SUM(F38:F40,F27:F36,F9:F25)+F41+F42</f>
        <v>2.6230000000000002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(Форма)'!AO10&amp;", "&amp;'Управителю (Форма)'!AO11</f>
        <v>вул. Попова, 13</v>
      </c>
      <c r="B4" s="167"/>
      <c r="C4" s="167"/>
      <c r="D4" s="167"/>
      <c r="E4" s="167"/>
      <c r="F4" s="167"/>
    </row>
    <row r="5" spans="1:6" ht="19.5" thickBot="1">
      <c r="A5" s="4"/>
    </row>
    <row r="6" spans="1:6" ht="33.7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(Форма)'!AO13</f>
        <v>0.48099999999999998</v>
      </c>
      <c r="D9" s="46">
        <f>C9</f>
        <v>0.48099999999999998</v>
      </c>
      <c r="E9" s="46">
        <f>C9</f>
        <v>0.48099999999999998</v>
      </c>
      <c r="F9" s="46">
        <f>C9</f>
        <v>0.48099999999999998</v>
      </c>
    </row>
    <row r="10" spans="1:6" ht="18.75">
      <c r="A10" s="45" t="s">
        <v>9</v>
      </c>
      <c r="B10" s="21" t="s">
        <v>10</v>
      </c>
      <c r="C10" s="46">
        <f>'Управителю (Форма)'!AO14</f>
        <v>6.4000000000000001E-2</v>
      </c>
      <c r="D10" s="46">
        <f t="shared" ref="D10:D25" si="0">C10</f>
        <v>6.4000000000000001E-2</v>
      </c>
      <c r="E10" s="46"/>
      <c r="F10" s="46">
        <f t="shared" ref="F10:F25" si="1">C10</f>
        <v>6.4000000000000001E-2</v>
      </c>
    </row>
    <row r="11" spans="1:6" ht="37.5">
      <c r="A11" s="45" t="s">
        <v>11</v>
      </c>
      <c r="B11" s="21" t="s">
        <v>12</v>
      </c>
      <c r="C11" s="46">
        <f>'Управителю (Форма)'!AO15</f>
        <v>0.58199999999999996</v>
      </c>
      <c r="D11" s="46">
        <f t="shared" si="0"/>
        <v>0.58199999999999996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(Форма)'!AO16</f>
        <v>2.1000000000000001E-2</v>
      </c>
      <c r="D12" s="46">
        <f t="shared" si="0"/>
        <v>2.1000000000000001E-2</v>
      </c>
      <c r="E12" s="46">
        <f t="shared" ref="E12:E25" si="2">C12</f>
        <v>2.1000000000000001E-2</v>
      </c>
      <c r="F12" s="46">
        <f t="shared" si="1"/>
        <v>2.1000000000000001E-2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(Форма)'!AO19</f>
        <v>0.44900000000000001</v>
      </c>
      <c r="D15" s="161">
        <f t="shared" si="0"/>
        <v>0.44900000000000001</v>
      </c>
      <c r="E15" s="161">
        <f t="shared" si="2"/>
        <v>0.44900000000000001</v>
      </c>
      <c r="F15" s="161">
        <f t="shared" si="1"/>
        <v>0.44900000000000001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(Форма)'!AO26</f>
        <v>3.1E-2</v>
      </c>
      <c r="D22" s="46">
        <f t="shared" si="0"/>
        <v>3.1E-2</v>
      </c>
      <c r="E22" s="46">
        <f t="shared" si="2"/>
        <v>3.1E-2</v>
      </c>
      <c r="F22" s="46">
        <f t="shared" si="1"/>
        <v>3.1E-2</v>
      </c>
    </row>
    <row r="23" spans="1:6" ht="18.75">
      <c r="A23" s="45" t="s">
        <v>29</v>
      </c>
      <c r="B23" s="21" t="s">
        <v>30</v>
      </c>
      <c r="C23" s="46">
        <f>'Управителю (Форма)'!AO27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(Форма)'!AO28</f>
        <v>0.11899999999999999</v>
      </c>
      <c r="D24" s="46">
        <f t="shared" si="0"/>
        <v>0.11899999999999999</v>
      </c>
      <c r="E24" s="46">
        <f t="shared" si="2"/>
        <v>0.11899999999999999</v>
      </c>
      <c r="F24" s="46">
        <f t="shared" si="1"/>
        <v>0.11899999999999999</v>
      </c>
    </row>
    <row r="25" spans="1:6" ht="75">
      <c r="A25" s="45" t="s">
        <v>33</v>
      </c>
      <c r="B25" s="21" t="s">
        <v>34</v>
      </c>
      <c r="C25" s="46">
        <f>'Управителю (Форма)'!AO29</f>
        <v>0.217</v>
      </c>
      <c r="D25" s="46">
        <f t="shared" si="0"/>
        <v>0.217</v>
      </c>
      <c r="E25" s="46">
        <f t="shared" si="2"/>
        <v>0.217</v>
      </c>
      <c r="F25" s="46">
        <f t="shared" si="1"/>
        <v>0.217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(Форма)'!AO31</f>
        <v>1.9E-2</v>
      </c>
      <c r="D27" s="46">
        <f t="shared" ref="D27:D36" si="3">C27</f>
        <v>1.9E-2</v>
      </c>
      <c r="E27" s="46">
        <f t="shared" ref="E27:E36" si="4">C27</f>
        <v>1.9E-2</v>
      </c>
      <c r="F27" s="46">
        <f t="shared" ref="F27:F36" si="5">C27</f>
        <v>1.9E-2</v>
      </c>
    </row>
    <row r="28" spans="1:6" ht="18.75">
      <c r="A28" s="155" t="s">
        <v>39</v>
      </c>
      <c r="B28" s="35" t="s">
        <v>40</v>
      </c>
      <c r="C28" s="156">
        <f>'Управителю (Форма)'!AO32</f>
        <v>0.77500000000000002</v>
      </c>
      <c r="D28" s="156">
        <f t="shared" si="3"/>
        <v>0.77500000000000002</v>
      </c>
      <c r="E28" s="156">
        <f t="shared" si="4"/>
        <v>0.77500000000000002</v>
      </c>
      <c r="F28" s="156">
        <f t="shared" si="5"/>
        <v>0.77500000000000002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(Форма)'!AO42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(Форма)'!AO43</f>
        <v>0.187</v>
      </c>
      <c r="D39" s="46">
        <f>C39</f>
        <v>0.187</v>
      </c>
      <c r="E39" s="54">
        <f>C39/5/2</f>
        <v>1.9E-2</v>
      </c>
      <c r="F39" s="54">
        <f t="shared" ref="F39" si="6">D39/5/2</f>
        <v>1.9E-2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0.501</v>
      </c>
      <c r="D41" s="39">
        <f>SUM(D38:D40,D27:D36,D9:D25)*('Управителю (Форма)'!$D$7-1)</f>
        <v>0.501</v>
      </c>
      <c r="E41" s="39">
        <f>SUM(E38:E40,E27:E36,E9:E25)*('Управителю (Форма)'!$D$7-1)</f>
        <v>0.36299999999999999</v>
      </c>
      <c r="F41" s="39">
        <f>SUM(F38:F40,F27:F36,F9:F25)*('Управителю (Форма)'!$D$7-1)</f>
        <v>0.373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0.69</v>
      </c>
      <c r="D42" s="40">
        <f>SUM(D38:D41,D27:D36,D9:D25)*0.2</f>
        <v>0.69</v>
      </c>
      <c r="E42" s="40">
        <f>SUM(E38:E41,E27:E36,E9:E25)*0.2</f>
        <v>0.499</v>
      </c>
      <c r="F42" s="40">
        <f>SUM(F38:F41,F27:F36,F9:F25)*0.2</f>
        <v>0.51400000000000001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4.1379999999999999</v>
      </c>
      <c r="D43" s="38">
        <f>SUM(D38:D40,D27:D36,D9:D25)+D41+D42</f>
        <v>4.1379999999999999</v>
      </c>
      <c r="E43" s="38">
        <f>SUM(E38:E40,E27:E36,E9:E25)+E41+E42</f>
        <v>2.9950000000000001</v>
      </c>
      <c r="F43" s="38">
        <f>SUM(F38:F40,F27:F36,F9:F25)+F41+F42</f>
        <v>3.0840000000000001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28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(Форма)'!AN10&amp;", "&amp;'Управителю (Форма)'!AN11</f>
        <v>вул. Попова, 11</v>
      </c>
      <c r="B4" s="167"/>
      <c r="C4" s="167"/>
      <c r="D4" s="167"/>
      <c r="E4" s="167"/>
      <c r="F4" s="167"/>
    </row>
    <row r="5" spans="1:6" ht="19.5" thickBot="1">
      <c r="A5" s="4"/>
    </row>
    <row r="6" spans="1:6" ht="35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(Форма)'!AN13</f>
        <v>0.89</v>
      </c>
      <c r="D9" s="46">
        <f>C9</f>
        <v>0.89</v>
      </c>
      <c r="E9" s="46">
        <f>C9</f>
        <v>0.89</v>
      </c>
      <c r="F9" s="46">
        <f>C9</f>
        <v>0.89</v>
      </c>
    </row>
    <row r="10" spans="1:6" ht="18.75">
      <c r="A10" s="45" t="s">
        <v>9</v>
      </c>
      <c r="B10" s="21" t="s">
        <v>10</v>
      </c>
      <c r="C10" s="46">
        <f>'Управителю (Форма)'!AN14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(Форма)'!AN15</f>
        <v>0.65500000000000003</v>
      </c>
      <c r="D11" s="46">
        <f t="shared" si="0"/>
        <v>0.65500000000000003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(Форма)'!AN16</f>
        <v>4.0000000000000001E-3</v>
      </c>
      <c r="D12" s="46">
        <f t="shared" si="0"/>
        <v>4.0000000000000001E-3</v>
      </c>
      <c r="E12" s="46">
        <f t="shared" ref="E12:E25" si="2">C12</f>
        <v>4.0000000000000001E-3</v>
      </c>
      <c r="F12" s="46">
        <f t="shared" si="1"/>
        <v>4.0000000000000001E-3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(Форма)'!AN19</f>
        <v>0.33800000000000002</v>
      </c>
      <c r="D15" s="161">
        <f t="shared" si="0"/>
        <v>0.33800000000000002</v>
      </c>
      <c r="E15" s="161">
        <f t="shared" si="2"/>
        <v>0.33800000000000002</v>
      </c>
      <c r="F15" s="161">
        <f t="shared" si="1"/>
        <v>0.33800000000000002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(Форма)'!AN26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(Форма)'!AN27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(Форма)'!AN28</f>
        <v>1.4E-2</v>
      </c>
      <c r="D24" s="46">
        <f t="shared" si="0"/>
        <v>1.4E-2</v>
      </c>
      <c r="E24" s="46">
        <f t="shared" si="2"/>
        <v>1.4E-2</v>
      </c>
      <c r="F24" s="46">
        <f t="shared" si="1"/>
        <v>1.4E-2</v>
      </c>
    </row>
    <row r="25" spans="1:6" ht="75">
      <c r="A25" s="45" t="s">
        <v>33</v>
      </c>
      <c r="B25" s="21" t="s">
        <v>34</v>
      </c>
      <c r="C25" s="46">
        <f>'Управителю (Форма)'!AN29</f>
        <v>0.189</v>
      </c>
      <c r="D25" s="46">
        <f t="shared" si="0"/>
        <v>0.189</v>
      </c>
      <c r="E25" s="46">
        <f t="shared" si="2"/>
        <v>0.189</v>
      </c>
      <c r="F25" s="46">
        <f t="shared" si="1"/>
        <v>0.189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(Форма)'!AN31</f>
        <v>3.1E-2</v>
      </c>
      <c r="D27" s="46">
        <f t="shared" ref="D27:D36" si="3">C27</f>
        <v>3.1E-2</v>
      </c>
      <c r="E27" s="46">
        <f t="shared" ref="E27:E36" si="4">C27</f>
        <v>3.1E-2</v>
      </c>
      <c r="F27" s="46">
        <f t="shared" ref="F27:F36" si="5">C27</f>
        <v>3.1E-2</v>
      </c>
    </row>
    <row r="28" spans="1:6" ht="18.75">
      <c r="A28" s="155" t="s">
        <v>39</v>
      </c>
      <c r="B28" s="35" t="s">
        <v>40</v>
      </c>
      <c r="C28" s="156">
        <f>'Управителю (Форма)'!AN32</f>
        <v>0.504</v>
      </c>
      <c r="D28" s="156">
        <f t="shared" si="3"/>
        <v>0.504</v>
      </c>
      <c r="E28" s="156">
        <f t="shared" si="4"/>
        <v>0.504</v>
      </c>
      <c r="F28" s="156">
        <f t="shared" si="5"/>
        <v>0.504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(Форма)'!AN42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(Форма)'!AN43</f>
        <v>0.16</v>
      </c>
      <c r="D39" s="46">
        <f>C39</f>
        <v>0.16</v>
      </c>
      <c r="E39" s="54">
        <f>C39/5/2</f>
        <v>1.6E-2</v>
      </c>
      <c r="F39" s="54">
        <f t="shared" ref="F39" si="6">D39/5/2</f>
        <v>1.6E-2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0.47399999999999998</v>
      </c>
      <c r="D41" s="39">
        <f>SUM(D38:D40,D27:D36,D9:D25)*('Управителю (Форма)'!$D$7-1)</f>
        <v>0.47399999999999998</v>
      </c>
      <c r="E41" s="39">
        <f>SUM(E38:E40,E27:E36,E9:E25)*('Управителю (Форма)'!$D$7-1)</f>
        <v>0.33800000000000002</v>
      </c>
      <c r="F41" s="39">
        <f>SUM(F38:F40,F27:F36,F9:F25)*('Управителю (Форма)'!$D$7-1)</f>
        <v>0.33800000000000002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0.65200000000000002</v>
      </c>
      <c r="D42" s="40">
        <f>SUM(D38:D41,D27:D36,D9:D25)*0.2</f>
        <v>0.65200000000000002</v>
      </c>
      <c r="E42" s="40">
        <f>SUM(E38:E41,E27:E36,E9:E25)*0.2</f>
        <v>0.46500000000000002</v>
      </c>
      <c r="F42" s="40">
        <f>SUM(F38:F41,F27:F36,F9:F25)*0.2</f>
        <v>0.46500000000000002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3.9119999999999999</v>
      </c>
      <c r="D43" s="38">
        <f>SUM(D38:D40,D27:D36,D9:D25)+D41+D42</f>
        <v>3.9119999999999999</v>
      </c>
      <c r="E43" s="38">
        <f>SUM(E38:E40,E27:E36,E9:E25)+E41+E42</f>
        <v>2.79</v>
      </c>
      <c r="F43" s="38">
        <f>SUM(F38:F40,F27:F36,F9:F25)+F41+F42</f>
        <v>2.79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40" workbookViewId="0">
      <selection activeCell="C46" sqref="C46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(Форма)'!CO10&amp;", "&amp;'Управителю (Форма)'!CO11</f>
        <v>пров. Д.  Самоквасова, 1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(Форма)'!CO13</f>
        <v>3.5999999999999997E-2</v>
      </c>
      <c r="D9" s="46">
        <f>C9</f>
        <v>3.5999999999999997E-2</v>
      </c>
      <c r="E9" s="46">
        <f>C9</f>
        <v>3.5999999999999997E-2</v>
      </c>
      <c r="F9" s="46">
        <f>C9</f>
        <v>3.5999999999999997E-2</v>
      </c>
    </row>
    <row r="10" spans="1:6" ht="18.75">
      <c r="A10" s="45" t="s">
        <v>9</v>
      </c>
      <c r="B10" s="21" t="s">
        <v>10</v>
      </c>
      <c r="C10" s="46">
        <f>'Управителю (Форма)'!CO14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(Форма)'!CO15</f>
        <v>0.32700000000000001</v>
      </c>
      <c r="D11" s="46">
        <f t="shared" si="0"/>
        <v>0.32700000000000001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(Форма)'!CO16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(Форма)'!CO19</f>
        <v>0.105</v>
      </c>
      <c r="D15" s="161">
        <f t="shared" si="0"/>
        <v>0.105</v>
      </c>
      <c r="E15" s="161">
        <f t="shared" si="2"/>
        <v>0.105</v>
      </c>
      <c r="F15" s="161">
        <f t="shared" si="1"/>
        <v>0.105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(Форма)'!CO26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(Форма)'!CO27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(Форма)'!CO28</f>
        <v>0.189</v>
      </c>
      <c r="D24" s="46">
        <f t="shared" si="0"/>
        <v>0.189</v>
      </c>
      <c r="E24" s="46">
        <f t="shared" si="2"/>
        <v>0.189</v>
      </c>
      <c r="F24" s="46">
        <f t="shared" si="1"/>
        <v>0.189</v>
      </c>
    </row>
    <row r="25" spans="1:6" ht="75">
      <c r="A25" s="45" t="s">
        <v>33</v>
      </c>
      <c r="B25" s="21" t="s">
        <v>34</v>
      </c>
      <c r="C25" s="46">
        <f>'Управителю (Форма)'!CO29</f>
        <v>0.03</v>
      </c>
      <c r="D25" s="46">
        <f t="shared" si="0"/>
        <v>0.03</v>
      </c>
      <c r="E25" s="46">
        <f t="shared" si="2"/>
        <v>0.03</v>
      </c>
      <c r="F25" s="46">
        <f t="shared" si="1"/>
        <v>0.03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(Форма)'!CO31</f>
        <v>0</v>
      </c>
      <c r="D27" s="46">
        <f t="shared" ref="D27:D36" si="3">C27</f>
        <v>0</v>
      </c>
      <c r="E27" s="46">
        <f t="shared" ref="E27:E36" si="4">C27</f>
        <v>0</v>
      </c>
      <c r="F27" s="46">
        <f t="shared" ref="F27:F36" si="5">C27</f>
        <v>0</v>
      </c>
    </row>
    <row r="28" spans="1:6" ht="18.75">
      <c r="A28" s="155" t="s">
        <v>39</v>
      </c>
      <c r="B28" s="35" t="s">
        <v>40</v>
      </c>
      <c r="C28" s="156">
        <f>'Управителю (Форма)'!CO32</f>
        <v>0.35899999999999999</v>
      </c>
      <c r="D28" s="156">
        <f t="shared" si="3"/>
        <v>0.35899999999999999</v>
      </c>
      <c r="E28" s="156">
        <f t="shared" si="4"/>
        <v>0.35899999999999999</v>
      </c>
      <c r="F28" s="156">
        <f t="shared" si="5"/>
        <v>0.35899999999999999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(Форма)'!CO42</f>
        <v>0</v>
      </c>
      <c r="D38" s="46">
        <f>C38</f>
        <v>0</v>
      </c>
      <c r="E38" s="46">
        <f>C38</f>
        <v>0</v>
      </c>
      <c r="F38" s="46">
        <f>C38</f>
        <v>0</v>
      </c>
    </row>
    <row r="39" spans="1:6" ht="37.5">
      <c r="A39" s="45" t="s">
        <v>49</v>
      </c>
      <c r="B39" s="20" t="s">
        <v>50</v>
      </c>
      <c r="C39" s="46">
        <f>'Управителю (Форма)'!CO43</f>
        <v>0.97799999999999998</v>
      </c>
      <c r="D39" s="46">
        <f>C39</f>
        <v>0.97799999999999998</v>
      </c>
      <c r="E39" s="46">
        <f>C39</f>
        <v>0.97799999999999998</v>
      </c>
      <c r="F39" s="46">
        <f>C39</f>
        <v>0.97799999999999998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0.34399999999999997</v>
      </c>
      <c r="D41" s="39">
        <f>SUM(D38:D40,D27:D36,D9:D25)*('Управителю (Форма)'!$D$7-1)</f>
        <v>0.34399999999999997</v>
      </c>
      <c r="E41" s="39">
        <f>SUM(E38:E40,E27:E36,E9:E25)*('Управителю (Форма)'!$D$7-1)</f>
        <v>0.28799999999999998</v>
      </c>
      <c r="F41" s="39">
        <f>SUM(F38:F40,F27:F36,F9:F25)*('Управителю (Форма)'!$D$7-1)</f>
        <v>0.28799999999999998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0.47399999999999998</v>
      </c>
      <c r="D42" s="40">
        <f>SUM(D38:D41,D27:D36,D9:D25)*0.2</f>
        <v>0.47399999999999998</v>
      </c>
      <c r="E42" s="40">
        <f>SUM(E38:E41,E27:E36,E9:E25)*0.2</f>
        <v>0.39700000000000002</v>
      </c>
      <c r="F42" s="40">
        <f>SUM(F38:F41,F27:F36,F9:F25)*0.2</f>
        <v>0.39700000000000002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2.8420000000000001</v>
      </c>
      <c r="D43" s="38">
        <f>SUM(D38:D40,D27:D36,D9:D25)+D41+D42</f>
        <v>2.8420000000000001</v>
      </c>
      <c r="E43" s="38">
        <f>SUM(E38:E40,E27:E36,E9:E25)+E41+E42</f>
        <v>2.3820000000000001</v>
      </c>
      <c r="F43" s="38">
        <f>SUM(F38:F40,F27:F36,F9:F25)+F41+F42</f>
        <v>2.3820000000000001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28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(Форма)'!AM10&amp;", "&amp;'Управителю (Форма)'!AM11</f>
        <v>вул. Попова, 10</v>
      </c>
      <c r="B4" s="167"/>
      <c r="C4" s="167"/>
      <c r="D4" s="167"/>
      <c r="E4" s="167"/>
      <c r="F4" s="167"/>
    </row>
    <row r="5" spans="1:6" ht="19.5" thickBot="1">
      <c r="A5" s="4"/>
    </row>
    <row r="6" spans="1:6" ht="37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(Форма)'!AM13</f>
        <v>0</v>
      </c>
      <c r="D9" s="46">
        <f>C9</f>
        <v>0</v>
      </c>
      <c r="E9" s="46">
        <f>C9</f>
        <v>0</v>
      </c>
      <c r="F9" s="46">
        <f>C9</f>
        <v>0</v>
      </c>
    </row>
    <row r="10" spans="1:6" ht="18.75">
      <c r="A10" s="45" t="s">
        <v>9</v>
      </c>
      <c r="B10" s="21" t="s">
        <v>10</v>
      </c>
      <c r="C10" s="46">
        <f>'Управителю (Форма)'!AM14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(Форма)'!AM15</f>
        <v>0.499</v>
      </c>
      <c r="D11" s="46">
        <f t="shared" si="0"/>
        <v>0.499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(Форма)'!AM16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(Форма)'!AM19</f>
        <v>2E-3</v>
      </c>
      <c r="D15" s="161">
        <f t="shared" si="0"/>
        <v>2E-3</v>
      </c>
      <c r="E15" s="161">
        <f t="shared" si="2"/>
        <v>2E-3</v>
      </c>
      <c r="F15" s="161">
        <f t="shared" si="1"/>
        <v>2E-3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(Форма)'!AM26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(Форма)'!AM27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(Форма)'!AM28</f>
        <v>2.8000000000000001E-2</v>
      </c>
      <c r="D24" s="46">
        <f t="shared" si="0"/>
        <v>2.8000000000000001E-2</v>
      </c>
      <c r="E24" s="46">
        <f t="shared" si="2"/>
        <v>2.8000000000000001E-2</v>
      </c>
      <c r="F24" s="46">
        <f t="shared" si="1"/>
        <v>2.8000000000000001E-2</v>
      </c>
    </row>
    <row r="25" spans="1:6" ht="75">
      <c r="A25" s="45" t="s">
        <v>33</v>
      </c>
      <c r="B25" s="21" t="s">
        <v>34</v>
      </c>
      <c r="C25" s="46">
        <f>'Управителю (Форма)'!AM29</f>
        <v>0</v>
      </c>
      <c r="D25" s="46">
        <f t="shared" si="0"/>
        <v>0</v>
      </c>
      <c r="E25" s="46">
        <f t="shared" si="2"/>
        <v>0</v>
      </c>
      <c r="F25" s="46">
        <f t="shared" si="1"/>
        <v>0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(Форма)'!AM31</f>
        <v>0</v>
      </c>
      <c r="D27" s="46">
        <f t="shared" ref="D27:D36" si="3">C27</f>
        <v>0</v>
      </c>
      <c r="E27" s="46">
        <f t="shared" ref="E27:E36" si="4">C27</f>
        <v>0</v>
      </c>
      <c r="F27" s="46">
        <f t="shared" ref="F27:F36" si="5">C27</f>
        <v>0</v>
      </c>
    </row>
    <row r="28" spans="1:6" ht="18.75">
      <c r="A28" s="155" t="s">
        <v>39</v>
      </c>
      <c r="B28" s="35" t="s">
        <v>40</v>
      </c>
      <c r="C28" s="156">
        <f>'Управителю (Форма)'!AM32</f>
        <v>0.35699999999999998</v>
      </c>
      <c r="D28" s="156">
        <f t="shared" si="3"/>
        <v>0.35699999999999998</v>
      </c>
      <c r="E28" s="156">
        <f t="shared" si="4"/>
        <v>0.35699999999999998</v>
      </c>
      <c r="F28" s="156">
        <f t="shared" si="5"/>
        <v>0.35699999999999998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(Форма)'!AM42</f>
        <v>0</v>
      </c>
      <c r="D38" s="46">
        <f>C38</f>
        <v>0</v>
      </c>
      <c r="E38" s="46">
        <f>C38</f>
        <v>0</v>
      </c>
      <c r="F38" s="46">
        <f>C38</f>
        <v>0</v>
      </c>
    </row>
    <row r="39" spans="1:6" ht="37.5">
      <c r="A39" s="45" t="s">
        <v>49</v>
      </c>
      <c r="B39" s="20" t="s">
        <v>50</v>
      </c>
      <c r="C39" s="46">
        <f>'Управителю (Форма)'!AM43</f>
        <v>0</v>
      </c>
      <c r="D39" s="46">
        <f>C39</f>
        <v>0</v>
      </c>
      <c r="E39" s="46">
        <f>C39</f>
        <v>0</v>
      </c>
      <c r="F39" s="46">
        <f>C39</f>
        <v>0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0.151</v>
      </c>
      <c r="D41" s="39">
        <f>SUM(D38:D40,D27:D36,D9:D25)*('Управителю (Форма)'!$D$7-1)</f>
        <v>0.151</v>
      </c>
      <c r="E41" s="39">
        <f>SUM(E38:E40,E27:E36,E9:E25)*('Управителю (Форма)'!$D$7-1)</f>
        <v>6.6000000000000003E-2</v>
      </c>
      <c r="F41" s="39">
        <f>SUM(F38:F40,F27:F36,F9:F25)*('Управителю (Форма)'!$D$7-1)</f>
        <v>6.6000000000000003E-2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0.20699999999999999</v>
      </c>
      <c r="D42" s="40">
        <f>SUM(D38:D41,D27:D36,D9:D25)*0.2</f>
        <v>0.20699999999999999</v>
      </c>
      <c r="E42" s="40">
        <f>SUM(E38:E41,E27:E36,E9:E25)*0.2</f>
        <v>9.0999999999999998E-2</v>
      </c>
      <c r="F42" s="40">
        <f>SUM(F38:F41,F27:F36,F9:F25)*0.2</f>
        <v>9.0999999999999998E-2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1.244</v>
      </c>
      <c r="D43" s="38">
        <f>SUM(D38:D40,D27:D36,D9:D25)+D41+D42</f>
        <v>1.244</v>
      </c>
      <c r="E43" s="38">
        <f>SUM(E38:E40,E27:E36,E9:E25)+E41+E42</f>
        <v>0.54400000000000004</v>
      </c>
      <c r="F43" s="38">
        <f>SUM(F38:F40,F27:F36,F9:F25)+F41+F42</f>
        <v>0.54400000000000004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(Форма)'!AL10&amp;", "&amp;'Управителю (Форма)'!AL11</f>
        <v>вул. Івана Мазепи, 78а</v>
      </c>
      <c r="B4" s="167"/>
      <c r="C4" s="167"/>
      <c r="D4" s="167"/>
      <c r="E4" s="167"/>
      <c r="F4" s="167"/>
    </row>
    <row r="5" spans="1:6" ht="19.5" thickBot="1">
      <c r="A5" s="4"/>
    </row>
    <row r="6" spans="1:6" ht="32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(Форма)'!AL13</f>
        <v>0.40699999999999997</v>
      </c>
      <c r="D9" s="46">
        <f>C9</f>
        <v>0.40699999999999997</v>
      </c>
      <c r="E9" s="46">
        <f>C9</f>
        <v>0.40699999999999997</v>
      </c>
      <c r="F9" s="46">
        <f>C9</f>
        <v>0.40699999999999997</v>
      </c>
    </row>
    <row r="10" spans="1:6" ht="18.75">
      <c r="A10" s="45" t="s">
        <v>9</v>
      </c>
      <c r="B10" s="21" t="s">
        <v>10</v>
      </c>
      <c r="C10" s="46">
        <f>'Управителю (Форма)'!AL14</f>
        <v>0.16200000000000001</v>
      </c>
      <c r="D10" s="46">
        <f t="shared" ref="D10:D25" si="0">C10</f>
        <v>0.16200000000000001</v>
      </c>
      <c r="E10" s="46"/>
      <c r="F10" s="46">
        <f t="shared" ref="F10:F25" si="1">C10</f>
        <v>0.16200000000000001</v>
      </c>
    </row>
    <row r="11" spans="1:6" ht="37.5">
      <c r="A11" s="45" t="s">
        <v>11</v>
      </c>
      <c r="B11" s="21" t="s">
        <v>12</v>
      </c>
      <c r="C11" s="46">
        <f>'Управителю (Форма)'!AL15</f>
        <v>0.84499999999999997</v>
      </c>
      <c r="D11" s="46">
        <f t="shared" si="0"/>
        <v>0.84499999999999997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(Форма)'!AL16</f>
        <v>7.0000000000000001E-3</v>
      </c>
      <c r="D12" s="46">
        <f t="shared" si="0"/>
        <v>7.0000000000000001E-3</v>
      </c>
      <c r="E12" s="46">
        <f t="shared" ref="E12:E25" si="2">C12</f>
        <v>7.0000000000000001E-3</v>
      </c>
      <c r="F12" s="46">
        <f t="shared" si="1"/>
        <v>7.0000000000000001E-3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(Форма)'!AL19</f>
        <v>0.33500000000000002</v>
      </c>
      <c r="D15" s="161">
        <f t="shared" si="0"/>
        <v>0.33500000000000002</v>
      </c>
      <c r="E15" s="161">
        <f t="shared" si="2"/>
        <v>0.33500000000000002</v>
      </c>
      <c r="F15" s="161">
        <f t="shared" si="1"/>
        <v>0.33500000000000002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(Форма)'!AL26</f>
        <v>2.1999999999999999E-2</v>
      </c>
      <c r="D22" s="46">
        <f t="shared" si="0"/>
        <v>2.1999999999999999E-2</v>
      </c>
      <c r="E22" s="46">
        <f t="shared" si="2"/>
        <v>2.1999999999999999E-2</v>
      </c>
      <c r="F22" s="46">
        <f t="shared" si="1"/>
        <v>2.1999999999999999E-2</v>
      </c>
    </row>
    <row r="23" spans="1:6" ht="18.75">
      <c r="A23" s="45" t="s">
        <v>29</v>
      </c>
      <c r="B23" s="21" t="s">
        <v>30</v>
      </c>
      <c r="C23" s="46">
        <f>'Управителю (Форма)'!AL27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(Форма)'!AL28</f>
        <v>1.4999999999999999E-2</v>
      </c>
      <c r="D24" s="46">
        <f t="shared" si="0"/>
        <v>1.4999999999999999E-2</v>
      </c>
      <c r="E24" s="46">
        <f t="shared" si="2"/>
        <v>1.4999999999999999E-2</v>
      </c>
      <c r="F24" s="46">
        <f t="shared" si="1"/>
        <v>1.4999999999999999E-2</v>
      </c>
    </row>
    <row r="25" spans="1:6" ht="75">
      <c r="A25" s="45" t="s">
        <v>33</v>
      </c>
      <c r="B25" s="21" t="s">
        <v>34</v>
      </c>
      <c r="C25" s="46">
        <f>'Управителю (Форма)'!AL29</f>
        <v>0.192</v>
      </c>
      <c r="D25" s="46">
        <f t="shared" si="0"/>
        <v>0.192</v>
      </c>
      <c r="E25" s="46">
        <f t="shared" si="2"/>
        <v>0.192</v>
      </c>
      <c r="F25" s="46">
        <f t="shared" si="1"/>
        <v>0.192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(Форма)'!AL31</f>
        <v>1.7000000000000001E-2</v>
      </c>
      <c r="D27" s="46">
        <f t="shared" ref="D27:D36" si="3">C27</f>
        <v>1.7000000000000001E-2</v>
      </c>
      <c r="E27" s="46">
        <f t="shared" ref="E27:E36" si="4">C27</f>
        <v>1.7000000000000001E-2</v>
      </c>
      <c r="F27" s="46">
        <f t="shared" ref="F27:F36" si="5">C27</f>
        <v>1.7000000000000001E-2</v>
      </c>
    </row>
    <row r="28" spans="1:6" ht="18.75">
      <c r="A28" s="155" t="s">
        <v>39</v>
      </c>
      <c r="B28" s="35" t="s">
        <v>40</v>
      </c>
      <c r="C28" s="156">
        <f>'Управителю (Форма)'!AL32</f>
        <v>0.60199999999999998</v>
      </c>
      <c r="D28" s="156">
        <f t="shared" si="3"/>
        <v>0.60199999999999998</v>
      </c>
      <c r="E28" s="156">
        <f t="shared" si="4"/>
        <v>0.60199999999999998</v>
      </c>
      <c r="F28" s="156">
        <f t="shared" si="5"/>
        <v>0.60199999999999998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(Форма)'!AL42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(Форма)'!AL43</f>
        <v>0.24099999999999999</v>
      </c>
      <c r="D39" s="46">
        <f>C39</f>
        <v>0.24099999999999999</v>
      </c>
      <c r="E39" s="46">
        <f>C39</f>
        <v>0.24099999999999999</v>
      </c>
      <c r="F39" s="46">
        <f>C39</f>
        <v>0.24099999999999999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0.48399999999999999</v>
      </c>
      <c r="D41" s="39">
        <f>SUM(D38:D40,D27:D36,D9:D25)*('Управителю (Форма)'!$D$7-1)</f>
        <v>0.48399999999999999</v>
      </c>
      <c r="E41" s="39">
        <f>SUM(E38:E40,E27:E36,E9:E25)*('Управителю (Форма)'!$D$7-1)</f>
        <v>0.313</v>
      </c>
      <c r="F41" s="39">
        <f>SUM(F38:F40,F27:F36,F9:F25)*('Управителю (Форма)'!$D$7-1)</f>
        <v>0.34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0.66600000000000004</v>
      </c>
      <c r="D42" s="40">
        <f>SUM(D38:D41,D27:D36,D9:D25)*0.2</f>
        <v>0.66600000000000004</v>
      </c>
      <c r="E42" s="40">
        <f>SUM(E38:E41,E27:E36,E9:E25)*0.2</f>
        <v>0.43099999999999999</v>
      </c>
      <c r="F42" s="40">
        <f>SUM(F38:F41,F27:F36,F9:F25)*0.2</f>
        <v>0.46800000000000003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3.9969999999999999</v>
      </c>
      <c r="D43" s="38">
        <f>SUM(D38:D40,D27:D36,D9:D25)+D41+D42</f>
        <v>3.9969999999999999</v>
      </c>
      <c r="E43" s="38">
        <f>SUM(E38:E40,E27:E36,E9:E25)+E41+E42</f>
        <v>2.5840000000000001</v>
      </c>
      <c r="F43" s="38">
        <f>SUM(F38:F40,F27:F36,F9:F25)+F41+F42</f>
        <v>2.81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(Форма)'!AK10&amp;", "&amp;'Управителю (Форма)'!AK11</f>
        <v>вул. Івана Мазепи, 72а</v>
      </c>
      <c r="B4" s="167"/>
      <c r="C4" s="167"/>
      <c r="D4" s="167"/>
      <c r="E4" s="167"/>
      <c r="F4" s="167"/>
    </row>
    <row r="5" spans="1:6" ht="19.5" thickBot="1">
      <c r="A5" s="4"/>
    </row>
    <row r="6" spans="1:6" ht="31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(Форма)'!AK13</f>
        <v>0.64500000000000002</v>
      </c>
      <c r="D9" s="46">
        <f>C9</f>
        <v>0.64500000000000002</v>
      </c>
      <c r="E9" s="46">
        <f>C9</f>
        <v>0.64500000000000002</v>
      </c>
      <c r="F9" s="46">
        <f>C9</f>
        <v>0.64500000000000002</v>
      </c>
    </row>
    <row r="10" spans="1:6" ht="18.75">
      <c r="A10" s="45" t="s">
        <v>9</v>
      </c>
      <c r="B10" s="21" t="s">
        <v>10</v>
      </c>
      <c r="C10" s="46">
        <f>'Управителю (Форма)'!AK14</f>
        <v>0.15</v>
      </c>
      <c r="D10" s="46">
        <f t="shared" ref="D10:D25" si="0">C10</f>
        <v>0.15</v>
      </c>
      <c r="E10" s="46"/>
      <c r="F10" s="46">
        <f t="shared" ref="F10:F25" si="1">C10</f>
        <v>0.15</v>
      </c>
    </row>
    <row r="11" spans="1:6" ht="37.5">
      <c r="A11" s="45" t="s">
        <v>11</v>
      </c>
      <c r="B11" s="21" t="s">
        <v>12</v>
      </c>
      <c r="C11" s="46">
        <f>'Управителю (Форма)'!AK15</f>
        <v>0.68700000000000006</v>
      </c>
      <c r="D11" s="46">
        <f t="shared" si="0"/>
        <v>0.68700000000000006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(Форма)'!AK16</f>
        <v>1.2E-2</v>
      </c>
      <c r="D12" s="46">
        <f t="shared" si="0"/>
        <v>1.2E-2</v>
      </c>
      <c r="E12" s="46">
        <f t="shared" ref="E12:E25" si="2">C12</f>
        <v>1.2E-2</v>
      </c>
      <c r="F12" s="46">
        <f t="shared" si="1"/>
        <v>1.2E-2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(Форма)'!AK17</f>
        <v>0.53400000000000003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(Форма)'!AK18</f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(Форма)'!AK19</f>
        <v>0.192</v>
      </c>
      <c r="D15" s="161">
        <f t="shared" si="0"/>
        <v>0.192</v>
      </c>
      <c r="E15" s="161">
        <f t="shared" si="2"/>
        <v>0.192</v>
      </c>
      <c r="F15" s="161">
        <f t="shared" si="1"/>
        <v>0.192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(Форма)'!AK26</f>
        <v>0.02</v>
      </c>
      <c r="D22" s="46">
        <f t="shared" si="0"/>
        <v>0.02</v>
      </c>
      <c r="E22" s="46">
        <f t="shared" si="2"/>
        <v>0.02</v>
      </c>
      <c r="F22" s="46">
        <f t="shared" si="1"/>
        <v>0.02</v>
      </c>
    </row>
    <row r="23" spans="1:6" ht="18.75">
      <c r="A23" s="45" t="s">
        <v>29</v>
      </c>
      <c r="B23" s="21" t="s">
        <v>30</v>
      </c>
      <c r="C23" s="46">
        <f>'Управителю (Форма)'!AK27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(Форма)'!AK28</f>
        <v>2.4E-2</v>
      </c>
      <c r="D24" s="46">
        <f t="shared" si="0"/>
        <v>2.4E-2</v>
      </c>
      <c r="E24" s="46">
        <f t="shared" si="2"/>
        <v>2.4E-2</v>
      </c>
      <c r="F24" s="46">
        <f t="shared" si="1"/>
        <v>2.4E-2</v>
      </c>
    </row>
    <row r="25" spans="1:6" ht="75">
      <c r="A25" s="45" t="s">
        <v>33</v>
      </c>
      <c r="B25" s="21" t="s">
        <v>34</v>
      </c>
      <c r="C25" s="46">
        <f>'Управителю (Форма)'!AK29</f>
        <v>0.19900000000000001</v>
      </c>
      <c r="D25" s="46">
        <f t="shared" si="0"/>
        <v>0.19900000000000001</v>
      </c>
      <c r="E25" s="46">
        <f t="shared" si="2"/>
        <v>0.19900000000000001</v>
      </c>
      <c r="F25" s="46">
        <f t="shared" si="1"/>
        <v>0.19900000000000001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(Форма)'!AK31</f>
        <v>1.4E-2</v>
      </c>
      <c r="D27" s="46">
        <f t="shared" ref="D27:D36" si="3">C27</f>
        <v>1.4E-2</v>
      </c>
      <c r="E27" s="46">
        <f t="shared" ref="E27:E36" si="4">C27</f>
        <v>1.4E-2</v>
      </c>
      <c r="F27" s="46">
        <f t="shared" ref="F27:F36" si="5">C27</f>
        <v>1.4E-2</v>
      </c>
    </row>
    <row r="28" spans="1:6" ht="18.75">
      <c r="A28" s="155" t="s">
        <v>39</v>
      </c>
      <c r="B28" s="35" t="s">
        <v>40</v>
      </c>
      <c r="C28" s="156">
        <f>'Управителю (Форма)'!AK32</f>
        <v>0.20399999999999999</v>
      </c>
      <c r="D28" s="156">
        <f t="shared" si="3"/>
        <v>0.20399999999999999</v>
      </c>
      <c r="E28" s="156">
        <f t="shared" si="4"/>
        <v>0.20399999999999999</v>
      </c>
      <c r="F28" s="156">
        <f t="shared" si="5"/>
        <v>0.20399999999999999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(Форма)'!AK42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(Форма)'!AK43</f>
        <v>0.28299999999999997</v>
      </c>
      <c r="D39" s="46">
        <f>C39</f>
        <v>0.28299999999999997</v>
      </c>
      <c r="E39" s="46">
        <f>C39</f>
        <v>0.28299999999999997</v>
      </c>
      <c r="F39" s="46">
        <f>C39</f>
        <v>0.28299999999999997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(Форма)'!AK44</f>
        <v>0.27100000000000002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0.41299999999999998</v>
      </c>
      <c r="D41" s="39">
        <f>SUM(D38:D40,D27:D36,D9:D25)*('Управителю (Форма)'!$D$7-1)</f>
        <v>0.55000000000000004</v>
      </c>
      <c r="E41" s="39">
        <f>SUM(E38:E40,E27:E36,E9:E25)*('Управителю (Форма)'!$D$7-1)</f>
        <v>0.27100000000000002</v>
      </c>
      <c r="F41" s="39">
        <f>SUM(F38:F40,F27:F36,F9:F25)*('Управителю (Форма)'!$D$7-1)</f>
        <v>0.29699999999999999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0.56899999999999995</v>
      </c>
      <c r="D42" s="40">
        <f>SUM(D38:D41,D27:D36,D9:D25)*0.2</f>
        <v>0.75700000000000001</v>
      </c>
      <c r="E42" s="40">
        <f>SUM(E38:E41,E27:E36,E9:E25)*0.2</f>
        <v>0.373</v>
      </c>
      <c r="F42" s="40">
        <f>SUM(F38:F41,F27:F36,F9:F25)*0.2</f>
        <v>0.40799999999999997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3.4140000000000001</v>
      </c>
      <c r="D43" s="38">
        <f>SUM(D38:D40,D27:D36,D9:D25)+D41+D42</f>
        <v>4.5439999999999996</v>
      </c>
      <c r="E43" s="38">
        <f>SUM(E38:E40,E27:E36,E9:E25)+E41+E42</f>
        <v>2.2389999999999999</v>
      </c>
      <c r="F43" s="38">
        <f>SUM(F38:F40,F27:F36,F9:F25)+F41+F42</f>
        <v>2.4500000000000002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C48" sqref="C48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(Форма)'!AJ10&amp;", "&amp;'Управителю (Форма)'!AJ11</f>
        <v>вул. Івана Мазепи, 68б</v>
      </c>
      <c r="B4" s="167"/>
      <c r="C4" s="167"/>
      <c r="D4" s="167"/>
      <c r="E4" s="167"/>
      <c r="F4" s="167"/>
    </row>
    <row r="5" spans="1:6" ht="19.5" thickBot="1">
      <c r="A5" s="4"/>
    </row>
    <row r="6" spans="1:6" ht="33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(Форма)'!AJ13</f>
        <v>0.224</v>
      </c>
      <c r="D9" s="46">
        <f>C9</f>
        <v>0.224</v>
      </c>
      <c r="E9" s="46">
        <f>C9</f>
        <v>0.224</v>
      </c>
      <c r="F9" s="46">
        <f>C9</f>
        <v>0.224</v>
      </c>
    </row>
    <row r="10" spans="1:6" ht="18.75">
      <c r="A10" s="45" t="s">
        <v>9</v>
      </c>
      <c r="B10" s="21" t="s">
        <v>10</v>
      </c>
      <c r="C10" s="46">
        <f>'Управителю (Форма)'!AJ14</f>
        <v>7.6999999999999999E-2</v>
      </c>
      <c r="D10" s="46">
        <f t="shared" ref="D10:D25" si="0">C10</f>
        <v>7.6999999999999999E-2</v>
      </c>
      <c r="E10" s="46"/>
      <c r="F10" s="46">
        <f t="shared" ref="F10:F25" si="1">C10</f>
        <v>7.6999999999999999E-2</v>
      </c>
    </row>
    <row r="11" spans="1:6" ht="37.5">
      <c r="A11" s="45" t="s">
        <v>11</v>
      </c>
      <c r="B11" s="21" t="s">
        <v>12</v>
      </c>
      <c r="C11" s="46">
        <f>'Управителю (Форма)'!AJ15</f>
        <v>0.71499999999999997</v>
      </c>
      <c r="D11" s="46">
        <f t="shared" si="0"/>
        <v>0.71499999999999997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(Форма)'!AJ16</f>
        <v>1E-3</v>
      </c>
      <c r="D12" s="46">
        <f t="shared" si="0"/>
        <v>1E-3</v>
      </c>
      <c r="E12" s="46">
        <f t="shared" ref="E12:E25" si="2">C12</f>
        <v>1E-3</v>
      </c>
      <c r="F12" s="46">
        <f t="shared" si="1"/>
        <v>1E-3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(Форма)'!AJ19</f>
        <v>0.35</v>
      </c>
      <c r="D15" s="161">
        <f t="shared" si="0"/>
        <v>0.35</v>
      </c>
      <c r="E15" s="161">
        <f t="shared" si="2"/>
        <v>0.35</v>
      </c>
      <c r="F15" s="161">
        <f t="shared" si="1"/>
        <v>0.35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(Форма)'!AJ26</f>
        <v>1.0999999999999999E-2</v>
      </c>
      <c r="D22" s="46">
        <f t="shared" si="0"/>
        <v>1.0999999999999999E-2</v>
      </c>
      <c r="E22" s="46">
        <f t="shared" si="2"/>
        <v>1.0999999999999999E-2</v>
      </c>
      <c r="F22" s="46">
        <f t="shared" si="1"/>
        <v>1.0999999999999999E-2</v>
      </c>
    </row>
    <row r="23" spans="1:6" ht="18.75">
      <c r="A23" s="45" t="s">
        <v>29</v>
      </c>
      <c r="B23" s="21" t="s">
        <v>30</v>
      </c>
      <c r="C23" s="46">
        <f>'Управителю (Форма)'!AJ27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(Форма)'!AJ28</f>
        <v>2.1000000000000001E-2</v>
      </c>
      <c r="D24" s="46">
        <f t="shared" si="0"/>
        <v>2.1000000000000001E-2</v>
      </c>
      <c r="E24" s="46">
        <f t="shared" si="2"/>
        <v>2.1000000000000001E-2</v>
      </c>
      <c r="F24" s="46">
        <f t="shared" si="1"/>
        <v>2.1000000000000001E-2</v>
      </c>
    </row>
    <row r="25" spans="1:6" ht="75">
      <c r="A25" s="45" t="s">
        <v>33</v>
      </c>
      <c r="B25" s="21" t="s">
        <v>34</v>
      </c>
      <c r="C25" s="46">
        <f>'Управителю (Форма)'!AJ29</f>
        <v>0.127</v>
      </c>
      <c r="D25" s="46">
        <f t="shared" si="0"/>
        <v>0.127</v>
      </c>
      <c r="E25" s="46">
        <f t="shared" si="2"/>
        <v>0.127</v>
      </c>
      <c r="F25" s="46">
        <f t="shared" si="1"/>
        <v>0.127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(Форма)'!AJ31</f>
        <v>5.0999999999999997E-2</v>
      </c>
      <c r="D27" s="46">
        <f t="shared" ref="D27:D36" si="3">C27</f>
        <v>5.0999999999999997E-2</v>
      </c>
      <c r="E27" s="46">
        <f t="shared" ref="E27:E36" si="4">C27</f>
        <v>5.0999999999999997E-2</v>
      </c>
      <c r="F27" s="46">
        <f t="shared" ref="F27:F36" si="5">C27</f>
        <v>5.0999999999999997E-2</v>
      </c>
    </row>
    <row r="28" spans="1:6" ht="18.75">
      <c r="A28" s="155" t="s">
        <v>39</v>
      </c>
      <c r="B28" s="35" t="s">
        <v>40</v>
      </c>
      <c r="C28" s="156">
        <f>'Управителю (Форма)'!AJ32</f>
        <v>0.625</v>
      </c>
      <c r="D28" s="156">
        <f t="shared" si="3"/>
        <v>0.625</v>
      </c>
      <c r="E28" s="156">
        <f t="shared" si="4"/>
        <v>0.625</v>
      </c>
      <c r="F28" s="156">
        <f t="shared" si="5"/>
        <v>0.625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(Форма)'!AJ42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(Форма)'!AJ43</f>
        <v>0.21299999999999999</v>
      </c>
      <c r="D39" s="46">
        <f>C39</f>
        <v>0.21299999999999999</v>
      </c>
      <c r="E39" s="46">
        <f>C39</f>
        <v>0.21299999999999999</v>
      </c>
      <c r="F39" s="46">
        <f>C39</f>
        <v>0.21299999999999999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0.41099999999999998</v>
      </c>
      <c r="D41" s="39">
        <f>SUM(D38:D40,D27:D36,D9:D25)*('Управителю (Форма)'!$D$7-1)</f>
        <v>0.41099999999999998</v>
      </c>
      <c r="E41" s="39">
        <f>SUM(E38:E40,E27:E36,E9:E25)*('Управителю (Форма)'!$D$7-1)</f>
        <v>0.27600000000000002</v>
      </c>
      <c r="F41" s="39">
        <f>SUM(F38:F40,F27:F36,F9:F25)*('Управителю (Форма)'!$D$7-1)</f>
        <v>0.28899999999999998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0.56599999999999995</v>
      </c>
      <c r="D42" s="40">
        <f>SUM(D38:D41,D27:D36,D9:D25)*0.2</f>
        <v>0.56599999999999995</v>
      </c>
      <c r="E42" s="40">
        <f>SUM(E38:E41,E27:E36,E9:E25)*0.2</f>
        <v>0.38</v>
      </c>
      <c r="F42" s="40">
        <f>SUM(F38:F41,F27:F36,F9:F25)*0.2</f>
        <v>0.39800000000000002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3.3940000000000001</v>
      </c>
      <c r="D43" s="38">
        <f>SUM(D38:D40,D27:D36,D9:D25)+D41+D42</f>
        <v>3.3940000000000001</v>
      </c>
      <c r="E43" s="38">
        <f>SUM(E38:E40,E27:E36,E9:E25)+E41+E42</f>
        <v>2.2810000000000001</v>
      </c>
      <c r="F43" s="38">
        <f>SUM(F38:F40,F27:F36,F9:F25)+F41+F42</f>
        <v>2.3889999999999998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(Форма)'!AI10&amp;", "&amp;'Управителю (Форма)'!AI11</f>
        <v>вул. Івана Мазепи, 68а</v>
      </c>
      <c r="B4" s="167"/>
      <c r="C4" s="167"/>
      <c r="D4" s="167"/>
      <c r="E4" s="167"/>
      <c r="F4" s="167"/>
    </row>
    <row r="5" spans="1:6" ht="19.5" thickBot="1">
      <c r="A5" s="4"/>
    </row>
    <row r="6" spans="1:6" ht="36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(Форма)'!AI13</f>
        <v>0.32500000000000001</v>
      </c>
      <c r="D9" s="46">
        <f>C9</f>
        <v>0.32500000000000001</v>
      </c>
      <c r="E9" s="46">
        <f>C9</f>
        <v>0.32500000000000001</v>
      </c>
      <c r="F9" s="46">
        <f>C9</f>
        <v>0.32500000000000001</v>
      </c>
    </row>
    <row r="10" spans="1:6" ht="18.75">
      <c r="A10" s="45" t="s">
        <v>9</v>
      </c>
      <c r="B10" s="21" t="s">
        <v>10</v>
      </c>
      <c r="C10" s="46">
        <f>'Управителю (Форма)'!AI14</f>
        <v>9.5000000000000001E-2</v>
      </c>
      <c r="D10" s="46">
        <f t="shared" ref="D10:D25" si="0">C10</f>
        <v>9.5000000000000001E-2</v>
      </c>
      <c r="E10" s="46"/>
      <c r="F10" s="46">
        <f t="shared" ref="F10:F25" si="1">C10</f>
        <v>9.5000000000000001E-2</v>
      </c>
    </row>
    <row r="11" spans="1:6" ht="37.5">
      <c r="A11" s="45" t="s">
        <v>11</v>
      </c>
      <c r="B11" s="21" t="s">
        <v>12</v>
      </c>
      <c r="C11" s="46">
        <f>'Управителю (Форма)'!AI15</f>
        <v>0.66800000000000004</v>
      </c>
      <c r="D11" s="46">
        <f t="shared" si="0"/>
        <v>0.66800000000000004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(Форма)'!AI16</f>
        <v>1E-3</v>
      </c>
      <c r="D12" s="46">
        <f t="shared" si="0"/>
        <v>1E-3</v>
      </c>
      <c r="E12" s="46">
        <f t="shared" ref="E12:E25" si="2">C12</f>
        <v>1E-3</v>
      </c>
      <c r="F12" s="46">
        <f t="shared" si="1"/>
        <v>1E-3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(Форма)'!AI19</f>
        <v>0.34</v>
      </c>
      <c r="D15" s="161">
        <f t="shared" si="0"/>
        <v>0.34</v>
      </c>
      <c r="E15" s="161">
        <f t="shared" si="2"/>
        <v>0.34</v>
      </c>
      <c r="F15" s="161">
        <f t="shared" si="1"/>
        <v>0.34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(Форма)'!AI26</f>
        <v>4.0000000000000001E-3</v>
      </c>
      <c r="D22" s="46">
        <f t="shared" si="0"/>
        <v>4.0000000000000001E-3</v>
      </c>
      <c r="E22" s="46">
        <f t="shared" si="2"/>
        <v>4.0000000000000001E-3</v>
      </c>
      <c r="F22" s="46">
        <f t="shared" si="1"/>
        <v>4.0000000000000001E-3</v>
      </c>
    </row>
    <row r="23" spans="1:6" ht="18.75">
      <c r="A23" s="45" t="s">
        <v>29</v>
      </c>
      <c r="B23" s="21" t="s">
        <v>30</v>
      </c>
      <c r="C23" s="46">
        <f>'Управителю (Форма)'!AI27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(Форма)'!AI28</f>
        <v>2.1000000000000001E-2</v>
      </c>
      <c r="D24" s="46">
        <f t="shared" si="0"/>
        <v>2.1000000000000001E-2</v>
      </c>
      <c r="E24" s="46">
        <f t="shared" si="2"/>
        <v>2.1000000000000001E-2</v>
      </c>
      <c r="F24" s="46">
        <f t="shared" si="1"/>
        <v>2.1000000000000001E-2</v>
      </c>
    </row>
    <row r="25" spans="1:6" ht="75">
      <c r="A25" s="45" t="s">
        <v>33</v>
      </c>
      <c r="B25" s="21" t="s">
        <v>34</v>
      </c>
      <c r="C25" s="46">
        <f>'Управителю (Форма)'!AI29</f>
        <v>0.20699999999999999</v>
      </c>
      <c r="D25" s="46">
        <f t="shared" si="0"/>
        <v>0.20699999999999999</v>
      </c>
      <c r="E25" s="46">
        <f t="shared" si="2"/>
        <v>0.20699999999999999</v>
      </c>
      <c r="F25" s="46">
        <f t="shared" si="1"/>
        <v>0.20699999999999999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(Форма)'!AI31</f>
        <v>5.0999999999999997E-2</v>
      </c>
      <c r="D27" s="46">
        <f t="shared" ref="D27:D36" si="3">C27</f>
        <v>5.0999999999999997E-2</v>
      </c>
      <c r="E27" s="46">
        <f t="shared" ref="E27:E36" si="4">C27</f>
        <v>5.0999999999999997E-2</v>
      </c>
      <c r="F27" s="46">
        <f t="shared" ref="F27:F36" si="5">C27</f>
        <v>5.0999999999999997E-2</v>
      </c>
    </row>
    <row r="28" spans="1:6" ht="18.75">
      <c r="A28" s="155" t="s">
        <v>39</v>
      </c>
      <c r="B28" s="35" t="s">
        <v>40</v>
      </c>
      <c r="C28" s="156">
        <f>'Управителю (Форма)'!AI32</f>
        <v>0.624</v>
      </c>
      <c r="D28" s="156">
        <f t="shared" si="3"/>
        <v>0.624</v>
      </c>
      <c r="E28" s="156">
        <f t="shared" si="4"/>
        <v>0.624</v>
      </c>
      <c r="F28" s="156">
        <f t="shared" si="5"/>
        <v>0.624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(Форма)'!AI42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(Форма)'!AI43</f>
        <v>0.20399999999999999</v>
      </c>
      <c r="D39" s="46">
        <f>C39</f>
        <v>0.20399999999999999</v>
      </c>
      <c r="E39" s="46">
        <f>C39</f>
        <v>0.20399999999999999</v>
      </c>
      <c r="F39" s="46">
        <f>C39</f>
        <v>0.20399999999999999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0.432</v>
      </c>
      <c r="D41" s="39">
        <f>SUM(D38:D40,D27:D36,D9:D25)*('Управителю (Форма)'!$D$7-1)</f>
        <v>0.432</v>
      </c>
      <c r="E41" s="39">
        <f>SUM(E38:E40,E27:E36,E9:E25)*('Управителю (Форма)'!$D$7-1)</f>
        <v>0.30199999999999999</v>
      </c>
      <c r="F41" s="39">
        <f>SUM(F38:F40,F27:F36,F9:F25)*('Управителю (Форма)'!$D$7-1)</f>
        <v>0.31900000000000001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0.59499999999999997</v>
      </c>
      <c r="D42" s="40">
        <f>SUM(D38:D41,D27:D36,D9:D25)*0.2</f>
        <v>0.59499999999999997</v>
      </c>
      <c r="E42" s="40">
        <f>SUM(E38:E41,E27:E36,E9:E25)*0.2</f>
        <v>0.41599999999999998</v>
      </c>
      <c r="F42" s="40">
        <f>SUM(F38:F41,F27:F36,F9:F25)*0.2</f>
        <v>0.439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3.569</v>
      </c>
      <c r="D43" s="38">
        <f>SUM(D38:D40,D27:D36,D9:D25)+D41+D42</f>
        <v>3.569</v>
      </c>
      <c r="E43" s="38">
        <f>SUM(E38:E40,E27:E36,E9:E25)+E41+E42</f>
        <v>2.4969999999999999</v>
      </c>
      <c r="F43" s="38">
        <f>SUM(F38:F40,F27:F36,F9:F25)+F41+F42</f>
        <v>2.6320000000000001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L61" sqref="L61:L63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(Форма)'!AH10&amp;", "&amp;'Управителю (Форма)'!AH11</f>
        <v>вул. Івана Мазепи, 68</v>
      </c>
      <c r="B4" s="167"/>
      <c r="C4" s="167"/>
      <c r="D4" s="167"/>
      <c r="E4" s="167"/>
      <c r="F4" s="167"/>
    </row>
    <row r="5" spans="1:6" ht="19.5" thickBot="1">
      <c r="A5" s="4"/>
    </row>
    <row r="6" spans="1:6" ht="35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(Форма)'!AH13</f>
        <v>0.15</v>
      </c>
      <c r="D9" s="46">
        <f>C9</f>
        <v>0.15</v>
      </c>
      <c r="E9" s="46">
        <f>C9</f>
        <v>0.15</v>
      </c>
      <c r="F9" s="46">
        <f>C9</f>
        <v>0.15</v>
      </c>
    </row>
    <row r="10" spans="1:6" ht="18.75">
      <c r="A10" s="45" t="s">
        <v>9</v>
      </c>
      <c r="B10" s="21" t="s">
        <v>10</v>
      </c>
      <c r="C10" s="46">
        <f>'Управителю (Форма)'!AH14</f>
        <v>0.17199999999999999</v>
      </c>
      <c r="D10" s="46">
        <f t="shared" ref="D10:D25" si="0">C10</f>
        <v>0.17199999999999999</v>
      </c>
      <c r="E10" s="46"/>
      <c r="F10" s="46">
        <f t="shared" ref="F10:F25" si="1">C10</f>
        <v>0.17199999999999999</v>
      </c>
    </row>
    <row r="11" spans="1:6" ht="37.5">
      <c r="A11" s="45" t="s">
        <v>11</v>
      </c>
      <c r="B11" s="21" t="s">
        <v>12</v>
      </c>
      <c r="C11" s="46">
        <f>'Управителю (Форма)'!AH15</f>
        <v>0.75900000000000001</v>
      </c>
      <c r="D11" s="46">
        <f t="shared" si="0"/>
        <v>0.75900000000000001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(Форма)'!AH16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(Форма)'!AH19</f>
        <v>0.34599999999999997</v>
      </c>
      <c r="D15" s="161">
        <f t="shared" si="0"/>
        <v>0.34599999999999997</v>
      </c>
      <c r="E15" s="161">
        <f t="shared" si="2"/>
        <v>0.34599999999999997</v>
      </c>
      <c r="F15" s="161">
        <f t="shared" si="1"/>
        <v>0.34599999999999997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(Форма)'!AH26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(Форма)'!AH27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(Форма)'!AH28</f>
        <v>1.4999999999999999E-2</v>
      </c>
      <c r="D24" s="46">
        <f t="shared" si="0"/>
        <v>1.4999999999999999E-2</v>
      </c>
      <c r="E24" s="46">
        <f t="shared" si="2"/>
        <v>1.4999999999999999E-2</v>
      </c>
      <c r="F24" s="46">
        <f t="shared" si="1"/>
        <v>1.4999999999999999E-2</v>
      </c>
    </row>
    <row r="25" spans="1:6" ht="75">
      <c r="A25" s="45" t="s">
        <v>33</v>
      </c>
      <c r="B25" s="21" t="s">
        <v>34</v>
      </c>
      <c r="C25" s="46">
        <f>'Управителю (Форма)'!AH29</f>
        <v>6.8000000000000005E-2</v>
      </c>
      <c r="D25" s="46">
        <f t="shared" si="0"/>
        <v>6.8000000000000005E-2</v>
      </c>
      <c r="E25" s="46">
        <f t="shared" si="2"/>
        <v>6.8000000000000005E-2</v>
      </c>
      <c r="F25" s="46">
        <f t="shared" si="1"/>
        <v>6.8000000000000005E-2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(Форма)'!AH31</f>
        <v>5.8999999999999997E-2</v>
      </c>
      <c r="D27" s="46">
        <f t="shared" ref="D27:D36" si="3">C27</f>
        <v>5.8999999999999997E-2</v>
      </c>
      <c r="E27" s="46">
        <f t="shared" ref="E27:E36" si="4">C27</f>
        <v>5.8999999999999997E-2</v>
      </c>
      <c r="F27" s="46">
        <f t="shared" ref="F27:F36" si="5">C27</f>
        <v>5.8999999999999997E-2</v>
      </c>
    </row>
    <row r="28" spans="1:6" ht="18.75">
      <c r="A28" s="155" t="s">
        <v>39</v>
      </c>
      <c r="B28" s="35" t="s">
        <v>40</v>
      </c>
      <c r="C28" s="156">
        <f>'Управителю (Форма)'!AH32</f>
        <v>0.66700000000000004</v>
      </c>
      <c r="D28" s="156">
        <f t="shared" si="3"/>
        <v>0.66700000000000004</v>
      </c>
      <c r="E28" s="156">
        <f t="shared" si="4"/>
        <v>0.66700000000000004</v>
      </c>
      <c r="F28" s="156">
        <f t="shared" si="5"/>
        <v>0.66700000000000004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(Форма)'!AH42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(Форма)'!AH43</f>
        <v>0.25900000000000001</v>
      </c>
      <c r="D39" s="46">
        <f>C39</f>
        <v>0.25900000000000001</v>
      </c>
      <c r="E39" s="46">
        <f>C39</f>
        <v>0.25900000000000001</v>
      </c>
      <c r="F39" s="46">
        <f>C39</f>
        <v>0.25900000000000001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0.42399999999999999</v>
      </c>
      <c r="D41" s="39">
        <f>SUM(D38:D40,D27:D36,D9:D25)*('Управителю (Форма)'!$D$7-1)</f>
        <v>0.42399999999999999</v>
      </c>
      <c r="E41" s="39">
        <f>SUM(E38:E40,E27:E36,E9:E25)*('Управителю (Форма)'!$D$7-1)</f>
        <v>0.26600000000000001</v>
      </c>
      <c r="F41" s="39">
        <f>SUM(F38:F40,F27:F36,F9:F25)*('Управителю (Форма)'!$D$7-1)</f>
        <v>0.29499999999999998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0.58399999999999996</v>
      </c>
      <c r="D42" s="40">
        <f>SUM(D38:D41,D27:D36,D9:D25)*0.2</f>
        <v>0.58399999999999996</v>
      </c>
      <c r="E42" s="40">
        <f>SUM(E38:E41,E27:E36,E9:E25)*0.2</f>
        <v>0.36599999999999999</v>
      </c>
      <c r="F42" s="40">
        <f>SUM(F38:F41,F27:F36,F9:F25)*0.2</f>
        <v>0.40600000000000003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3.504</v>
      </c>
      <c r="D43" s="38">
        <f>SUM(D38:D40,D27:D36,D9:D25)+D41+D42</f>
        <v>3.504</v>
      </c>
      <c r="E43" s="38">
        <f>SUM(E38:E40,E27:E36,E9:E25)+E41+E42</f>
        <v>2.1970000000000001</v>
      </c>
      <c r="F43" s="38">
        <f>SUM(F38:F40,F27:F36,F9:F25)+F41+F42</f>
        <v>2.4380000000000002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B74" sqref="B74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(Форма)'!AG10&amp;", "&amp;'Управителю (Форма)'!AG11</f>
        <v>вул. Заньковецької, 64</v>
      </c>
      <c r="B4" s="167"/>
      <c r="C4" s="167"/>
      <c r="D4" s="167"/>
      <c r="E4" s="167"/>
      <c r="F4" s="167"/>
    </row>
    <row r="5" spans="1:6" ht="19.5" thickBot="1">
      <c r="A5" s="4"/>
    </row>
    <row r="6" spans="1:6" ht="36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(Форма)'!AG13</f>
        <v>0</v>
      </c>
      <c r="D9" s="46">
        <f>C9</f>
        <v>0</v>
      </c>
      <c r="E9" s="46">
        <f>C9</f>
        <v>0</v>
      </c>
      <c r="F9" s="46">
        <f>C9</f>
        <v>0</v>
      </c>
    </row>
    <row r="10" spans="1:6" ht="18.75">
      <c r="A10" s="45" t="s">
        <v>9</v>
      </c>
      <c r="B10" s="21" t="s">
        <v>10</v>
      </c>
      <c r="C10" s="46">
        <f>'Управителю (Форма)'!AG14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(Форма)'!AG15</f>
        <v>0.39</v>
      </c>
      <c r="D11" s="46">
        <f t="shared" si="0"/>
        <v>0.39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(Форма)'!AG16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(Форма)'!AG19</f>
        <v>1E-3</v>
      </c>
      <c r="D15" s="161">
        <f t="shared" si="0"/>
        <v>1E-3</v>
      </c>
      <c r="E15" s="161">
        <f t="shared" si="2"/>
        <v>1E-3</v>
      </c>
      <c r="F15" s="161">
        <f t="shared" si="1"/>
        <v>1E-3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(Форма)'!AG26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(Форма)'!AG27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(Форма)'!AG28</f>
        <v>6.9000000000000006E-2</v>
      </c>
      <c r="D24" s="46">
        <f t="shared" si="0"/>
        <v>6.9000000000000006E-2</v>
      </c>
      <c r="E24" s="46">
        <f t="shared" si="2"/>
        <v>6.9000000000000006E-2</v>
      </c>
      <c r="F24" s="46">
        <f t="shared" si="1"/>
        <v>6.9000000000000006E-2</v>
      </c>
    </row>
    <row r="25" spans="1:6" ht="75">
      <c r="A25" s="45" t="s">
        <v>33</v>
      </c>
      <c r="B25" s="21" t="s">
        <v>34</v>
      </c>
      <c r="C25" s="46">
        <f>'Управителю (Форма)'!AG29</f>
        <v>0</v>
      </c>
      <c r="D25" s="46">
        <f t="shared" si="0"/>
        <v>0</v>
      </c>
      <c r="E25" s="46">
        <f t="shared" si="2"/>
        <v>0</v>
      </c>
      <c r="F25" s="46">
        <f t="shared" si="1"/>
        <v>0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(Форма)'!AG31</f>
        <v>0</v>
      </c>
      <c r="D27" s="46">
        <f t="shared" ref="D27:D36" si="3">C27</f>
        <v>0</v>
      </c>
      <c r="E27" s="46">
        <f t="shared" ref="E27:E36" si="4">C27</f>
        <v>0</v>
      </c>
      <c r="F27" s="46">
        <f t="shared" ref="F27:F36" si="5">C27</f>
        <v>0</v>
      </c>
    </row>
    <row r="28" spans="1:6" ht="18.75">
      <c r="A28" s="155" t="s">
        <v>39</v>
      </c>
      <c r="B28" s="35" t="s">
        <v>40</v>
      </c>
      <c r="C28" s="156">
        <f>'Управителю (Форма)'!AG32</f>
        <v>0.371</v>
      </c>
      <c r="D28" s="156">
        <f t="shared" si="3"/>
        <v>0.371</v>
      </c>
      <c r="E28" s="156">
        <f t="shared" si="4"/>
        <v>0.371</v>
      </c>
      <c r="F28" s="156">
        <f t="shared" si="5"/>
        <v>0.371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(Форма)'!AG42</f>
        <v>0</v>
      </c>
      <c r="D38" s="46">
        <f>C38</f>
        <v>0</v>
      </c>
      <c r="E38" s="46">
        <f>C38</f>
        <v>0</v>
      </c>
      <c r="F38" s="46">
        <f>C38</f>
        <v>0</v>
      </c>
    </row>
    <row r="39" spans="1:6" ht="37.5">
      <c r="A39" s="45" t="s">
        <v>49</v>
      </c>
      <c r="B39" s="20" t="s">
        <v>50</v>
      </c>
      <c r="C39" s="46">
        <f>'Управителю (Форма)'!AG43</f>
        <v>0</v>
      </c>
      <c r="D39" s="46">
        <f>C39</f>
        <v>0</v>
      </c>
      <c r="E39" s="46">
        <f>C39</f>
        <v>0</v>
      </c>
      <c r="F39" s="46">
        <f>C39</f>
        <v>0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0.14099999999999999</v>
      </c>
      <c r="D41" s="39">
        <f>SUM(D38:D40,D27:D36,D9:D25)*('Управителю (Форма)'!$D$7-1)</f>
        <v>0.14099999999999999</v>
      </c>
      <c r="E41" s="39">
        <f>SUM(E38:E40,E27:E36,E9:E25)*('Управителю (Форма)'!$D$7-1)</f>
        <v>7.4999999999999997E-2</v>
      </c>
      <c r="F41" s="39">
        <f>SUM(F38:F40,F27:F36,F9:F25)*('Управителю (Форма)'!$D$7-1)</f>
        <v>7.4999999999999997E-2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0.19400000000000001</v>
      </c>
      <c r="D42" s="40">
        <f>SUM(D38:D41,D27:D36,D9:D25)*0.2</f>
        <v>0.19400000000000001</v>
      </c>
      <c r="E42" s="40">
        <f>SUM(E38:E41,E27:E36,E9:E25)*0.2</f>
        <v>0.10299999999999999</v>
      </c>
      <c r="F42" s="40">
        <f>SUM(F38:F41,F27:F36,F9:F25)*0.2</f>
        <v>0.10299999999999999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1.1659999999999999</v>
      </c>
      <c r="D43" s="38">
        <f>SUM(D38:D40,D27:D36,D9:D25)+D41+D42</f>
        <v>1.1659999999999999</v>
      </c>
      <c r="E43" s="38">
        <f>SUM(E38:E40,E27:E36,E9:E25)+E41+E42</f>
        <v>0.61899999999999999</v>
      </c>
      <c r="F43" s="38">
        <f>SUM(F38:F40,F27:F36,F9:F25)+F41+F42</f>
        <v>0.61899999999999999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(Форма)'!AF10&amp;", "&amp;'Управителю (Форма)'!AF11</f>
        <v>вул. Заньковецької, 62</v>
      </c>
      <c r="B4" s="167"/>
      <c r="C4" s="167"/>
      <c r="D4" s="167"/>
      <c r="E4" s="167"/>
      <c r="F4" s="167"/>
    </row>
    <row r="5" spans="1:6" ht="19.5" thickBot="1">
      <c r="A5" s="4"/>
    </row>
    <row r="6" spans="1:6" ht="37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(Форма)'!AF13</f>
        <v>0</v>
      </c>
      <c r="D9" s="46">
        <f>C9</f>
        <v>0</v>
      </c>
      <c r="E9" s="46">
        <f>C9</f>
        <v>0</v>
      </c>
      <c r="F9" s="46">
        <f>C9</f>
        <v>0</v>
      </c>
    </row>
    <row r="10" spans="1:6" ht="18.75">
      <c r="A10" s="45" t="s">
        <v>9</v>
      </c>
      <c r="B10" s="21" t="s">
        <v>10</v>
      </c>
      <c r="C10" s="46">
        <f>'Управителю (Форма)'!AF14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(Форма)'!AF15</f>
        <v>0.317</v>
      </c>
      <c r="D11" s="46">
        <f t="shared" si="0"/>
        <v>0.317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(Форма)'!AF16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(Форма)'!AF19</f>
        <v>2E-3</v>
      </c>
      <c r="D15" s="161">
        <f t="shared" si="0"/>
        <v>2E-3</v>
      </c>
      <c r="E15" s="161">
        <f t="shared" si="2"/>
        <v>2E-3</v>
      </c>
      <c r="F15" s="161">
        <f t="shared" si="1"/>
        <v>2E-3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(Форма)'!AF26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(Форма)'!AF27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(Форма)'!AF28</f>
        <v>5.3999999999999999E-2</v>
      </c>
      <c r="D24" s="46">
        <f t="shared" si="0"/>
        <v>5.3999999999999999E-2</v>
      </c>
      <c r="E24" s="46">
        <f t="shared" si="2"/>
        <v>5.3999999999999999E-2</v>
      </c>
      <c r="F24" s="46">
        <f t="shared" si="1"/>
        <v>5.3999999999999999E-2</v>
      </c>
    </row>
    <row r="25" spans="1:6" ht="75">
      <c r="A25" s="45" t="s">
        <v>33</v>
      </c>
      <c r="B25" s="21" t="s">
        <v>34</v>
      </c>
      <c r="C25" s="46">
        <f>'Управителю (Форма)'!AF29</f>
        <v>0</v>
      </c>
      <c r="D25" s="46">
        <f t="shared" si="0"/>
        <v>0</v>
      </c>
      <c r="E25" s="46">
        <f t="shared" si="2"/>
        <v>0</v>
      </c>
      <c r="F25" s="46">
        <f t="shared" si="1"/>
        <v>0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(Форма)'!AF31</f>
        <v>0</v>
      </c>
      <c r="D27" s="46">
        <f t="shared" ref="D27:D36" si="3">C27</f>
        <v>0</v>
      </c>
      <c r="E27" s="46">
        <f t="shared" ref="E27:E36" si="4">C27</f>
        <v>0</v>
      </c>
      <c r="F27" s="46">
        <f t="shared" ref="F27:F36" si="5">C27</f>
        <v>0</v>
      </c>
    </row>
    <row r="28" spans="1:6" ht="18.75">
      <c r="A28" s="155" t="s">
        <v>39</v>
      </c>
      <c r="B28" s="35" t="s">
        <v>40</v>
      </c>
      <c r="C28" s="156">
        <f>'Управителю (Форма)'!AF32</f>
        <v>0.39400000000000002</v>
      </c>
      <c r="D28" s="156">
        <f t="shared" si="3"/>
        <v>0.39400000000000002</v>
      </c>
      <c r="E28" s="156">
        <f t="shared" si="4"/>
        <v>0.39400000000000002</v>
      </c>
      <c r="F28" s="156">
        <f t="shared" si="5"/>
        <v>0.39400000000000002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(Форма)'!AF42</f>
        <v>0</v>
      </c>
      <c r="D38" s="46">
        <f>C38</f>
        <v>0</v>
      </c>
      <c r="E38" s="46">
        <f>C38</f>
        <v>0</v>
      </c>
      <c r="F38" s="46">
        <f>C38</f>
        <v>0</v>
      </c>
    </row>
    <row r="39" spans="1:6" ht="37.5">
      <c r="A39" s="45" t="s">
        <v>49</v>
      </c>
      <c r="B39" s="20" t="s">
        <v>50</v>
      </c>
      <c r="C39" s="46">
        <f>'Управителю (Форма)'!AF43</f>
        <v>0</v>
      </c>
      <c r="D39" s="46">
        <f>C39</f>
        <v>0</v>
      </c>
      <c r="E39" s="46">
        <f>C39</f>
        <v>0</v>
      </c>
      <c r="F39" s="46">
        <f>C39</f>
        <v>0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0.13</v>
      </c>
      <c r="D41" s="39">
        <f>SUM(D38:D40,D27:D36,D9:D25)*('Управителю (Форма)'!$D$7-1)</f>
        <v>0.13</v>
      </c>
      <c r="E41" s="39">
        <f>SUM(E38:E40,E27:E36,E9:E25)*('Управителю (Форма)'!$D$7-1)</f>
        <v>7.6999999999999999E-2</v>
      </c>
      <c r="F41" s="39">
        <f>SUM(F38:F40,F27:F36,F9:F25)*('Управителю (Форма)'!$D$7-1)</f>
        <v>7.6999999999999999E-2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0.17899999999999999</v>
      </c>
      <c r="D42" s="40">
        <f>SUM(D38:D41,D27:D36,D9:D25)*0.2</f>
        <v>0.17899999999999999</v>
      </c>
      <c r="E42" s="40">
        <f>SUM(E38:E41,E27:E36,E9:E25)*0.2</f>
        <v>0.105</v>
      </c>
      <c r="F42" s="40">
        <f>SUM(F38:F41,F27:F36,F9:F25)*0.2</f>
        <v>0.105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1.0760000000000001</v>
      </c>
      <c r="D43" s="38">
        <f>SUM(D38:D40,D27:D36,D9:D25)+D41+D42</f>
        <v>1.0760000000000001</v>
      </c>
      <c r="E43" s="38">
        <f>SUM(E38:E40,E27:E36,E9:E25)+E41+E42</f>
        <v>0.63200000000000001</v>
      </c>
      <c r="F43" s="38">
        <f>SUM(F38:F40,F27:F36,F9:F25)+F41+F42</f>
        <v>0.63200000000000001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(Форма)'!AE10&amp;", "&amp;'Управителю (Форма)'!AE11</f>
        <v>вул. Заньковецької, 60</v>
      </c>
      <c r="B4" s="167"/>
      <c r="C4" s="167"/>
      <c r="D4" s="167"/>
      <c r="E4" s="167"/>
      <c r="F4" s="167"/>
    </row>
    <row r="5" spans="1:6" ht="19.5" thickBot="1">
      <c r="A5" s="4"/>
    </row>
    <row r="6" spans="1:6" ht="37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(Форма)'!AE13</f>
        <v>0</v>
      </c>
      <c r="D9" s="46">
        <f>C9</f>
        <v>0</v>
      </c>
      <c r="E9" s="46">
        <f>C9</f>
        <v>0</v>
      </c>
      <c r="F9" s="46">
        <f>C9</f>
        <v>0</v>
      </c>
    </row>
    <row r="10" spans="1:6" ht="18.75">
      <c r="A10" s="45" t="s">
        <v>9</v>
      </c>
      <c r="B10" s="21" t="s">
        <v>10</v>
      </c>
      <c r="C10" s="46">
        <f>'Управителю (Форма)'!AE14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(Форма)'!AE15</f>
        <v>0.44600000000000001</v>
      </c>
      <c r="D11" s="46">
        <f t="shared" si="0"/>
        <v>0.44600000000000001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(Форма)'!AE16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(Форма)'!AE19</f>
        <v>1E-3</v>
      </c>
      <c r="D15" s="161">
        <f t="shared" si="0"/>
        <v>1E-3</v>
      </c>
      <c r="E15" s="161">
        <f t="shared" si="2"/>
        <v>1E-3</v>
      </c>
      <c r="F15" s="161">
        <f t="shared" si="1"/>
        <v>1E-3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(Форма)'!AE26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(Форма)'!AE27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(Форма)'!AE28</f>
        <v>6.3E-2</v>
      </c>
      <c r="D24" s="46">
        <f t="shared" si="0"/>
        <v>6.3E-2</v>
      </c>
      <c r="E24" s="46">
        <f t="shared" si="2"/>
        <v>6.3E-2</v>
      </c>
      <c r="F24" s="46">
        <f t="shared" si="1"/>
        <v>6.3E-2</v>
      </c>
    </row>
    <row r="25" spans="1:6" ht="75">
      <c r="A25" s="45" t="s">
        <v>33</v>
      </c>
      <c r="B25" s="21" t="s">
        <v>34</v>
      </c>
      <c r="C25" s="46">
        <f>'Управителю (Форма)'!AE29</f>
        <v>0</v>
      </c>
      <c r="D25" s="46">
        <f t="shared" si="0"/>
        <v>0</v>
      </c>
      <c r="E25" s="46">
        <f t="shared" si="2"/>
        <v>0</v>
      </c>
      <c r="F25" s="46">
        <f t="shared" si="1"/>
        <v>0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(Форма)'!AE31</f>
        <v>0</v>
      </c>
      <c r="D27" s="46">
        <f t="shared" ref="D27:D36" si="3">C27</f>
        <v>0</v>
      </c>
      <c r="E27" s="46">
        <f t="shared" ref="E27:E36" si="4">C27</f>
        <v>0</v>
      </c>
      <c r="F27" s="46">
        <f t="shared" ref="F27:F36" si="5">C27</f>
        <v>0</v>
      </c>
    </row>
    <row r="28" spans="1:6" ht="18.75">
      <c r="A28" s="155" t="s">
        <v>39</v>
      </c>
      <c r="B28" s="35" t="s">
        <v>40</v>
      </c>
      <c r="C28" s="156">
        <f>'Управителю (Форма)'!AE32</f>
        <v>0.36899999999999999</v>
      </c>
      <c r="D28" s="156">
        <f t="shared" si="3"/>
        <v>0.36899999999999999</v>
      </c>
      <c r="E28" s="156">
        <f t="shared" si="4"/>
        <v>0.36899999999999999</v>
      </c>
      <c r="F28" s="156">
        <f t="shared" si="5"/>
        <v>0.36899999999999999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(Форма)'!AE42</f>
        <v>0</v>
      </c>
      <c r="D38" s="46">
        <f>C38</f>
        <v>0</v>
      </c>
      <c r="E38" s="46">
        <f>C38</f>
        <v>0</v>
      </c>
      <c r="F38" s="46">
        <f>C38</f>
        <v>0</v>
      </c>
    </row>
    <row r="39" spans="1:6" ht="37.5">
      <c r="A39" s="45" t="s">
        <v>49</v>
      </c>
      <c r="B39" s="20" t="s">
        <v>50</v>
      </c>
      <c r="C39" s="46">
        <f>'Управителю (Форма)'!AE43</f>
        <v>0</v>
      </c>
      <c r="D39" s="46">
        <f>C39</f>
        <v>0</v>
      </c>
      <c r="E39" s="46">
        <f>C39</f>
        <v>0</v>
      </c>
      <c r="F39" s="46">
        <f>C39</f>
        <v>0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0.14899999999999999</v>
      </c>
      <c r="D41" s="39">
        <f>SUM(D38:D40,D27:D36,D9:D25)*('Управителю (Форма)'!$D$7-1)</f>
        <v>0.14899999999999999</v>
      </c>
      <c r="E41" s="39">
        <f>SUM(E38:E40,E27:E36,E9:E25)*('Управителю (Форма)'!$D$7-1)</f>
        <v>7.3999999999999996E-2</v>
      </c>
      <c r="F41" s="39">
        <f>SUM(F38:F40,F27:F36,F9:F25)*('Управителю (Форма)'!$D$7-1)</f>
        <v>7.3999999999999996E-2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0.20599999999999999</v>
      </c>
      <c r="D42" s="40">
        <f>SUM(D38:D41,D27:D36,D9:D25)*0.2</f>
        <v>0.20599999999999999</v>
      </c>
      <c r="E42" s="40">
        <f>SUM(E38:E41,E27:E36,E9:E25)*0.2</f>
        <v>0.10100000000000001</v>
      </c>
      <c r="F42" s="40">
        <f>SUM(F38:F41,F27:F36,F9:F25)*0.2</f>
        <v>0.10100000000000001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1.234</v>
      </c>
      <c r="D43" s="38">
        <f>SUM(D38:D40,D27:D36,D9:D25)+D41+D42</f>
        <v>1.234</v>
      </c>
      <c r="E43" s="38">
        <f>SUM(E38:E40,E27:E36,E9:E25)+E41+E42</f>
        <v>0.60799999999999998</v>
      </c>
      <c r="F43" s="38">
        <f>SUM(F38:F40,F27:F36,F9:F25)+F41+F42</f>
        <v>0.60799999999999998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(Форма)'!AD10&amp;", "&amp;'Управителю (Форма)'!AD11</f>
        <v>вул. Заньковецької, 43</v>
      </c>
      <c r="B4" s="167"/>
      <c r="C4" s="167"/>
      <c r="D4" s="167"/>
      <c r="E4" s="167"/>
      <c r="F4" s="167"/>
    </row>
    <row r="5" spans="1:6" ht="19.5" thickBot="1">
      <c r="A5" s="4"/>
    </row>
    <row r="6" spans="1:6" ht="33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(Форма)'!AD13</f>
        <v>0</v>
      </c>
      <c r="D9" s="46">
        <f>C9</f>
        <v>0</v>
      </c>
      <c r="E9" s="46">
        <f>C9</f>
        <v>0</v>
      </c>
      <c r="F9" s="46">
        <f>C9</f>
        <v>0</v>
      </c>
    </row>
    <row r="10" spans="1:6" ht="18.75">
      <c r="A10" s="45" t="s">
        <v>9</v>
      </c>
      <c r="B10" s="21" t="s">
        <v>10</v>
      </c>
      <c r="C10" s="46">
        <f>'Управителю (Форма)'!AD14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(Форма)'!AD15</f>
        <v>0.33300000000000002</v>
      </c>
      <c r="D11" s="46">
        <f t="shared" si="0"/>
        <v>0.33300000000000002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(Форма)'!AD16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(Форма)'!AD19</f>
        <v>0.32800000000000001</v>
      </c>
      <c r="D15" s="161">
        <f t="shared" si="0"/>
        <v>0.32800000000000001</v>
      </c>
      <c r="E15" s="161">
        <f t="shared" si="2"/>
        <v>0.32800000000000001</v>
      </c>
      <c r="F15" s="161">
        <f t="shared" si="1"/>
        <v>0.32800000000000001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(Форма)'!AD26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(Форма)'!AD27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(Форма)'!AD28</f>
        <v>0.08</v>
      </c>
      <c r="D24" s="46">
        <f t="shared" si="0"/>
        <v>0.08</v>
      </c>
      <c r="E24" s="46">
        <f t="shared" si="2"/>
        <v>0.08</v>
      </c>
      <c r="F24" s="46">
        <f t="shared" si="1"/>
        <v>0.08</v>
      </c>
    </row>
    <row r="25" spans="1:6" ht="75">
      <c r="A25" s="45" t="s">
        <v>33</v>
      </c>
      <c r="B25" s="21" t="s">
        <v>34</v>
      </c>
      <c r="C25" s="46">
        <f>'Управителю (Форма)'!AD29</f>
        <v>0</v>
      </c>
      <c r="D25" s="46">
        <f t="shared" si="0"/>
        <v>0</v>
      </c>
      <c r="E25" s="46">
        <f t="shared" si="2"/>
        <v>0</v>
      </c>
      <c r="F25" s="46">
        <f t="shared" si="1"/>
        <v>0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(Форма)'!AD31</f>
        <v>2E-3</v>
      </c>
      <c r="D27" s="46">
        <f t="shared" ref="D27:D36" si="3">C27</f>
        <v>2E-3</v>
      </c>
      <c r="E27" s="46">
        <f t="shared" ref="E27:E36" si="4">C27</f>
        <v>2E-3</v>
      </c>
      <c r="F27" s="46">
        <f t="shared" ref="F27:F36" si="5">C27</f>
        <v>2E-3</v>
      </c>
    </row>
    <row r="28" spans="1:6" ht="18.75">
      <c r="A28" s="155" t="s">
        <v>39</v>
      </c>
      <c r="B28" s="35" t="s">
        <v>40</v>
      </c>
      <c r="C28" s="156">
        <f>'Управителю (Форма)'!AD32</f>
        <v>0.41699999999999998</v>
      </c>
      <c r="D28" s="156">
        <f t="shared" si="3"/>
        <v>0.41699999999999998</v>
      </c>
      <c r="E28" s="156">
        <f t="shared" si="4"/>
        <v>0.41699999999999998</v>
      </c>
      <c r="F28" s="156">
        <f t="shared" si="5"/>
        <v>0.41699999999999998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(Форма)'!AD42</f>
        <v>0</v>
      </c>
      <c r="D38" s="46">
        <f>C38</f>
        <v>0</v>
      </c>
      <c r="E38" s="46">
        <f>C38</f>
        <v>0</v>
      </c>
      <c r="F38" s="46">
        <f>C38</f>
        <v>0</v>
      </c>
    </row>
    <row r="39" spans="1:6" ht="37.5">
      <c r="A39" s="45" t="s">
        <v>49</v>
      </c>
      <c r="B39" s="20" t="s">
        <v>50</v>
      </c>
      <c r="C39" s="46">
        <f>'Управителю (Форма)'!AD43</f>
        <v>0</v>
      </c>
      <c r="D39" s="46">
        <f>C39</f>
        <v>0</v>
      </c>
      <c r="E39" s="46">
        <f>C39</f>
        <v>0</v>
      </c>
      <c r="F39" s="46">
        <f>C39</f>
        <v>0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0.19700000000000001</v>
      </c>
      <c r="D41" s="39">
        <f>SUM(D38:D40,D27:D36,D9:D25)*('Управителю (Форма)'!$D$7-1)</f>
        <v>0.19700000000000001</v>
      </c>
      <c r="E41" s="39">
        <f>SUM(E38:E40,E27:E36,E9:E25)*('Управителю (Форма)'!$D$7-1)</f>
        <v>0.14099999999999999</v>
      </c>
      <c r="F41" s="39">
        <f>SUM(F38:F40,F27:F36,F9:F25)*('Управителю (Форма)'!$D$7-1)</f>
        <v>0.14099999999999999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0.27100000000000002</v>
      </c>
      <c r="D42" s="40">
        <f>SUM(D38:D41,D27:D36,D9:D25)*0.2</f>
        <v>0.27100000000000002</v>
      </c>
      <c r="E42" s="40">
        <f>SUM(E38:E41,E27:E36,E9:E25)*0.2</f>
        <v>0.19400000000000001</v>
      </c>
      <c r="F42" s="40">
        <f>SUM(F38:F41,F27:F36,F9:F25)*0.2</f>
        <v>0.19400000000000001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1.6279999999999999</v>
      </c>
      <c r="D43" s="38">
        <f>SUM(D38:D40,D27:D36,D9:D25)+D41+D42</f>
        <v>1.6279999999999999</v>
      </c>
      <c r="E43" s="38">
        <f>SUM(E38:E40,E27:E36,E9:E25)+E41+E42</f>
        <v>1.1619999999999999</v>
      </c>
      <c r="F43" s="38">
        <f>SUM(F38:F40,F27:F36,F9:F25)+F41+F42</f>
        <v>1.1619999999999999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40" workbookViewId="0">
      <selection activeCell="C45" sqref="C45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(Форма)'!CN10&amp;", "&amp;'Управителю (Форма)'!CN11</f>
        <v>пр.Попова, 12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(Форма)'!CN13</f>
        <v>0</v>
      </c>
      <c r="D9" s="46">
        <f>C9</f>
        <v>0</v>
      </c>
      <c r="E9" s="46">
        <f>C9</f>
        <v>0</v>
      </c>
      <c r="F9" s="46">
        <f>C9</f>
        <v>0</v>
      </c>
    </row>
    <row r="10" spans="1:6" ht="18.75">
      <c r="A10" s="45" t="s">
        <v>9</v>
      </c>
      <c r="B10" s="21" t="s">
        <v>10</v>
      </c>
      <c r="C10" s="46">
        <f>'Управителю (Форма)'!CN14</f>
        <v>0</v>
      </c>
      <c r="D10" s="46">
        <f t="shared" ref="D10:D25" si="0">C10</f>
        <v>0</v>
      </c>
      <c r="E10" s="46"/>
      <c r="F10" s="46">
        <f t="shared" ref="F10:F25" si="1">C10</f>
        <v>0</v>
      </c>
    </row>
    <row r="11" spans="1:6" ht="37.5">
      <c r="A11" s="45" t="s">
        <v>11</v>
      </c>
      <c r="B11" s="21" t="s">
        <v>12</v>
      </c>
      <c r="C11" s="46">
        <f>'Управителю (Форма)'!CN15</f>
        <v>0.42</v>
      </c>
      <c r="D11" s="46">
        <f t="shared" si="0"/>
        <v>0.42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(Форма)'!CN16</f>
        <v>0</v>
      </c>
      <c r="D12" s="46">
        <f t="shared" si="0"/>
        <v>0</v>
      </c>
      <c r="E12" s="46">
        <f t="shared" ref="E12:E25" si="2">C12</f>
        <v>0</v>
      </c>
      <c r="F12" s="46">
        <f t="shared" si="1"/>
        <v>0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(Форма)'!CN19</f>
        <v>1E-3</v>
      </c>
      <c r="D15" s="161">
        <f t="shared" si="0"/>
        <v>1E-3</v>
      </c>
      <c r="E15" s="161">
        <f t="shared" si="2"/>
        <v>1E-3</v>
      </c>
      <c r="F15" s="161">
        <f t="shared" si="1"/>
        <v>1E-3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(Форма)'!CN26</f>
        <v>0</v>
      </c>
      <c r="D22" s="46">
        <f t="shared" si="0"/>
        <v>0</v>
      </c>
      <c r="E22" s="46">
        <f t="shared" si="2"/>
        <v>0</v>
      </c>
      <c r="F22" s="46">
        <f t="shared" si="1"/>
        <v>0</v>
      </c>
    </row>
    <row r="23" spans="1:6" ht="18.75">
      <c r="A23" s="45" t="s">
        <v>29</v>
      </c>
      <c r="B23" s="21" t="s">
        <v>30</v>
      </c>
      <c r="C23" s="46">
        <f>'Управителю (Форма)'!CN27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(Форма)'!CN28</f>
        <v>9.5000000000000001E-2</v>
      </c>
      <c r="D24" s="46">
        <f t="shared" si="0"/>
        <v>9.5000000000000001E-2</v>
      </c>
      <c r="E24" s="46">
        <f t="shared" si="2"/>
        <v>9.5000000000000001E-2</v>
      </c>
      <c r="F24" s="46">
        <f t="shared" si="1"/>
        <v>9.5000000000000001E-2</v>
      </c>
    </row>
    <row r="25" spans="1:6" ht="75">
      <c r="A25" s="45" t="s">
        <v>33</v>
      </c>
      <c r="B25" s="21" t="s">
        <v>34</v>
      </c>
      <c r="C25" s="46">
        <f>'Управителю (Форма)'!CN29</f>
        <v>0</v>
      </c>
      <c r="D25" s="46">
        <f t="shared" si="0"/>
        <v>0</v>
      </c>
      <c r="E25" s="46">
        <f t="shared" si="2"/>
        <v>0</v>
      </c>
      <c r="F25" s="46">
        <f t="shared" si="1"/>
        <v>0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(Форма)'!CN31</f>
        <v>0</v>
      </c>
      <c r="D27" s="46">
        <f t="shared" ref="D27:D36" si="3">C27</f>
        <v>0</v>
      </c>
      <c r="E27" s="46">
        <f t="shared" ref="E27:E36" si="4">C27</f>
        <v>0</v>
      </c>
      <c r="F27" s="46">
        <f t="shared" ref="F27:F36" si="5">C27</f>
        <v>0</v>
      </c>
    </row>
    <row r="28" spans="1:6" ht="18.75">
      <c r="A28" s="155" t="s">
        <v>39</v>
      </c>
      <c r="B28" s="35" t="s">
        <v>40</v>
      </c>
      <c r="C28" s="156">
        <f>'Управителю (Форма)'!CN32</f>
        <v>0.36699999999999999</v>
      </c>
      <c r="D28" s="156">
        <f t="shared" si="3"/>
        <v>0.36699999999999999</v>
      </c>
      <c r="E28" s="156">
        <f t="shared" si="4"/>
        <v>0.36699999999999999</v>
      </c>
      <c r="F28" s="156">
        <f t="shared" si="5"/>
        <v>0.36699999999999999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(Форма)'!CN42</f>
        <v>0</v>
      </c>
      <c r="D38" s="46">
        <f>C38</f>
        <v>0</v>
      </c>
      <c r="E38" s="46">
        <f>C38</f>
        <v>0</v>
      </c>
      <c r="F38" s="46">
        <f>C38</f>
        <v>0</v>
      </c>
    </row>
    <row r="39" spans="1:6" ht="37.5">
      <c r="A39" s="45" t="s">
        <v>49</v>
      </c>
      <c r="B39" s="20" t="s">
        <v>50</v>
      </c>
      <c r="C39" s="46">
        <f>'Управителю (Форма)'!CN43</f>
        <v>0</v>
      </c>
      <c r="D39" s="46">
        <f>C39</f>
        <v>0</v>
      </c>
      <c r="E39" s="46">
        <f>C39</f>
        <v>0</v>
      </c>
      <c r="F39" s="46">
        <f>C39</f>
        <v>0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0.15</v>
      </c>
      <c r="D41" s="39">
        <f>SUM(D38:D40,D27:D36,D9:D25)*('Управителю (Форма)'!$D$7-1)</f>
        <v>0.15</v>
      </c>
      <c r="E41" s="39">
        <f>SUM(E38:E40,E27:E36,E9:E25)*('Управителю (Форма)'!$D$7-1)</f>
        <v>7.9000000000000001E-2</v>
      </c>
      <c r="F41" s="39">
        <f>SUM(F38:F40,F27:F36,F9:F25)*('Управителю (Форма)'!$D$7-1)</f>
        <v>7.9000000000000001E-2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0.20699999999999999</v>
      </c>
      <c r="D42" s="40">
        <f>SUM(D38:D41,D27:D36,D9:D25)*0.2</f>
        <v>0.20699999999999999</v>
      </c>
      <c r="E42" s="40">
        <f>SUM(E38:E41,E27:E36,E9:E25)*0.2</f>
        <v>0.108</v>
      </c>
      <c r="F42" s="40">
        <f>SUM(F38:F41,F27:F36,F9:F25)*0.2</f>
        <v>0.108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1.24</v>
      </c>
      <c r="D43" s="38">
        <f>SUM(D38:D40,D27:D36,D9:D25)+D41+D42</f>
        <v>1.24</v>
      </c>
      <c r="E43" s="38">
        <f>SUM(E38:E40,E27:E36,E9:E25)+E41+E42</f>
        <v>0.65</v>
      </c>
      <c r="F43" s="38">
        <f>SUM(F38:F40,F27:F36,F9:F25)+F41+F42</f>
        <v>0.65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(Форма)'!AC10&amp;", "&amp;'Управителю (Форма)'!AC11</f>
        <v>вул. Заньковецької, 30</v>
      </c>
      <c r="B4" s="167"/>
      <c r="C4" s="167"/>
      <c r="D4" s="167"/>
      <c r="E4" s="167"/>
      <c r="F4" s="167"/>
    </row>
    <row r="5" spans="1:6" ht="19.5" thickBot="1">
      <c r="A5" s="4"/>
    </row>
    <row r="6" spans="1:6" ht="35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(Форма)'!AC13</f>
        <v>0.42899999999999999</v>
      </c>
      <c r="D9" s="46">
        <f>C9</f>
        <v>0.42899999999999999</v>
      </c>
      <c r="E9" s="46">
        <f>C9</f>
        <v>0.42899999999999999</v>
      </c>
      <c r="F9" s="46">
        <f>C9</f>
        <v>0.42899999999999999</v>
      </c>
    </row>
    <row r="10" spans="1:6" ht="18.75">
      <c r="A10" s="45" t="s">
        <v>9</v>
      </c>
      <c r="B10" s="21" t="s">
        <v>10</v>
      </c>
      <c r="C10" s="46">
        <f>'Управителю (Форма)'!AC14</f>
        <v>0.29699999999999999</v>
      </c>
      <c r="D10" s="46">
        <f t="shared" ref="D10:D25" si="0">C10</f>
        <v>0.29699999999999999</v>
      </c>
      <c r="E10" s="46"/>
      <c r="F10" s="46">
        <f t="shared" ref="F10:F25" si="1">C10</f>
        <v>0.29699999999999999</v>
      </c>
    </row>
    <row r="11" spans="1:6" ht="37.5">
      <c r="A11" s="45" t="s">
        <v>11</v>
      </c>
      <c r="B11" s="21" t="s">
        <v>12</v>
      </c>
      <c r="C11" s="46">
        <f>'Управителю (Форма)'!AC15</f>
        <v>0.373</v>
      </c>
      <c r="D11" s="46">
        <f t="shared" si="0"/>
        <v>0.373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(Форма)'!AC16</f>
        <v>1.2E-2</v>
      </c>
      <c r="D12" s="46">
        <f t="shared" si="0"/>
        <v>1.2E-2</v>
      </c>
      <c r="E12" s="46">
        <f t="shared" ref="E12:E25" si="2">C12</f>
        <v>1.2E-2</v>
      </c>
      <c r="F12" s="46">
        <f t="shared" si="1"/>
        <v>1.2E-2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(Форма)'!AC17</f>
        <v>0.311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(Форма)'!AC18</f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(Форма)'!AC19</f>
        <v>0.42399999999999999</v>
      </c>
      <c r="D15" s="161">
        <f t="shared" si="0"/>
        <v>0.42399999999999999</v>
      </c>
      <c r="E15" s="161">
        <f t="shared" si="2"/>
        <v>0.42399999999999999</v>
      </c>
      <c r="F15" s="161">
        <f t="shared" si="1"/>
        <v>0.42399999999999999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(Форма)'!AC26</f>
        <v>1.2E-2</v>
      </c>
      <c r="D22" s="46">
        <f t="shared" si="0"/>
        <v>1.2E-2</v>
      </c>
      <c r="E22" s="46">
        <f t="shared" si="2"/>
        <v>1.2E-2</v>
      </c>
      <c r="F22" s="46">
        <f t="shared" si="1"/>
        <v>1.2E-2</v>
      </c>
    </row>
    <row r="23" spans="1:6" ht="18.75">
      <c r="A23" s="45" t="s">
        <v>29</v>
      </c>
      <c r="B23" s="21" t="s">
        <v>30</v>
      </c>
      <c r="C23" s="46">
        <f>'Управителю (Форма)'!AC27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(Форма)'!AC28</f>
        <v>2.8000000000000001E-2</v>
      </c>
      <c r="D24" s="46">
        <f t="shared" si="0"/>
        <v>2.8000000000000001E-2</v>
      </c>
      <c r="E24" s="46">
        <f t="shared" si="2"/>
        <v>2.8000000000000001E-2</v>
      </c>
      <c r="F24" s="46">
        <f t="shared" si="1"/>
        <v>2.8000000000000001E-2</v>
      </c>
    </row>
    <row r="25" spans="1:6" ht="75">
      <c r="A25" s="45" t="s">
        <v>33</v>
      </c>
      <c r="B25" s="21" t="s">
        <v>34</v>
      </c>
      <c r="C25" s="46">
        <f>'Управителю (Форма)'!AC29</f>
        <v>8.6999999999999994E-2</v>
      </c>
      <c r="D25" s="46">
        <f t="shared" si="0"/>
        <v>8.6999999999999994E-2</v>
      </c>
      <c r="E25" s="46">
        <f t="shared" si="2"/>
        <v>8.6999999999999994E-2</v>
      </c>
      <c r="F25" s="46">
        <f t="shared" si="1"/>
        <v>8.6999999999999994E-2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(Форма)'!AC31</f>
        <v>4.2000000000000003E-2</v>
      </c>
      <c r="D27" s="46">
        <f t="shared" ref="D27:D36" si="3">C27</f>
        <v>4.2000000000000003E-2</v>
      </c>
      <c r="E27" s="46">
        <f t="shared" ref="E27:E36" si="4">C27</f>
        <v>4.2000000000000003E-2</v>
      </c>
      <c r="F27" s="46">
        <f t="shared" ref="F27:F36" si="5">C27</f>
        <v>4.2000000000000003E-2</v>
      </c>
    </row>
    <row r="28" spans="1:6" ht="18.75">
      <c r="A28" s="155" t="s">
        <v>39</v>
      </c>
      <c r="B28" s="35" t="s">
        <v>40</v>
      </c>
      <c r="C28" s="156">
        <f>'Управителю (Форма)'!AC32</f>
        <v>0.61499999999999999</v>
      </c>
      <c r="D28" s="156">
        <f t="shared" si="3"/>
        <v>0.61499999999999999</v>
      </c>
      <c r="E28" s="156">
        <f t="shared" si="4"/>
        <v>0.61499999999999999</v>
      </c>
      <c r="F28" s="156">
        <f t="shared" si="5"/>
        <v>0.61499999999999999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(Форма)'!AC42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(Форма)'!AC43</f>
        <v>0.20599999999999999</v>
      </c>
      <c r="D39" s="46">
        <f>C39</f>
        <v>0.20599999999999999</v>
      </c>
      <c r="E39" s="46">
        <f>C39/9/2</f>
        <v>1.0999999999999999E-2</v>
      </c>
      <c r="F39" s="54">
        <f>D39/9/2</f>
        <v>1.0999999999999999E-2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(Форма)'!AC44</f>
        <v>0.312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0.43</v>
      </c>
      <c r="D41" s="39">
        <f>SUM(D38:D40,D27:D36,D9:D25)*('Управителю (Форма)'!$D$7-1)</f>
        <v>0.53600000000000003</v>
      </c>
      <c r="E41" s="39">
        <f>SUM(E38:E40,E27:E36,E9:E25)*('Управителю (Форма)'!$D$7-1)</f>
        <v>0.28299999999999997</v>
      </c>
      <c r="F41" s="39">
        <f>SUM(F38:F40,F27:F36,F9:F25)*('Управителю (Форма)'!$D$7-1)</f>
        <v>0.33300000000000002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0.59099999999999997</v>
      </c>
      <c r="D42" s="40">
        <f>SUM(D38:D41,D27:D36,D9:D25)*0.2</f>
        <v>0.73699999999999999</v>
      </c>
      <c r="E42" s="40">
        <f>SUM(E38:E41,E27:E36,E9:E25)*0.2</f>
        <v>0.38900000000000001</v>
      </c>
      <c r="F42" s="40">
        <f>SUM(F38:F41,F27:F36,F9:F25)*0.2</f>
        <v>0.45800000000000002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3.548</v>
      </c>
      <c r="D43" s="38">
        <f>SUM(D38:D40,D27:D36,D9:D25)+D41+D42</f>
        <v>4.423</v>
      </c>
      <c r="E43" s="38">
        <f>SUM(E38:E40,E27:E36,E9:E25)+E41+E42</f>
        <v>2.3340000000000001</v>
      </c>
      <c r="F43" s="38">
        <f>SUM(F38:F40,F27:F36,F9:F25)+F41+F42</f>
        <v>2.75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C39" sqref="C3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(Форма)'!AB10&amp;", "&amp;'Управителю (Форма)'!AB11</f>
        <v>вул. Заньковецької, 28</v>
      </c>
      <c r="B4" s="167"/>
      <c r="C4" s="167"/>
      <c r="D4" s="167"/>
      <c r="E4" s="167"/>
      <c r="F4" s="167"/>
    </row>
    <row r="5" spans="1:6" ht="19.5" thickBot="1">
      <c r="A5" s="4"/>
    </row>
    <row r="6" spans="1:6" ht="36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(Форма)'!AB13</f>
        <v>0.35499999999999998</v>
      </c>
      <c r="D9" s="46">
        <f>C9</f>
        <v>0.35499999999999998</v>
      </c>
      <c r="E9" s="46">
        <f>C9</f>
        <v>0.35499999999999998</v>
      </c>
      <c r="F9" s="46">
        <f>C9</f>
        <v>0.35499999999999998</v>
      </c>
    </row>
    <row r="10" spans="1:6" ht="18.75">
      <c r="A10" s="45" t="s">
        <v>9</v>
      </c>
      <c r="B10" s="21" t="s">
        <v>10</v>
      </c>
      <c r="C10" s="46">
        <f>'Управителю (Форма)'!AB14</f>
        <v>0.27600000000000002</v>
      </c>
      <c r="D10" s="46">
        <f t="shared" ref="D10:D25" si="0">C10</f>
        <v>0.27600000000000002</v>
      </c>
      <c r="E10" s="46"/>
      <c r="F10" s="46">
        <f t="shared" ref="F10:F25" si="1">C10</f>
        <v>0.27600000000000002</v>
      </c>
    </row>
    <row r="11" spans="1:6" ht="37.5">
      <c r="A11" s="45" t="s">
        <v>11</v>
      </c>
      <c r="B11" s="21" t="s">
        <v>12</v>
      </c>
      <c r="C11" s="46">
        <f>'Управителю (Форма)'!AB15</f>
        <v>0.36199999999999999</v>
      </c>
      <c r="D11" s="46">
        <f t="shared" si="0"/>
        <v>0.36199999999999999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(Форма)'!AB16</f>
        <v>1.4E-2</v>
      </c>
      <c r="D12" s="46">
        <f t="shared" si="0"/>
        <v>1.4E-2</v>
      </c>
      <c r="E12" s="46">
        <f t="shared" ref="E12:E25" si="2">C12</f>
        <v>1.4E-2</v>
      </c>
      <c r="F12" s="46">
        <f t="shared" si="1"/>
        <v>1.4E-2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(Форма)'!AB17</f>
        <v>0.39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(Форма)'!AB18</f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(Форма)'!AB19</f>
        <v>0.42199999999999999</v>
      </c>
      <c r="D15" s="161">
        <f t="shared" si="0"/>
        <v>0.42199999999999999</v>
      </c>
      <c r="E15" s="161">
        <f t="shared" si="2"/>
        <v>0.42199999999999999</v>
      </c>
      <c r="F15" s="161">
        <f t="shared" si="1"/>
        <v>0.42199999999999999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(Форма)'!AB26</f>
        <v>1.0999999999999999E-2</v>
      </c>
      <c r="D22" s="46">
        <f t="shared" si="0"/>
        <v>1.0999999999999999E-2</v>
      </c>
      <c r="E22" s="46">
        <f t="shared" si="2"/>
        <v>1.0999999999999999E-2</v>
      </c>
      <c r="F22" s="46">
        <f t="shared" si="1"/>
        <v>1.0999999999999999E-2</v>
      </c>
    </row>
    <row r="23" spans="1:6" ht="18.75">
      <c r="A23" s="45" t="s">
        <v>29</v>
      </c>
      <c r="B23" s="21" t="s">
        <v>30</v>
      </c>
      <c r="C23" s="46">
        <f>'Управителю (Форма)'!AB27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(Форма)'!AB28</f>
        <v>0.03</v>
      </c>
      <c r="D24" s="46">
        <f t="shared" si="0"/>
        <v>0.03</v>
      </c>
      <c r="E24" s="46">
        <f t="shared" si="2"/>
        <v>0.03</v>
      </c>
      <c r="F24" s="46">
        <f t="shared" si="1"/>
        <v>0.03</v>
      </c>
    </row>
    <row r="25" spans="1:6" ht="75">
      <c r="A25" s="45" t="s">
        <v>33</v>
      </c>
      <c r="B25" s="21" t="s">
        <v>34</v>
      </c>
      <c r="C25" s="46">
        <f>'Управителю (Форма)'!AB29</f>
        <v>3.1E-2</v>
      </c>
      <c r="D25" s="46">
        <f t="shared" si="0"/>
        <v>3.1E-2</v>
      </c>
      <c r="E25" s="46">
        <f t="shared" si="2"/>
        <v>3.1E-2</v>
      </c>
      <c r="F25" s="46">
        <f t="shared" si="1"/>
        <v>3.1E-2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(Форма)'!AB31</f>
        <v>4.3999999999999997E-2</v>
      </c>
      <c r="D27" s="46">
        <f t="shared" ref="D27:D36" si="3">C27</f>
        <v>4.3999999999999997E-2</v>
      </c>
      <c r="E27" s="46">
        <f t="shared" ref="E27:E36" si="4">C27</f>
        <v>4.3999999999999997E-2</v>
      </c>
      <c r="F27" s="46">
        <f t="shared" ref="F27:F36" si="5">C27</f>
        <v>4.3999999999999997E-2</v>
      </c>
    </row>
    <row r="28" spans="1:6" ht="18.75">
      <c r="A28" s="155" t="s">
        <v>39</v>
      </c>
      <c r="B28" s="35" t="s">
        <v>40</v>
      </c>
      <c r="C28" s="156">
        <f>'Управителю (Форма)'!AB32</f>
        <v>0.66200000000000003</v>
      </c>
      <c r="D28" s="156">
        <f t="shared" si="3"/>
        <v>0.66200000000000003</v>
      </c>
      <c r="E28" s="156">
        <f t="shared" si="4"/>
        <v>0.66200000000000003</v>
      </c>
      <c r="F28" s="156">
        <f t="shared" si="5"/>
        <v>0.66200000000000003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(Форма)'!AB42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(Форма)'!AB43</f>
        <v>0.215</v>
      </c>
      <c r="D39" s="46">
        <f>C39</f>
        <v>0.215</v>
      </c>
      <c r="E39" s="54">
        <f>C39/9/2</f>
        <v>1.2E-2</v>
      </c>
      <c r="F39" s="54">
        <f>D39/9/2</f>
        <v>1.2E-2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(Форма)'!AB44</f>
        <v>0.33100000000000002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0.41199999999999998</v>
      </c>
      <c r="D41" s="39">
        <f>SUM(D38:D40,D27:D36,D9:D25)*('Управителю (Форма)'!$D$7-1)</f>
        <v>0.53500000000000003</v>
      </c>
      <c r="E41" s="39">
        <f>SUM(E38:E40,E27:E36,E9:E25)*('Управителю (Форма)'!$D$7-1)</f>
        <v>0.26900000000000002</v>
      </c>
      <c r="F41" s="39">
        <f>SUM(F38:F40,F27:F36,F9:F25)*('Управителю (Форма)'!$D$7-1)</f>
        <v>0.316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0.56699999999999995</v>
      </c>
      <c r="D42" s="40">
        <f>SUM(D38:D41,D27:D36,D9:D25)*0.2</f>
        <v>0.73599999999999999</v>
      </c>
      <c r="E42" s="40">
        <f>SUM(E38:E41,E27:E36,E9:E25)*0.2</f>
        <v>0.37</v>
      </c>
      <c r="F42" s="40">
        <f>SUM(F38:F41,F27:F36,F9:F25)*0.2</f>
        <v>0.435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3.403</v>
      </c>
      <c r="D43" s="38">
        <f>SUM(D38:D40,D27:D36,D9:D25)+D41+D42</f>
        <v>4.4160000000000004</v>
      </c>
      <c r="E43" s="38">
        <f>SUM(E38:E40,E27:E36,E9:E25)+E41+E42</f>
        <v>2.222</v>
      </c>
      <c r="F43" s="38">
        <f>SUM(F38:F40,F27:F36,F9:F25)+F41+F42</f>
        <v>2.61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(Форма)'!AA10&amp;", "&amp;'Управителю (Форма)'!AA11</f>
        <v>вул. Дніпровська, 35</v>
      </c>
      <c r="B4" s="167"/>
      <c r="C4" s="167"/>
      <c r="D4" s="167"/>
      <c r="E4" s="167"/>
      <c r="F4" s="167"/>
    </row>
    <row r="5" spans="1:6" ht="19.5" thickBot="1">
      <c r="A5" s="4"/>
    </row>
    <row r="6" spans="1:6" ht="33.7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(Форма)'!AA13</f>
        <v>0.41399999999999998</v>
      </c>
      <c r="D9" s="46">
        <f>C9</f>
        <v>0.41399999999999998</v>
      </c>
      <c r="E9" s="46">
        <f>C9</f>
        <v>0.41399999999999998</v>
      </c>
      <c r="F9" s="46">
        <f>C9</f>
        <v>0.41399999999999998</v>
      </c>
    </row>
    <row r="10" spans="1:6" ht="18.75">
      <c r="A10" s="45" t="s">
        <v>9</v>
      </c>
      <c r="B10" s="21" t="s">
        <v>10</v>
      </c>
      <c r="C10" s="46">
        <f>'Управителю (Форма)'!AA14</f>
        <v>0.254</v>
      </c>
      <c r="D10" s="46">
        <f t="shared" ref="D10:D25" si="0">C10</f>
        <v>0.254</v>
      </c>
      <c r="E10" s="46"/>
      <c r="F10" s="46">
        <f t="shared" ref="F10:F25" si="1">C10</f>
        <v>0.254</v>
      </c>
    </row>
    <row r="11" spans="1:6" ht="37.5">
      <c r="A11" s="45" t="s">
        <v>11</v>
      </c>
      <c r="B11" s="21" t="s">
        <v>12</v>
      </c>
      <c r="C11" s="46">
        <f>'Управителю (Форма)'!AA15</f>
        <v>0.375</v>
      </c>
      <c r="D11" s="46">
        <f t="shared" si="0"/>
        <v>0.375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(Форма)'!AA16</f>
        <v>1.6E-2</v>
      </c>
      <c r="D12" s="46">
        <f t="shared" si="0"/>
        <v>1.6E-2</v>
      </c>
      <c r="E12" s="46">
        <f t="shared" ref="E12:E25" si="2">C12</f>
        <v>1.6E-2</v>
      </c>
      <c r="F12" s="46">
        <f t="shared" si="1"/>
        <v>1.6E-2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(Форма)'!AA17</f>
        <v>0.22600000000000001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(Форма)'!AA18</f>
        <v>2.8000000000000001E-2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(Форма)'!AA19</f>
        <v>0.437</v>
      </c>
      <c r="D15" s="161">
        <f t="shared" si="0"/>
        <v>0.437</v>
      </c>
      <c r="E15" s="161">
        <f t="shared" si="2"/>
        <v>0.437</v>
      </c>
      <c r="F15" s="161">
        <f t="shared" si="1"/>
        <v>0.437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(Форма)'!AA26</f>
        <v>1.2E-2</v>
      </c>
      <c r="D22" s="46">
        <f t="shared" si="0"/>
        <v>1.2E-2</v>
      </c>
      <c r="E22" s="46">
        <f t="shared" si="2"/>
        <v>1.2E-2</v>
      </c>
      <c r="F22" s="46">
        <f t="shared" si="1"/>
        <v>1.2E-2</v>
      </c>
    </row>
    <row r="23" spans="1:6" ht="18.75">
      <c r="A23" s="45" t="s">
        <v>29</v>
      </c>
      <c r="B23" s="21" t="s">
        <v>30</v>
      </c>
      <c r="C23" s="46">
        <f>'Управителю (Форма)'!AA27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(Форма)'!AA28</f>
        <v>2.5999999999999999E-2</v>
      </c>
      <c r="D24" s="46">
        <f t="shared" si="0"/>
        <v>2.5999999999999999E-2</v>
      </c>
      <c r="E24" s="46">
        <f t="shared" si="2"/>
        <v>2.5999999999999999E-2</v>
      </c>
      <c r="F24" s="46">
        <f t="shared" si="1"/>
        <v>2.5999999999999999E-2</v>
      </c>
    </row>
    <row r="25" spans="1:6" ht="75">
      <c r="A25" s="45" t="s">
        <v>33</v>
      </c>
      <c r="B25" s="21" t="s">
        <v>34</v>
      </c>
      <c r="C25" s="46">
        <f>'Управителю (Форма)'!AA29</f>
        <v>4.1000000000000002E-2</v>
      </c>
      <c r="D25" s="46">
        <f t="shared" si="0"/>
        <v>4.1000000000000002E-2</v>
      </c>
      <c r="E25" s="46">
        <f t="shared" si="2"/>
        <v>4.1000000000000002E-2</v>
      </c>
      <c r="F25" s="46">
        <f t="shared" si="1"/>
        <v>4.1000000000000002E-2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(Форма)'!AA31</f>
        <v>4.2000000000000003E-2</v>
      </c>
      <c r="D27" s="46">
        <f t="shared" ref="D27:D36" si="3">C27</f>
        <v>4.2000000000000003E-2</v>
      </c>
      <c r="E27" s="46">
        <f t="shared" ref="E27:E36" si="4">C27</f>
        <v>4.2000000000000003E-2</v>
      </c>
      <c r="F27" s="46">
        <f t="shared" ref="F27:F36" si="5">C27</f>
        <v>4.2000000000000003E-2</v>
      </c>
    </row>
    <row r="28" spans="1:6" ht="18.75">
      <c r="A28" s="155" t="s">
        <v>39</v>
      </c>
      <c r="B28" s="35" t="s">
        <v>40</v>
      </c>
      <c r="C28" s="156">
        <f>'Управителю (Форма)'!AA32</f>
        <v>0.65900000000000003</v>
      </c>
      <c r="D28" s="156">
        <f t="shared" si="3"/>
        <v>0.65900000000000003</v>
      </c>
      <c r="E28" s="156">
        <f t="shared" si="4"/>
        <v>0.65900000000000003</v>
      </c>
      <c r="F28" s="156">
        <f t="shared" si="5"/>
        <v>0.65900000000000003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(Форма)'!AA42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(Форма)'!AA43</f>
        <v>0.20699999999999999</v>
      </c>
      <c r="D39" s="46">
        <f>C39</f>
        <v>0.20699999999999999</v>
      </c>
      <c r="E39" s="54">
        <f>C39/9/2</f>
        <v>1.2E-2</v>
      </c>
      <c r="F39" s="54">
        <f>D39/9/2</f>
        <v>1.2E-2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(Форма)'!AA44</f>
        <v>0.224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0.42199999999999999</v>
      </c>
      <c r="D41" s="39">
        <f>SUM(D38:D40,D27:D36,D9:D25)*('Управителю (Форма)'!$D$7-1)</f>
        <v>0.504</v>
      </c>
      <c r="E41" s="39">
        <f>SUM(E38:E40,E27:E36,E9:E25)*('Управителю (Форма)'!$D$7-1)</f>
        <v>0.28199999999999997</v>
      </c>
      <c r="F41" s="39">
        <f>SUM(F38:F40,F27:F36,F9:F25)*('Управителю (Форма)'!$D$7-1)</f>
        <v>0.32600000000000001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0.58099999999999996</v>
      </c>
      <c r="D42" s="40">
        <f>SUM(D38:D41,D27:D36,D9:D25)*0.2</f>
        <v>0.69299999999999995</v>
      </c>
      <c r="E42" s="40">
        <f>SUM(E38:E41,E27:E36,E9:E25)*0.2</f>
        <v>0.38900000000000001</v>
      </c>
      <c r="F42" s="40">
        <f>SUM(F38:F41,F27:F36,F9:F25)*0.2</f>
        <v>0.44800000000000001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3.488</v>
      </c>
      <c r="D43" s="38">
        <f>SUM(D38:D40,D27:D36,D9:D25)+D41+D42</f>
        <v>4.16</v>
      </c>
      <c r="E43" s="38">
        <f>SUM(E38:E40,E27:E36,E9:E25)+E41+E42</f>
        <v>2.3319999999999999</v>
      </c>
      <c r="F43" s="38">
        <f>SUM(F38:F40,F27:F36,F9:F25)+F41+F42</f>
        <v>2.6890000000000001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2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(Форма)'!Z10&amp;", "&amp;'Управителю (Форма)'!Z11</f>
        <v>вул. Дніпровська, 31</v>
      </c>
      <c r="B4" s="167"/>
      <c r="C4" s="167"/>
      <c r="D4" s="167"/>
      <c r="E4" s="167"/>
      <c r="F4" s="167"/>
    </row>
    <row r="5" spans="1:6" ht="19.5" thickBot="1">
      <c r="A5" s="4"/>
    </row>
    <row r="6" spans="1:6" ht="35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(Форма)'!Z13</f>
        <v>0.45400000000000001</v>
      </c>
      <c r="D9" s="46">
        <f>C9</f>
        <v>0.45400000000000001</v>
      </c>
      <c r="E9" s="46">
        <f>C9</f>
        <v>0.45400000000000001</v>
      </c>
      <c r="F9" s="46">
        <f>C9</f>
        <v>0.45400000000000001</v>
      </c>
    </row>
    <row r="10" spans="1:6" ht="18.75">
      <c r="A10" s="45" t="s">
        <v>9</v>
      </c>
      <c r="B10" s="21" t="s">
        <v>10</v>
      </c>
      <c r="C10" s="46">
        <f>'Управителю (Форма)'!Z14</f>
        <v>0.28199999999999997</v>
      </c>
      <c r="D10" s="46">
        <f t="shared" ref="D10:D25" si="0">C10</f>
        <v>0.28199999999999997</v>
      </c>
      <c r="E10" s="46"/>
      <c r="F10" s="46">
        <f t="shared" ref="F10:F25" si="1">C10</f>
        <v>0.28199999999999997</v>
      </c>
    </row>
    <row r="11" spans="1:6" ht="37.5">
      <c r="A11" s="45" t="s">
        <v>11</v>
      </c>
      <c r="B11" s="21" t="s">
        <v>12</v>
      </c>
      <c r="C11" s="46">
        <f>'Управителю (Форма)'!Z15</f>
        <v>0.35199999999999998</v>
      </c>
      <c r="D11" s="46">
        <f t="shared" si="0"/>
        <v>0.35199999999999998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(Форма)'!Z16</f>
        <v>1.4E-2</v>
      </c>
      <c r="D12" s="46">
        <f t="shared" si="0"/>
        <v>1.4E-2</v>
      </c>
      <c r="E12" s="46">
        <f t="shared" ref="E12:E25" si="2">C12</f>
        <v>1.4E-2</v>
      </c>
      <c r="F12" s="46">
        <f t="shared" si="1"/>
        <v>1.4E-2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(Форма)'!Z17</f>
        <v>0.33300000000000002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(Форма)'!Z18</f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(Форма)'!Z19</f>
        <v>0.40699999999999997</v>
      </c>
      <c r="D15" s="161">
        <f t="shared" si="0"/>
        <v>0.40699999999999997</v>
      </c>
      <c r="E15" s="161">
        <f t="shared" si="2"/>
        <v>0.40699999999999997</v>
      </c>
      <c r="F15" s="161">
        <f t="shared" si="1"/>
        <v>0.40699999999999997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(Форма)'!Z26</f>
        <v>1.2999999999999999E-2</v>
      </c>
      <c r="D22" s="46">
        <f t="shared" si="0"/>
        <v>1.2999999999999999E-2</v>
      </c>
      <c r="E22" s="46">
        <f t="shared" si="2"/>
        <v>1.2999999999999999E-2</v>
      </c>
      <c r="F22" s="46">
        <f t="shared" si="1"/>
        <v>1.2999999999999999E-2</v>
      </c>
    </row>
    <row r="23" spans="1:6" ht="18.75">
      <c r="A23" s="45" t="s">
        <v>29</v>
      </c>
      <c r="B23" s="21" t="s">
        <v>30</v>
      </c>
      <c r="C23" s="46">
        <f>'Управителю (Форма)'!Z27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(Форма)'!Z28</f>
        <v>2.5999999999999999E-2</v>
      </c>
      <c r="D24" s="46">
        <f t="shared" si="0"/>
        <v>2.5999999999999999E-2</v>
      </c>
      <c r="E24" s="46">
        <f t="shared" si="2"/>
        <v>2.5999999999999999E-2</v>
      </c>
      <c r="F24" s="46">
        <f t="shared" si="1"/>
        <v>2.5999999999999999E-2</v>
      </c>
    </row>
    <row r="25" spans="1:6" ht="75">
      <c r="A25" s="45" t="s">
        <v>33</v>
      </c>
      <c r="B25" s="21" t="s">
        <v>34</v>
      </c>
      <c r="C25" s="46">
        <f>'Управителю (Форма)'!Z29</f>
        <v>0.109</v>
      </c>
      <c r="D25" s="46">
        <f t="shared" si="0"/>
        <v>0.109</v>
      </c>
      <c r="E25" s="46">
        <f t="shared" si="2"/>
        <v>0.109</v>
      </c>
      <c r="F25" s="46">
        <f t="shared" si="1"/>
        <v>0.109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(Форма)'!Z31</f>
        <v>4.3999999999999997E-2</v>
      </c>
      <c r="D27" s="46">
        <f t="shared" ref="D27:D36" si="3">C27</f>
        <v>4.3999999999999997E-2</v>
      </c>
      <c r="E27" s="46">
        <f t="shared" ref="E27:E36" si="4">C27</f>
        <v>4.3999999999999997E-2</v>
      </c>
      <c r="F27" s="46">
        <f t="shared" ref="F27:F36" si="5">C27</f>
        <v>4.3999999999999997E-2</v>
      </c>
    </row>
    <row r="28" spans="1:6" ht="18.75">
      <c r="A28" s="155" t="s">
        <v>39</v>
      </c>
      <c r="B28" s="35" t="s">
        <v>40</v>
      </c>
      <c r="C28" s="156">
        <f>'Управителю (Форма)'!Z32</f>
        <v>0.6</v>
      </c>
      <c r="D28" s="156">
        <f t="shared" si="3"/>
        <v>0.6</v>
      </c>
      <c r="E28" s="156">
        <f t="shared" si="4"/>
        <v>0.6</v>
      </c>
      <c r="F28" s="156">
        <f t="shared" si="5"/>
        <v>0.6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(Форма)'!Z42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(Форма)'!Z43</f>
        <v>0.2</v>
      </c>
      <c r="D39" s="46">
        <f>C39</f>
        <v>0.2</v>
      </c>
      <c r="E39" s="54">
        <f>C39/9/2</f>
        <v>1.0999999999999999E-2</v>
      </c>
      <c r="F39" s="54">
        <f>D39/9/2</f>
        <v>1.0999999999999999E-2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(Форма)'!Z44</f>
        <v>0.218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0.42599999999999999</v>
      </c>
      <c r="D41" s="39">
        <f>SUM(D38:D40,D27:D36,D9:D25)*('Управителю (Форма)'!$D$7-1)</f>
        <v>0.51900000000000002</v>
      </c>
      <c r="E41" s="39">
        <f>SUM(E38:E40,E27:E36,E9:E25)*('Управителю (Форма)'!$D$7-1)</f>
        <v>0.28599999999999998</v>
      </c>
      <c r="F41" s="39">
        <f>SUM(F38:F40,F27:F36,F9:F25)*('Управителю (Форма)'!$D$7-1)</f>
        <v>0.33400000000000002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0.58599999999999997</v>
      </c>
      <c r="D42" s="40">
        <f>SUM(D38:D41,D27:D36,D9:D25)*0.2</f>
        <v>0.71499999999999997</v>
      </c>
      <c r="E42" s="40">
        <f>SUM(E38:E41,E27:E36,E9:E25)*0.2</f>
        <v>0.39300000000000002</v>
      </c>
      <c r="F42" s="40">
        <f>SUM(F38:F41,F27:F36,F9:F25)*0.2</f>
        <v>0.45900000000000002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3.5150000000000001</v>
      </c>
      <c r="D43" s="38">
        <f>SUM(D38:D40,D27:D36,D9:D25)+D41+D42</f>
        <v>4.2880000000000003</v>
      </c>
      <c r="E43" s="38">
        <f>SUM(E38:E40,E27:E36,E9:E25)+E41+E42</f>
        <v>2.359</v>
      </c>
      <c r="F43" s="38">
        <f>SUM(F38:F40,F27:F36,F9:F25)+F41+F42</f>
        <v>2.7549999999999999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(Форма)'!Y10&amp;", "&amp;'Управителю (Форма)'!Y11</f>
        <v>вул. Дніпровська, 4</v>
      </c>
      <c r="B4" s="167"/>
      <c r="C4" s="167"/>
      <c r="D4" s="167"/>
      <c r="E4" s="167"/>
      <c r="F4" s="167"/>
    </row>
    <row r="5" spans="1:6" ht="19.5" thickBot="1">
      <c r="A5" s="4"/>
    </row>
    <row r="6" spans="1:6" ht="35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(Форма)'!Y13</f>
        <v>0.47799999999999998</v>
      </c>
      <c r="D9" s="46">
        <f>C9</f>
        <v>0.47799999999999998</v>
      </c>
      <c r="E9" s="46">
        <f>C9</f>
        <v>0.47799999999999998</v>
      </c>
      <c r="F9" s="46">
        <f>C9</f>
        <v>0.47799999999999998</v>
      </c>
    </row>
    <row r="10" spans="1:6" ht="18.75">
      <c r="A10" s="45" t="s">
        <v>9</v>
      </c>
      <c r="B10" s="21" t="s">
        <v>10</v>
      </c>
      <c r="C10" s="46">
        <f>'Управителю (Форма)'!Y14</f>
        <v>0.29199999999999998</v>
      </c>
      <c r="D10" s="46">
        <f t="shared" ref="D10:D25" si="0">C10</f>
        <v>0.29199999999999998</v>
      </c>
      <c r="E10" s="46"/>
      <c r="F10" s="46">
        <f t="shared" ref="F10:F25" si="1">C10</f>
        <v>0.29199999999999998</v>
      </c>
    </row>
    <row r="11" spans="1:6" ht="37.5">
      <c r="A11" s="45" t="s">
        <v>11</v>
      </c>
      <c r="B11" s="21" t="s">
        <v>12</v>
      </c>
      <c r="C11" s="46">
        <f>'Управителю (Форма)'!Y15</f>
        <v>0.33</v>
      </c>
      <c r="D11" s="46">
        <f t="shared" si="0"/>
        <v>0.33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(Форма)'!Y16</f>
        <v>1.2E-2</v>
      </c>
      <c r="D12" s="46">
        <f t="shared" si="0"/>
        <v>1.2E-2</v>
      </c>
      <c r="E12" s="46">
        <f t="shared" ref="E12:E25" si="2">C12</f>
        <v>1.2E-2</v>
      </c>
      <c r="F12" s="46">
        <f t="shared" si="1"/>
        <v>1.2E-2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(Форма)'!Y17</f>
        <v>0.223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(Форма)'!Y18</f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(Форма)'!Y19</f>
        <v>0.39900000000000002</v>
      </c>
      <c r="D15" s="161">
        <f t="shared" si="0"/>
        <v>0.39900000000000002</v>
      </c>
      <c r="E15" s="161">
        <f t="shared" si="2"/>
        <v>0.39900000000000002</v>
      </c>
      <c r="F15" s="161">
        <f t="shared" si="1"/>
        <v>0.39900000000000002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(Форма)'!Y26</f>
        <v>1.4E-2</v>
      </c>
      <c r="D22" s="46">
        <f t="shared" si="0"/>
        <v>1.4E-2</v>
      </c>
      <c r="E22" s="46">
        <f t="shared" si="2"/>
        <v>1.4E-2</v>
      </c>
      <c r="F22" s="46">
        <f t="shared" si="1"/>
        <v>1.4E-2</v>
      </c>
    </row>
    <row r="23" spans="1:6" ht="18.75">
      <c r="A23" s="45" t="s">
        <v>29</v>
      </c>
      <c r="B23" s="21" t="s">
        <v>30</v>
      </c>
      <c r="C23" s="46">
        <f>'Управителю (Форма)'!Y27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(Форма)'!Y28</f>
        <v>0.02</v>
      </c>
      <c r="D24" s="46">
        <f t="shared" si="0"/>
        <v>0.02</v>
      </c>
      <c r="E24" s="46">
        <f t="shared" si="2"/>
        <v>0.02</v>
      </c>
      <c r="F24" s="46">
        <f t="shared" si="1"/>
        <v>0.02</v>
      </c>
    </row>
    <row r="25" spans="1:6" ht="75">
      <c r="A25" s="45" t="s">
        <v>33</v>
      </c>
      <c r="B25" s="21" t="s">
        <v>34</v>
      </c>
      <c r="C25" s="46">
        <f>'Управителю (Форма)'!Y29</f>
        <v>7.8E-2</v>
      </c>
      <c r="D25" s="46">
        <f t="shared" si="0"/>
        <v>7.8E-2</v>
      </c>
      <c r="E25" s="46">
        <f t="shared" si="2"/>
        <v>7.8E-2</v>
      </c>
      <c r="F25" s="46">
        <f t="shared" si="1"/>
        <v>7.8E-2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(Форма)'!Y31</f>
        <v>6.6000000000000003E-2</v>
      </c>
      <c r="D27" s="46">
        <f t="shared" ref="D27:D36" si="3">C27</f>
        <v>6.6000000000000003E-2</v>
      </c>
      <c r="E27" s="46">
        <f t="shared" ref="E27:E36" si="4">C27</f>
        <v>6.6000000000000003E-2</v>
      </c>
      <c r="F27" s="46">
        <f t="shared" ref="F27:F36" si="5">C27</f>
        <v>6.6000000000000003E-2</v>
      </c>
    </row>
    <row r="28" spans="1:6" ht="18.75">
      <c r="A28" s="155" t="s">
        <v>39</v>
      </c>
      <c r="B28" s="35" t="s">
        <v>40</v>
      </c>
      <c r="C28" s="156">
        <f>'Управителю (Форма)'!Y32</f>
        <v>0.754</v>
      </c>
      <c r="D28" s="156">
        <f t="shared" si="3"/>
        <v>0.754</v>
      </c>
      <c r="E28" s="156">
        <f t="shared" si="4"/>
        <v>0.754</v>
      </c>
      <c r="F28" s="156">
        <f t="shared" si="5"/>
        <v>0.754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(Форма)'!Y42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(Форма)'!Y43</f>
        <v>0.20100000000000001</v>
      </c>
      <c r="D39" s="46">
        <f>C39</f>
        <v>0.20100000000000001</v>
      </c>
      <c r="E39" s="54">
        <f>C39/9/2</f>
        <v>1.0999999999999999E-2</v>
      </c>
      <c r="F39" s="54">
        <f>D39/9/2</f>
        <v>1.0999999999999999E-2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(Форма)'!Y44</f>
        <v>0.222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0.45</v>
      </c>
      <c r="D41" s="39">
        <f>SUM(D38:D40,D27:D36,D9:D25)*('Управителю (Форма)'!$D$7-1)</f>
        <v>0.52500000000000002</v>
      </c>
      <c r="E41" s="39">
        <f>SUM(E38:E40,E27:E36,E9:E25)*('Управителю (Форма)'!$D$7-1)</f>
        <v>0.312</v>
      </c>
      <c r="F41" s="39">
        <f>SUM(F38:F40,F27:F36,F9:F25)*('Управителю (Форма)'!$D$7-1)</f>
        <v>0.36099999999999999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0.61899999999999999</v>
      </c>
      <c r="D42" s="40">
        <f>SUM(D38:D41,D27:D36,D9:D25)*0.2</f>
        <v>0.72299999999999998</v>
      </c>
      <c r="E42" s="40">
        <f>SUM(E38:E41,E27:E36,E9:E25)*0.2</f>
        <v>0.42899999999999999</v>
      </c>
      <c r="F42" s="40">
        <f>SUM(F38:F41,F27:F36,F9:F25)*0.2</f>
        <v>0.497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3.7149999999999999</v>
      </c>
      <c r="D43" s="38">
        <f>SUM(D38:D40,D27:D36,D9:D25)+D41+D42</f>
        <v>4.3390000000000004</v>
      </c>
      <c r="E43" s="38">
        <f>SUM(E38:E40,E27:E36,E9:E25)+E41+E42</f>
        <v>2.5750000000000002</v>
      </c>
      <c r="F43" s="38">
        <f>SUM(F38:F40,F27:F36,F9:F25)+F41+F42</f>
        <v>2.984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(Форма)'!X10&amp;", "&amp;'Управителю (Форма)'!X11</f>
        <v>вул. Дніпровська, 10</v>
      </c>
      <c r="B4" s="167"/>
      <c r="C4" s="167"/>
      <c r="D4" s="167"/>
      <c r="E4" s="167"/>
      <c r="F4" s="167"/>
    </row>
    <row r="5" spans="1:6" ht="19.5" thickBot="1">
      <c r="A5" s="4"/>
    </row>
    <row r="6" spans="1:6" ht="33.7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(Форма)'!X13</f>
        <v>0.46400000000000002</v>
      </c>
      <c r="D9" s="46">
        <f>C9</f>
        <v>0.46400000000000002</v>
      </c>
      <c r="E9" s="46">
        <f>C9</f>
        <v>0.46400000000000002</v>
      </c>
      <c r="F9" s="46">
        <f>C9</f>
        <v>0.46400000000000002</v>
      </c>
    </row>
    <row r="10" spans="1:6" ht="18.75">
      <c r="A10" s="45" t="s">
        <v>9</v>
      </c>
      <c r="B10" s="21" t="s">
        <v>10</v>
      </c>
      <c r="C10" s="46">
        <f>'Управителю (Форма)'!X14</f>
        <v>0.245</v>
      </c>
      <c r="D10" s="46">
        <f t="shared" ref="D10:D25" si="0">C10</f>
        <v>0.245</v>
      </c>
      <c r="E10" s="46"/>
      <c r="F10" s="46">
        <f t="shared" ref="F10:F25" si="1">C10</f>
        <v>0.245</v>
      </c>
    </row>
    <row r="11" spans="1:6" ht="37.5">
      <c r="A11" s="45" t="s">
        <v>11</v>
      </c>
      <c r="B11" s="21" t="s">
        <v>12</v>
      </c>
      <c r="C11" s="46">
        <f>'Управителю (Форма)'!X15</f>
        <v>0.34300000000000003</v>
      </c>
      <c r="D11" s="46">
        <f t="shared" si="0"/>
        <v>0.34300000000000003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(Форма)'!X16</f>
        <v>1.4E-2</v>
      </c>
      <c r="D12" s="46">
        <f t="shared" si="0"/>
        <v>1.4E-2</v>
      </c>
      <c r="E12" s="46">
        <f t="shared" ref="E12:E25" si="2">C12</f>
        <v>1.4E-2</v>
      </c>
      <c r="F12" s="46">
        <f t="shared" si="1"/>
        <v>1.4E-2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(Форма)'!X17</f>
        <v>0.36799999999999999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(Форма)'!X18</f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(Форма)'!X19</f>
        <v>0.38200000000000001</v>
      </c>
      <c r="D15" s="161">
        <f t="shared" si="0"/>
        <v>0.38200000000000001</v>
      </c>
      <c r="E15" s="161">
        <f t="shared" si="2"/>
        <v>0.38200000000000001</v>
      </c>
      <c r="F15" s="161">
        <f t="shared" si="1"/>
        <v>0.38200000000000001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(Форма)'!X26</f>
        <v>1.4E-2</v>
      </c>
      <c r="D22" s="46">
        <f t="shared" si="0"/>
        <v>1.4E-2</v>
      </c>
      <c r="E22" s="46">
        <f t="shared" si="2"/>
        <v>1.4E-2</v>
      </c>
      <c r="F22" s="46">
        <f t="shared" si="1"/>
        <v>1.4E-2</v>
      </c>
    </row>
    <row r="23" spans="1:6" ht="18.75">
      <c r="A23" s="45" t="s">
        <v>29</v>
      </c>
      <c r="B23" s="21" t="s">
        <v>30</v>
      </c>
      <c r="C23" s="46">
        <f>'Управителю (Форма)'!X27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(Форма)'!X28</f>
        <v>0.02</v>
      </c>
      <c r="D24" s="46">
        <f t="shared" si="0"/>
        <v>0.02</v>
      </c>
      <c r="E24" s="46">
        <f t="shared" si="2"/>
        <v>0.02</v>
      </c>
      <c r="F24" s="46">
        <f t="shared" si="1"/>
        <v>0.02</v>
      </c>
    </row>
    <row r="25" spans="1:6" ht="75">
      <c r="A25" s="45" t="s">
        <v>33</v>
      </c>
      <c r="B25" s="21" t="s">
        <v>34</v>
      </c>
      <c r="C25" s="46">
        <f>'Управителю (Форма)'!X29</f>
        <v>8.1000000000000003E-2</v>
      </c>
      <c r="D25" s="46">
        <f t="shared" si="0"/>
        <v>8.1000000000000003E-2</v>
      </c>
      <c r="E25" s="46">
        <f t="shared" si="2"/>
        <v>8.1000000000000003E-2</v>
      </c>
      <c r="F25" s="46">
        <f t="shared" si="1"/>
        <v>8.1000000000000003E-2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(Форма)'!X31</f>
        <v>5.2999999999999999E-2</v>
      </c>
      <c r="D27" s="46">
        <f t="shared" ref="D27:D36" si="3">C27</f>
        <v>5.2999999999999999E-2</v>
      </c>
      <c r="E27" s="46">
        <f t="shared" ref="E27:E36" si="4">C27</f>
        <v>5.2999999999999999E-2</v>
      </c>
      <c r="F27" s="46">
        <f t="shared" ref="F27:F36" si="5">C27</f>
        <v>5.2999999999999999E-2</v>
      </c>
    </row>
    <row r="28" spans="1:6" ht="18.75">
      <c r="A28" s="155" t="s">
        <v>39</v>
      </c>
      <c r="B28" s="35" t="s">
        <v>40</v>
      </c>
      <c r="C28" s="156">
        <f>'Управителю (Форма)'!X32</f>
        <v>0.85699999999999998</v>
      </c>
      <c r="D28" s="156">
        <f t="shared" si="3"/>
        <v>0.85699999999999998</v>
      </c>
      <c r="E28" s="156">
        <f t="shared" si="4"/>
        <v>0.85699999999999998</v>
      </c>
      <c r="F28" s="156">
        <f t="shared" si="5"/>
        <v>0.85699999999999998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(Форма)'!X42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(Форма)'!X43</f>
        <v>0.20399999999999999</v>
      </c>
      <c r="D39" s="46">
        <f>C39</f>
        <v>0.20399999999999999</v>
      </c>
      <c r="E39" s="54">
        <f>C39/9/2</f>
        <v>1.0999999999999999E-2</v>
      </c>
      <c r="F39" s="54">
        <f>D39/9/2</f>
        <v>1.0999999999999999E-2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(Форма)'!X44</f>
        <v>0.22500000000000001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0.45500000000000002</v>
      </c>
      <c r="D41" s="39">
        <f>SUM(D38:D40,D27:D36,D9:D25)*('Управителю (Форма)'!$D$7-1)</f>
        <v>0.55600000000000005</v>
      </c>
      <c r="E41" s="39">
        <f>SUM(E38:E40,E27:E36,E9:E25)*('Управителю (Форма)'!$D$7-1)</f>
        <v>0.32300000000000001</v>
      </c>
      <c r="F41" s="39">
        <f>SUM(F38:F40,F27:F36,F9:F25)*('Управителю (Форма)'!$D$7-1)</f>
        <v>0.36399999999999999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0.627</v>
      </c>
      <c r="D42" s="40">
        <f>SUM(D38:D41,D27:D36,D9:D25)*0.2</f>
        <v>0.76600000000000001</v>
      </c>
      <c r="E42" s="40">
        <f>SUM(E38:E41,E27:E36,E9:E25)*0.2</f>
        <v>0.44400000000000001</v>
      </c>
      <c r="F42" s="40">
        <f>SUM(F38:F41,F27:F36,F9:F25)*0.2</f>
        <v>0.501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3.7610000000000001</v>
      </c>
      <c r="D43" s="38">
        <f>SUM(D38:D40,D27:D36,D9:D25)+D41+D42</f>
        <v>4.5940000000000003</v>
      </c>
      <c r="E43" s="38">
        <f>SUM(E38:E40,E27:E36,E9:E25)+E41+E42</f>
        <v>2.665</v>
      </c>
      <c r="F43" s="38">
        <f>SUM(F38:F40,F27:F36,F9:F25)+F41+F42</f>
        <v>3.008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(Форма)'!W10&amp;", "&amp;'Управителю (Форма)'!W11</f>
        <v>вул. Дніпровська, 6</v>
      </c>
      <c r="B4" s="167"/>
      <c r="C4" s="167"/>
      <c r="D4" s="167"/>
      <c r="E4" s="167"/>
      <c r="F4" s="167"/>
    </row>
    <row r="5" spans="1:6" ht="19.5" thickBot="1">
      <c r="A5" s="4"/>
    </row>
    <row r="6" spans="1:6" ht="33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(Форма)'!W13</f>
        <v>0.439</v>
      </c>
      <c r="D9" s="46">
        <f>C9</f>
        <v>0.439</v>
      </c>
      <c r="E9" s="46">
        <f>C9</f>
        <v>0.439</v>
      </c>
      <c r="F9" s="46">
        <f>C9</f>
        <v>0.439</v>
      </c>
    </row>
    <row r="10" spans="1:6" ht="18.75">
      <c r="A10" s="45" t="s">
        <v>9</v>
      </c>
      <c r="B10" s="21" t="s">
        <v>10</v>
      </c>
      <c r="C10" s="46">
        <f>'Управителю (Форма)'!W14</f>
        <v>0.26400000000000001</v>
      </c>
      <c r="D10" s="46">
        <f t="shared" ref="D10:D25" si="0">C10</f>
        <v>0.26400000000000001</v>
      </c>
      <c r="E10" s="46"/>
      <c r="F10" s="46">
        <f t="shared" ref="F10:F25" si="1">C10</f>
        <v>0.26400000000000001</v>
      </c>
    </row>
    <row r="11" spans="1:6" ht="37.5">
      <c r="A11" s="45" t="s">
        <v>11</v>
      </c>
      <c r="B11" s="21" t="s">
        <v>12</v>
      </c>
      <c r="C11" s="46">
        <f>'Управителю (Форма)'!W15</f>
        <v>0.33300000000000002</v>
      </c>
      <c r="D11" s="46">
        <f t="shared" si="0"/>
        <v>0.33300000000000002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(Форма)'!W16</f>
        <v>1.2E-2</v>
      </c>
      <c r="D12" s="46">
        <f t="shared" si="0"/>
        <v>1.2E-2</v>
      </c>
      <c r="E12" s="46">
        <f t="shared" ref="E12:E25" si="2">C12</f>
        <v>1.2E-2</v>
      </c>
      <c r="F12" s="46">
        <f t="shared" si="1"/>
        <v>1.2E-2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(Форма)'!W17</f>
        <v>0.318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(Форма)'!W18</f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(Форма)'!W19</f>
        <v>0.36899999999999999</v>
      </c>
      <c r="D15" s="161">
        <f t="shared" si="0"/>
        <v>0.36899999999999999</v>
      </c>
      <c r="E15" s="161">
        <f t="shared" si="2"/>
        <v>0.36899999999999999</v>
      </c>
      <c r="F15" s="161">
        <f t="shared" si="1"/>
        <v>0.36899999999999999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(Форма)'!W26</f>
        <v>1.4E-2</v>
      </c>
      <c r="D22" s="46">
        <f t="shared" si="0"/>
        <v>1.4E-2</v>
      </c>
      <c r="E22" s="46">
        <f t="shared" si="2"/>
        <v>1.4E-2</v>
      </c>
      <c r="F22" s="46">
        <f t="shared" si="1"/>
        <v>1.4E-2</v>
      </c>
    </row>
    <row r="23" spans="1:6" ht="18.75">
      <c r="A23" s="45" t="s">
        <v>29</v>
      </c>
      <c r="B23" s="21" t="s">
        <v>30</v>
      </c>
      <c r="C23" s="46">
        <f>'Управителю (Форма)'!W27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(Форма)'!W28</f>
        <v>1.7999999999999999E-2</v>
      </c>
      <c r="D24" s="46">
        <f t="shared" si="0"/>
        <v>1.7999999999999999E-2</v>
      </c>
      <c r="E24" s="46">
        <f t="shared" si="2"/>
        <v>1.7999999999999999E-2</v>
      </c>
      <c r="F24" s="46">
        <f t="shared" si="1"/>
        <v>1.7999999999999999E-2</v>
      </c>
    </row>
    <row r="25" spans="1:6" ht="75">
      <c r="A25" s="45" t="s">
        <v>33</v>
      </c>
      <c r="B25" s="21" t="s">
        <v>34</v>
      </c>
      <c r="C25" s="46">
        <f>'Управителю (Форма)'!W29</f>
        <v>5.8000000000000003E-2</v>
      </c>
      <c r="D25" s="46">
        <f t="shared" si="0"/>
        <v>5.8000000000000003E-2</v>
      </c>
      <c r="E25" s="46">
        <f t="shared" si="2"/>
        <v>5.8000000000000003E-2</v>
      </c>
      <c r="F25" s="46">
        <f t="shared" si="1"/>
        <v>5.8000000000000003E-2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(Форма)'!W31</f>
        <v>4.9000000000000002E-2</v>
      </c>
      <c r="D27" s="46">
        <f t="shared" ref="D27:D36" si="3">C27</f>
        <v>4.9000000000000002E-2</v>
      </c>
      <c r="E27" s="46">
        <f t="shared" ref="E27:E36" si="4">C27</f>
        <v>4.9000000000000002E-2</v>
      </c>
      <c r="F27" s="46">
        <f t="shared" ref="F27:F36" si="5">C27</f>
        <v>4.9000000000000002E-2</v>
      </c>
    </row>
    <row r="28" spans="1:6" ht="18.75">
      <c r="A28" s="155" t="s">
        <v>39</v>
      </c>
      <c r="B28" s="35" t="s">
        <v>40</v>
      </c>
      <c r="C28" s="156">
        <f>'Управителю (Форма)'!W32</f>
        <v>0.82699999999999996</v>
      </c>
      <c r="D28" s="156">
        <f t="shared" si="3"/>
        <v>0.82699999999999996</v>
      </c>
      <c r="E28" s="156">
        <f t="shared" si="4"/>
        <v>0.82699999999999996</v>
      </c>
      <c r="F28" s="156">
        <f t="shared" si="5"/>
        <v>0.82699999999999996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(Форма)'!W42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(Форма)'!W43</f>
        <v>0.20899999999999999</v>
      </c>
      <c r="D39" s="46">
        <f>C39</f>
        <v>0.20899999999999999</v>
      </c>
      <c r="E39" s="54">
        <f>C39/9/2</f>
        <v>1.2E-2</v>
      </c>
      <c r="F39" s="54">
        <f>D39/9/2</f>
        <v>1.2E-2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(Форма)'!W44</f>
        <v>0.23100000000000001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0.441</v>
      </c>
      <c r="D41" s="39">
        <f>SUM(D38:D40,D27:D36,D9:D25)*('Управителю (Форма)'!$D$7-1)</f>
        <v>0.53400000000000003</v>
      </c>
      <c r="E41" s="39">
        <f>SUM(E38:E40,E27:E36,E9:E25)*('Управителю (Форма)'!$D$7-1)</f>
        <v>0.30599999999999999</v>
      </c>
      <c r="F41" s="39">
        <f>SUM(F38:F40,F27:F36,F9:F25)*('Управителю (Форма)'!$D$7-1)</f>
        <v>0.35099999999999998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0.60699999999999998</v>
      </c>
      <c r="D42" s="40">
        <f>SUM(D38:D41,D27:D36,D9:D25)*0.2</f>
        <v>0.73499999999999999</v>
      </c>
      <c r="E42" s="40">
        <f>SUM(E38:E41,E27:E36,E9:E25)*0.2</f>
        <v>0.42099999999999999</v>
      </c>
      <c r="F42" s="40">
        <f>SUM(F38:F41,F27:F36,F9:F25)*0.2</f>
        <v>0.48299999999999998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3.6419999999999999</v>
      </c>
      <c r="D43" s="38">
        <f>SUM(D38:D40,D27:D36,D9:D25)+D41+D42</f>
        <v>4.4119999999999999</v>
      </c>
      <c r="E43" s="38">
        <f>SUM(E38:E40,E27:E36,E9:E25)+E41+E42</f>
        <v>2.5270000000000001</v>
      </c>
      <c r="F43" s="38">
        <f>SUM(F38:F40,F27:F36,F9:F25)+F41+F42</f>
        <v>2.8980000000000001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(Форма)'!V10&amp;", "&amp;'Управителю (Форма)'!V11</f>
        <v>вул. Дніпровська, 2</v>
      </c>
      <c r="B4" s="167"/>
      <c r="C4" s="167"/>
      <c r="D4" s="167"/>
      <c r="E4" s="167"/>
      <c r="F4" s="167"/>
    </row>
    <row r="5" spans="1:6" ht="19.5" thickBot="1">
      <c r="A5" s="4"/>
    </row>
    <row r="6" spans="1:6" ht="36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(Форма)'!V13</f>
        <v>0.47899999999999998</v>
      </c>
      <c r="D9" s="46">
        <f>C9</f>
        <v>0.47899999999999998</v>
      </c>
      <c r="E9" s="46">
        <f>C9</f>
        <v>0.47899999999999998</v>
      </c>
      <c r="F9" s="46">
        <f>C9</f>
        <v>0.47899999999999998</v>
      </c>
    </row>
    <row r="10" spans="1:6" ht="18.75">
      <c r="A10" s="45" t="s">
        <v>9</v>
      </c>
      <c r="B10" s="21" t="s">
        <v>10</v>
      </c>
      <c r="C10" s="46">
        <f>'Управителю (Форма)'!V14</f>
        <v>0.23599999999999999</v>
      </c>
      <c r="D10" s="46">
        <f t="shared" ref="D10:D25" si="0">C10</f>
        <v>0.23599999999999999</v>
      </c>
      <c r="E10" s="46"/>
      <c r="F10" s="46">
        <f t="shared" ref="F10:F25" si="1">C10</f>
        <v>0.23599999999999999</v>
      </c>
    </row>
    <row r="11" spans="1:6" ht="37.5">
      <c r="A11" s="45" t="s">
        <v>11</v>
      </c>
      <c r="B11" s="21" t="s">
        <v>12</v>
      </c>
      <c r="C11" s="46">
        <f>'Управителю (Форма)'!V15</f>
        <v>0.309</v>
      </c>
      <c r="D11" s="46">
        <f t="shared" si="0"/>
        <v>0.309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(Форма)'!V16</f>
        <v>1.4E-2</v>
      </c>
      <c r="D12" s="46">
        <f t="shared" si="0"/>
        <v>1.4E-2</v>
      </c>
      <c r="E12" s="46">
        <f t="shared" ref="E12:E25" si="2">C12</f>
        <v>1.4E-2</v>
      </c>
      <c r="F12" s="46">
        <f t="shared" si="1"/>
        <v>1.4E-2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(Форма)'!V17</f>
        <v>0.219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(Форма)'!V18</f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(Форма)'!V19</f>
        <v>0.40300000000000002</v>
      </c>
      <c r="D15" s="161">
        <f t="shared" si="0"/>
        <v>0.40300000000000002</v>
      </c>
      <c r="E15" s="161">
        <f t="shared" si="2"/>
        <v>0.40300000000000002</v>
      </c>
      <c r="F15" s="161">
        <f t="shared" si="1"/>
        <v>0.40300000000000002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(Форма)'!V26</f>
        <v>1.0999999999999999E-2</v>
      </c>
      <c r="D22" s="46">
        <f t="shared" si="0"/>
        <v>1.0999999999999999E-2</v>
      </c>
      <c r="E22" s="46">
        <f t="shared" si="2"/>
        <v>1.0999999999999999E-2</v>
      </c>
      <c r="F22" s="46">
        <f t="shared" si="1"/>
        <v>1.0999999999999999E-2</v>
      </c>
    </row>
    <row r="23" spans="1:6" ht="18.75">
      <c r="A23" s="45" t="s">
        <v>29</v>
      </c>
      <c r="B23" s="21" t="s">
        <v>30</v>
      </c>
      <c r="C23" s="46">
        <f>'Управителю (Форма)'!V27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(Форма)'!V28</f>
        <v>2.5000000000000001E-2</v>
      </c>
      <c r="D24" s="46">
        <f t="shared" si="0"/>
        <v>2.5000000000000001E-2</v>
      </c>
      <c r="E24" s="46">
        <f t="shared" si="2"/>
        <v>2.5000000000000001E-2</v>
      </c>
      <c r="F24" s="46">
        <f t="shared" si="1"/>
        <v>2.5000000000000001E-2</v>
      </c>
    </row>
    <row r="25" spans="1:6" ht="75">
      <c r="A25" s="45" t="s">
        <v>33</v>
      </c>
      <c r="B25" s="21" t="s">
        <v>34</v>
      </c>
      <c r="C25" s="46">
        <f>'Управителю (Форма)'!V29</f>
        <v>4.2999999999999997E-2</v>
      </c>
      <c r="D25" s="46">
        <f t="shared" si="0"/>
        <v>4.2999999999999997E-2</v>
      </c>
      <c r="E25" s="46">
        <f t="shared" si="2"/>
        <v>4.2999999999999997E-2</v>
      </c>
      <c r="F25" s="46">
        <f t="shared" si="1"/>
        <v>4.2999999999999997E-2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(Форма)'!V31</f>
        <v>0.04</v>
      </c>
      <c r="D27" s="46">
        <f t="shared" ref="D27:D36" si="3">C27</f>
        <v>0.04</v>
      </c>
      <c r="E27" s="46">
        <f t="shared" ref="E27:E36" si="4">C27</f>
        <v>0.04</v>
      </c>
      <c r="F27" s="46">
        <f t="shared" ref="F27:F36" si="5">C27</f>
        <v>0.04</v>
      </c>
    </row>
    <row r="28" spans="1:6" ht="18.75">
      <c r="A28" s="155" t="s">
        <v>39</v>
      </c>
      <c r="B28" s="35" t="s">
        <v>40</v>
      </c>
      <c r="C28" s="156">
        <f>'Управителю (Форма)'!V32</f>
        <v>0.90500000000000003</v>
      </c>
      <c r="D28" s="156">
        <f t="shared" si="3"/>
        <v>0.90500000000000003</v>
      </c>
      <c r="E28" s="156">
        <f t="shared" si="4"/>
        <v>0.90500000000000003</v>
      </c>
      <c r="F28" s="156">
        <f t="shared" si="5"/>
        <v>0.90500000000000003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(Форма)'!V42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(Форма)'!V43</f>
        <v>0.182</v>
      </c>
      <c r="D39" s="46">
        <f>C39</f>
        <v>0.182</v>
      </c>
      <c r="E39" s="54">
        <f>C39/9/2</f>
        <v>0.01</v>
      </c>
      <c r="F39" s="54">
        <f>D39/9/2</f>
        <v>0.01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(Форма)'!V44</f>
        <v>0.20100000000000001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0.45</v>
      </c>
      <c r="D41" s="39">
        <f>SUM(D38:D40,D27:D36,D9:D25)*('Управителю (Форма)'!$D$7-1)</f>
        <v>0.52200000000000002</v>
      </c>
      <c r="E41" s="39">
        <f>SUM(E38:E40,E27:E36,E9:E25)*('Управителю (Форма)'!$D$7-1)</f>
        <v>0.32800000000000001</v>
      </c>
      <c r="F41" s="39">
        <f>SUM(F38:F40,F27:F36,F9:F25)*('Управителю (Форма)'!$D$7-1)</f>
        <v>0.36899999999999999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0.62</v>
      </c>
      <c r="D42" s="40">
        <f>SUM(D38:D41,D27:D36,D9:D25)*0.2</f>
        <v>0.71799999999999997</v>
      </c>
      <c r="E42" s="40">
        <f>SUM(E38:E41,E27:E36,E9:E25)*0.2</f>
        <v>0.45200000000000001</v>
      </c>
      <c r="F42" s="40">
        <f>SUM(F38:F41,F27:F36,F9:F25)*0.2</f>
        <v>0.50700000000000001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3.7189999999999999</v>
      </c>
      <c r="D43" s="38">
        <f>SUM(D38:D40,D27:D36,D9:D25)+D41+D42</f>
        <v>4.3090000000000002</v>
      </c>
      <c r="E43" s="38">
        <f>SUM(E38:E40,E27:E36,E9:E25)+E41+E42</f>
        <v>2.7120000000000002</v>
      </c>
      <c r="F43" s="38">
        <f>SUM(F38:F40,F27:F36,F9:F25)+F41+F42</f>
        <v>3.044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(Форма)'!U10&amp;", "&amp;'Управителю (Форма)'!U11</f>
        <v>вул. Д. Самоквасова, 9</v>
      </c>
      <c r="B4" s="167"/>
      <c r="C4" s="167"/>
      <c r="D4" s="167"/>
      <c r="E4" s="167"/>
      <c r="F4" s="167"/>
    </row>
    <row r="5" spans="1:6" ht="19.5" thickBot="1">
      <c r="A5" s="4"/>
    </row>
    <row r="6" spans="1:6" ht="33.7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(Форма)'!U13</f>
        <v>0.40799999999999997</v>
      </c>
      <c r="D9" s="46">
        <f>C9</f>
        <v>0.40799999999999997</v>
      </c>
      <c r="E9" s="46">
        <f>C9</f>
        <v>0.40799999999999997</v>
      </c>
      <c r="F9" s="46">
        <f>C9</f>
        <v>0.40799999999999997</v>
      </c>
    </row>
    <row r="10" spans="1:6" ht="18.75">
      <c r="A10" s="45" t="s">
        <v>9</v>
      </c>
      <c r="B10" s="21" t="s">
        <v>10</v>
      </c>
      <c r="C10" s="46">
        <f>'Управителю (Форма)'!U14</f>
        <v>0.124</v>
      </c>
      <c r="D10" s="46">
        <f t="shared" ref="D10:D25" si="0">C10</f>
        <v>0.124</v>
      </c>
      <c r="E10" s="46"/>
      <c r="F10" s="46">
        <f t="shared" ref="F10:F25" si="1">C10</f>
        <v>0.124</v>
      </c>
    </row>
    <row r="11" spans="1:6" ht="37.5">
      <c r="A11" s="45" t="s">
        <v>11</v>
      </c>
      <c r="B11" s="21" t="s">
        <v>12</v>
      </c>
      <c r="C11" s="46">
        <f>'Управителю (Форма)'!U15</f>
        <v>0.48899999999999999</v>
      </c>
      <c r="D11" s="46">
        <f t="shared" si="0"/>
        <v>0.48899999999999999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(Форма)'!U16</f>
        <v>1.0999999999999999E-2</v>
      </c>
      <c r="D12" s="46">
        <f t="shared" si="0"/>
        <v>1.0999999999999999E-2</v>
      </c>
      <c r="E12" s="46">
        <f t="shared" ref="E12:E25" si="2">C12</f>
        <v>1.0999999999999999E-2</v>
      </c>
      <c r="F12" s="46">
        <f t="shared" si="1"/>
        <v>1.0999999999999999E-2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(Форма)'!U19</f>
        <v>0.498</v>
      </c>
      <c r="D15" s="161">
        <f t="shared" si="0"/>
        <v>0.498</v>
      </c>
      <c r="E15" s="161">
        <f t="shared" si="2"/>
        <v>0.498</v>
      </c>
      <c r="F15" s="161">
        <f t="shared" si="1"/>
        <v>0.498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(Форма)'!U26</f>
        <v>0.03</v>
      </c>
      <c r="D22" s="46">
        <f t="shared" si="0"/>
        <v>0.03</v>
      </c>
      <c r="E22" s="46">
        <f t="shared" si="2"/>
        <v>0.03</v>
      </c>
      <c r="F22" s="46">
        <f t="shared" si="1"/>
        <v>0.03</v>
      </c>
    </row>
    <row r="23" spans="1:6" ht="18.75">
      <c r="A23" s="45" t="s">
        <v>29</v>
      </c>
      <c r="B23" s="21" t="s">
        <v>30</v>
      </c>
      <c r="C23" s="46">
        <f>'Управителю (Форма)'!U27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(Форма)'!U28</f>
        <v>5.0999999999999997E-2</v>
      </c>
      <c r="D24" s="46">
        <f t="shared" si="0"/>
        <v>5.0999999999999997E-2</v>
      </c>
      <c r="E24" s="46">
        <f t="shared" si="2"/>
        <v>5.0999999999999997E-2</v>
      </c>
      <c r="F24" s="46">
        <f t="shared" si="1"/>
        <v>5.0999999999999997E-2</v>
      </c>
    </row>
    <row r="25" spans="1:6" ht="75">
      <c r="A25" s="45" t="s">
        <v>33</v>
      </c>
      <c r="B25" s="21" t="s">
        <v>34</v>
      </c>
      <c r="C25" s="46">
        <f>'Управителю (Форма)'!U29</f>
        <v>7.4999999999999997E-2</v>
      </c>
      <c r="D25" s="46">
        <f t="shared" si="0"/>
        <v>7.4999999999999997E-2</v>
      </c>
      <c r="E25" s="46">
        <f t="shared" si="2"/>
        <v>7.4999999999999997E-2</v>
      </c>
      <c r="F25" s="46">
        <f t="shared" si="1"/>
        <v>7.4999999999999997E-2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(Форма)'!U31</f>
        <v>6.5000000000000002E-2</v>
      </c>
      <c r="D27" s="46">
        <f t="shared" ref="D27:D36" si="3">C27</f>
        <v>6.5000000000000002E-2</v>
      </c>
      <c r="E27" s="46">
        <f t="shared" ref="E27:E36" si="4">C27</f>
        <v>6.5000000000000002E-2</v>
      </c>
      <c r="F27" s="46">
        <f t="shared" ref="F27:F36" si="5">C27</f>
        <v>6.5000000000000002E-2</v>
      </c>
    </row>
    <row r="28" spans="1:6" ht="18.75">
      <c r="A28" s="155" t="s">
        <v>39</v>
      </c>
      <c r="B28" s="35" t="s">
        <v>40</v>
      </c>
      <c r="C28" s="156">
        <f>'Управителю (Форма)'!U32</f>
        <v>0.94899999999999995</v>
      </c>
      <c r="D28" s="156">
        <f t="shared" si="3"/>
        <v>0.94899999999999995</v>
      </c>
      <c r="E28" s="156">
        <f t="shared" si="4"/>
        <v>0.94899999999999995</v>
      </c>
      <c r="F28" s="156">
        <f t="shared" si="5"/>
        <v>0.94899999999999995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(Форма)'!U42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(Форма)'!U43</f>
        <v>0.17399999999999999</v>
      </c>
      <c r="D39" s="46">
        <f>C39</f>
        <v>0.17399999999999999</v>
      </c>
      <c r="E39" s="46">
        <f>C39</f>
        <v>0.17399999999999999</v>
      </c>
      <c r="F39" s="46">
        <f>C39</f>
        <v>0.17399999999999999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0.48899999999999999</v>
      </c>
      <c r="D41" s="39">
        <f>SUM(D38:D40,D27:D36,D9:D25)*('Управителю (Форма)'!$D$7-1)</f>
        <v>0.48899999999999999</v>
      </c>
      <c r="E41" s="39">
        <f>SUM(E38:E40,E27:E36,E9:E25)*('Управителю (Форма)'!$D$7-1)</f>
        <v>0.38500000000000001</v>
      </c>
      <c r="F41" s="39">
        <f>SUM(F38:F40,F27:F36,F9:F25)*('Управителю (Форма)'!$D$7-1)</f>
        <v>0.40600000000000003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0.67300000000000004</v>
      </c>
      <c r="D42" s="40">
        <f>SUM(D38:D41,D27:D36,D9:D25)*0.2</f>
        <v>0.67300000000000004</v>
      </c>
      <c r="E42" s="40">
        <f>SUM(E38:E41,E27:E36,E9:E25)*0.2</f>
        <v>0.53</v>
      </c>
      <c r="F42" s="40">
        <f>SUM(F38:F41,F27:F36,F9:F25)*0.2</f>
        <v>0.55900000000000005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4.0380000000000003</v>
      </c>
      <c r="D43" s="38">
        <f>SUM(D38:D40,D27:D36,D9:D25)+D41+D42</f>
        <v>4.0380000000000003</v>
      </c>
      <c r="E43" s="38">
        <f>SUM(E38:E40,E27:E36,E9:E25)+E41+E42</f>
        <v>3.1779999999999999</v>
      </c>
      <c r="F43" s="38">
        <f>SUM(F38:F40,F27:F36,F9:F25)+F41+F42</f>
        <v>3.3519999999999999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(Форма)'!T10&amp;", "&amp;'Управителю (Форма)'!T11</f>
        <v>вул. Д. Самоквасова, 7а</v>
      </c>
      <c r="B4" s="167"/>
      <c r="C4" s="167"/>
      <c r="D4" s="167"/>
      <c r="E4" s="167"/>
      <c r="F4" s="167"/>
    </row>
    <row r="5" spans="1:6" ht="19.5" thickBot="1">
      <c r="A5" s="4"/>
    </row>
    <row r="6" spans="1:6" ht="32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(Форма)'!T13</f>
        <v>0.48299999999999998</v>
      </c>
      <c r="D9" s="46">
        <f>C9</f>
        <v>0.48299999999999998</v>
      </c>
      <c r="E9" s="46">
        <f>C9</f>
        <v>0.48299999999999998</v>
      </c>
      <c r="F9" s="46">
        <f>C9</f>
        <v>0.48299999999999998</v>
      </c>
    </row>
    <row r="10" spans="1:6" ht="18.75">
      <c r="A10" s="45" t="s">
        <v>9</v>
      </c>
      <c r="B10" s="21" t="s">
        <v>10</v>
      </c>
      <c r="C10" s="46">
        <f>'Управителю (Форма)'!T14</f>
        <v>0.17399999999999999</v>
      </c>
      <c r="D10" s="46">
        <f t="shared" ref="D10:D25" si="0">C10</f>
        <v>0.17399999999999999</v>
      </c>
      <c r="E10" s="46"/>
      <c r="F10" s="46">
        <f t="shared" ref="F10:F25" si="1">C10</f>
        <v>0.17399999999999999</v>
      </c>
    </row>
    <row r="11" spans="1:6" ht="37.5">
      <c r="A11" s="45" t="s">
        <v>11</v>
      </c>
      <c r="B11" s="21" t="s">
        <v>12</v>
      </c>
      <c r="C11" s="46">
        <f>'Управителю (Форма)'!T15</f>
        <v>0.44500000000000001</v>
      </c>
      <c r="D11" s="46">
        <f t="shared" si="0"/>
        <v>0.44500000000000001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(Форма)'!T16</f>
        <v>1.7999999999999999E-2</v>
      </c>
      <c r="D12" s="46">
        <f t="shared" si="0"/>
        <v>1.7999999999999999E-2</v>
      </c>
      <c r="E12" s="46">
        <f t="shared" ref="E12:E25" si="2">C12</f>
        <v>1.7999999999999999E-2</v>
      </c>
      <c r="F12" s="46">
        <f t="shared" si="1"/>
        <v>1.7999999999999999E-2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(Форма)'!T17</f>
        <v>0.17499999999999999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(Форма)'!T18</f>
        <v>1.4E-2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(Форма)'!T19</f>
        <v>0.42</v>
      </c>
      <c r="D15" s="161">
        <f t="shared" si="0"/>
        <v>0.42</v>
      </c>
      <c r="E15" s="161">
        <f t="shared" si="2"/>
        <v>0.42</v>
      </c>
      <c r="F15" s="161">
        <f t="shared" si="1"/>
        <v>0.42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(Форма)'!T26</f>
        <v>1.9E-2</v>
      </c>
      <c r="D22" s="46">
        <f t="shared" si="0"/>
        <v>1.9E-2</v>
      </c>
      <c r="E22" s="46">
        <f t="shared" si="2"/>
        <v>1.9E-2</v>
      </c>
      <c r="F22" s="46">
        <f t="shared" si="1"/>
        <v>1.9E-2</v>
      </c>
    </row>
    <row r="23" spans="1:6" ht="18.75">
      <c r="A23" s="45" t="s">
        <v>29</v>
      </c>
      <c r="B23" s="21" t="s">
        <v>30</v>
      </c>
      <c r="C23" s="46">
        <f>'Управителю (Форма)'!T27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(Форма)'!T28</f>
        <v>3.1E-2</v>
      </c>
      <c r="D24" s="46">
        <f t="shared" si="0"/>
        <v>3.1E-2</v>
      </c>
      <c r="E24" s="46">
        <f t="shared" si="2"/>
        <v>3.1E-2</v>
      </c>
      <c r="F24" s="46">
        <f t="shared" si="1"/>
        <v>3.1E-2</v>
      </c>
    </row>
    <row r="25" spans="1:6" ht="75">
      <c r="A25" s="45" t="s">
        <v>33</v>
      </c>
      <c r="B25" s="21" t="s">
        <v>34</v>
      </c>
      <c r="C25" s="46">
        <f>'Управителю (Форма)'!T29</f>
        <v>3.3000000000000002E-2</v>
      </c>
      <c r="D25" s="46">
        <f t="shared" si="0"/>
        <v>3.3000000000000002E-2</v>
      </c>
      <c r="E25" s="46">
        <f t="shared" si="2"/>
        <v>3.3000000000000002E-2</v>
      </c>
      <c r="F25" s="46">
        <f t="shared" si="1"/>
        <v>3.3000000000000002E-2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(Форма)'!T31</f>
        <v>3.4000000000000002E-2</v>
      </c>
      <c r="D27" s="46">
        <f t="shared" ref="D27:D36" si="3">C27</f>
        <v>3.4000000000000002E-2</v>
      </c>
      <c r="E27" s="46">
        <f t="shared" ref="E27:E36" si="4">C27</f>
        <v>3.4000000000000002E-2</v>
      </c>
      <c r="F27" s="46">
        <f t="shared" ref="F27:F36" si="5">C27</f>
        <v>3.4000000000000002E-2</v>
      </c>
    </row>
    <row r="28" spans="1:6" ht="18.75">
      <c r="A28" s="155" t="s">
        <v>39</v>
      </c>
      <c r="B28" s="35" t="s">
        <v>40</v>
      </c>
      <c r="C28" s="156">
        <f>'Управителю (Форма)'!T32</f>
        <v>0.91200000000000003</v>
      </c>
      <c r="D28" s="156">
        <f t="shared" si="3"/>
        <v>0.91200000000000003</v>
      </c>
      <c r="E28" s="156">
        <f t="shared" si="4"/>
        <v>0.91200000000000003</v>
      </c>
      <c r="F28" s="156">
        <f t="shared" si="5"/>
        <v>0.91200000000000003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(Форма)'!T42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(Форма)'!T43</f>
        <v>0.17699999999999999</v>
      </c>
      <c r="D39" s="46">
        <f>C39</f>
        <v>0.17699999999999999</v>
      </c>
      <c r="E39" s="46">
        <f>C39</f>
        <v>0.17699999999999999</v>
      </c>
      <c r="F39" s="46">
        <f>C39</f>
        <v>0.17699999999999999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(Форма)'!T44</f>
        <v>0.17199999999999999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0.46700000000000003</v>
      </c>
      <c r="D41" s="39">
        <f>SUM(D38:D40,D27:D36,D9:D25)*('Управителю (Форма)'!$D$7-1)</f>
        <v>0.52900000000000003</v>
      </c>
      <c r="E41" s="39">
        <f>SUM(E38:E40,E27:E36,E9:E25)*('Управителю (Форма)'!$D$7-1)</f>
        <v>0.36199999999999999</v>
      </c>
      <c r="F41" s="39">
        <f>SUM(F38:F40,F27:F36,F9:F25)*('Управителю (Форма)'!$D$7-1)</f>
        <v>0.39200000000000002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0.64300000000000002</v>
      </c>
      <c r="D42" s="40">
        <f>SUM(D38:D41,D27:D36,D9:D25)*0.2</f>
        <v>0.72799999999999998</v>
      </c>
      <c r="E42" s="40">
        <f>SUM(E38:E41,E27:E36,E9:E25)*0.2</f>
        <v>0.498</v>
      </c>
      <c r="F42" s="40">
        <f>SUM(F38:F41,F27:F36,F9:F25)*0.2</f>
        <v>0.53900000000000003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3.8580000000000001</v>
      </c>
      <c r="D43" s="38">
        <f>SUM(D38:D40,D27:D36,D9:D25)+D41+D42</f>
        <v>4.3659999999999997</v>
      </c>
      <c r="E43" s="38">
        <f>SUM(E38:E40,E27:E36,E9:E25)+E41+E42</f>
        <v>2.9889999999999999</v>
      </c>
      <c r="F43" s="38">
        <f>SUM(F38:F40,F27:F36,F9:F25)+F41+F42</f>
        <v>3.234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D46" sqref="D46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(Форма)'!CM10&amp;", "&amp;'Управителю (Форма)'!CM11</f>
        <v>вул. Чудінова, 5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(Форма)'!CM13</f>
        <v>1.276</v>
      </c>
      <c r="D9" s="46">
        <f>C9</f>
        <v>1.276</v>
      </c>
      <c r="E9" s="46">
        <f>C9</f>
        <v>1.276</v>
      </c>
      <c r="F9" s="46">
        <f>C9</f>
        <v>1.276</v>
      </c>
    </row>
    <row r="10" spans="1:6" ht="18.75">
      <c r="A10" s="45" t="s">
        <v>9</v>
      </c>
      <c r="B10" s="21" t="s">
        <v>10</v>
      </c>
      <c r="C10" s="46">
        <f>'Управителю (Форма)'!CM14</f>
        <v>0.20699999999999999</v>
      </c>
      <c r="D10" s="46">
        <f t="shared" ref="D10:D25" si="0">C10</f>
        <v>0.20699999999999999</v>
      </c>
      <c r="E10" s="46"/>
      <c r="F10" s="46">
        <f t="shared" ref="F10:F25" si="1">C10</f>
        <v>0.20699999999999999</v>
      </c>
    </row>
    <row r="11" spans="1:6" ht="37.5">
      <c r="A11" s="45" t="s">
        <v>11</v>
      </c>
      <c r="B11" s="21" t="s">
        <v>12</v>
      </c>
      <c r="C11" s="46">
        <f>'Управителю (Форма)'!CM15</f>
        <v>0.377</v>
      </c>
      <c r="D11" s="46">
        <f t="shared" si="0"/>
        <v>0.377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(Форма)'!CM16</f>
        <v>1.4E-2</v>
      </c>
      <c r="D12" s="46">
        <f t="shared" si="0"/>
        <v>1.4E-2</v>
      </c>
      <c r="E12" s="46">
        <f t="shared" ref="E12:E25" si="2">C12</f>
        <v>1.4E-2</v>
      </c>
      <c r="F12" s="46">
        <f t="shared" si="1"/>
        <v>1.4E-2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(Форма)'!CM19</f>
        <v>0.217</v>
      </c>
      <c r="D15" s="161">
        <f t="shared" si="0"/>
        <v>0.217</v>
      </c>
      <c r="E15" s="161">
        <f t="shared" si="2"/>
        <v>0.217</v>
      </c>
      <c r="F15" s="161">
        <f t="shared" si="1"/>
        <v>0.217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(Форма)'!CM26</f>
        <v>4.1000000000000002E-2</v>
      </c>
      <c r="D22" s="46">
        <f t="shared" si="0"/>
        <v>4.1000000000000002E-2</v>
      </c>
      <c r="E22" s="46">
        <f t="shared" si="2"/>
        <v>4.1000000000000002E-2</v>
      </c>
      <c r="F22" s="46">
        <f t="shared" si="1"/>
        <v>4.1000000000000002E-2</v>
      </c>
    </row>
    <row r="23" spans="1:6" ht="18.75">
      <c r="A23" s="45" t="s">
        <v>29</v>
      </c>
      <c r="B23" s="21" t="s">
        <v>30</v>
      </c>
      <c r="C23" s="46">
        <f>'Управителю (Форма)'!CM27</f>
        <v>2E-3</v>
      </c>
      <c r="D23" s="46">
        <f t="shared" si="0"/>
        <v>2E-3</v>
      </c>
      <c r="E23" s="46">
        <f t="shared" si="2"/>
        <v>2E-3</v>
      </c>
      <c r="F23" s="46">
        <f t="shared" si="1"/>
        <v>2E-3</v>
      </c>
    </row>
    <row r="24" spans="1:6" ht="37.5">
      <c r="A24" s="45" t="s">
        <v>31</v>
      </c>
      <c r="B24" s="21" t="s">
        <v>32</v>
      </c>
      <c r="C24" s="46">
        <f>'Управителю (Форма)'!CM28</f>
        <v>4.4999999999999998E-2</v>
      </c>
      <c r="D24" s="46">
        <f t="shared" si="0"/>
        <v>4.4999999999999998E-2</v>
      </c>
      <c r="E24" s="46">
        <f t="shared" si="2"/>
        <v>4.4999999999999998E-2</v>
      </c>
      <c r="F24" s="46">
        <f t="shared" si="1"/>
        <v>4.4999999999999998E-2</v>
      </c>
    </row>
    <row r="25" spans="1:6" ht="75">
      <c r="A25" s="45" t="s">
        <v>33</v>
      </c>
      <c r="B25" s="21" t="s">
        <v>34</v>
      </c>
      <c r="C25" s="46">
        <f>'Управителю (Форма)'!CM29</f>
        <v>0.25600000000000001</v>
      </c>
      <c r="D25" s="46">
        <f t="shared" si="0"/>
        <v>0.25600000000000001</v>
      </c>
      <c r="E25" s="46">
        <f t="shared" si="2"/>
        <v>0.25600000000000001</v>
      </c>
      <c r="F25" s="46">
        <f t="shared" si="1"/>
        <v>0.25600000000000001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(Форма)'!CM31</f>
        <v>3.2000000000000001E-2</v>
      </c>
      <c r="D27" s="46">
        <f t="shared" ref="D27:D36" si="3">C27</f>
        <v>3.2000000000000001E-2</v>
      </c>
      <c r="E27" s="46">
        <f t="shared" ref="E27:E36" si="4">C27</f>
        <v>3.2000000000000001E-2</v>
      </c>
      <c r="F27" s="46">
        <f t="shared" ref="F27:F36" si="5">C27</f>
        <v>3.2000000000000001E-2</v>
      </c>
    </row>
    <row r="28" spans="1:6" ht="18.75">
      <c r="A28" s="155" t="s">
        <v>39</v>
      </c>
      <c r="B28" s="35" t="s">
        <v>40</v>
      </c>
      <c r="C28" s="156">
        <f>'Управителю (Форма)'!CM32</f>
        <v>6.6000000000000003E-2</v>
      </c>
      <c r="D28" s="156">
        <f t="shared" si="3"/>
        <v>6.6000000000000003E-2</v>
      </c>
      <c r="E28" s="156">
        <f t="shared" si="4"/>
        <v>6.6000000000000003E-2</v>
      </c>
      <c r="F28" s="156">
        <f t="shared" si="5"/>
        <v>6.6000000000000003E-2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(Форма)'!CM42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(Форма)'!CM43</f>
        <v>0.188</v>
      </c>
      <c r="D39" s="46">
        <f>C39</f>
        <v>0.188</v>
      </c>
      <c r="E39" s="46">
        <f>C39</f>
        <v>0.188</v>
      </c>
      <c r="F39" s="46">
        <f>C39</f>
        <v>0.188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0.46300000000000002</v>
      </c>
      <c r="D41" s="39">
        <f>SUM(D38:D40,D27:D36,D9:D25)*('Управителю (Форма)'!$D$7-1)</f>
        <v>0.46300000000000002</v>
      </c>
      <c r="E41" s="39">
        <f>SUM(E38:E40,E27:E36,E9:E25)*('Управителю (Форма)'!$D$7-1)</f>
        <v>0.36299999999999999</v>
      </c>
      <c r="F41" s="39">
        <f>SUM(F38:F40,F27:F36,F9:F25)*('Управителю (Форма)'!$D$7-1)</f>
        <v>0.39900000000000002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0.63700000000000001</v>
      </c>
      <c r="D42" s="40">
        <f>SUM(D38:D41,D27:D36,D9:D25)*0.2</f>
        <v>0.63700000000000001</v>
      </c>
      <c r="E42" s="40">
        <f>SUM(E38:E41,E27:E36,E9:E25)*0.2</f>
        <v>0.5</v>
      </c>
      <c r="F42" s="40">
        <f>SUM(F38:F41,F27:F36,F9:F25)*0.2</f>
        <v>0.54900000000000004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3.8220000000000001</v>
      </c>
      <c r="D43" s="38">
        <f>SUM(D38:D40,D27:D36,D9:D25)+D41+D42</f>
        <v>3.8220000000000001</v>
      </c>
      <c r="E43" s="38">
        <f>SUM(E38:E40,E27:E36,E9:E25)+E41+E42</f>
        <v>3.0009999999999999</v>
      </c>
      <c r="F43" s="38">
        <f>SUM(F38:F40,F27:F36,F9:F25)+F41+F42</f>
        <v>3.2930000000000001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(Форма)'!S10&amp;", "&amp;'Управителю (Форма)'!S11</f>
        <v>вул. Д.  Самоквасова, 7</v>
      </c>
      <c r="B4" s="167"/>
      <c r="C4" s="167"/>
      <c r="D4" s="167"/>
      <c r="E4" s="167"/>
      <c r="F4" s="167"/>
    </row>
    <row r="5" spans="1:6" ht="19.5" thickBot="1">
      <c r="A5" s="4"/>
    </row>
    <row r="6" spans="1:6" ht="35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(Форма)'!S13</f>
        <v>0.41299999999999998</v>
      </c>
      <c r="D9" s="46">
        <f>C9</f>
        <v>0.41299999999999998</v>
      </c>
      <c r="E9" s="46">
        <f>C9</f>
        <v>0.41299999999999998</v>
      </c>
      <c r="F9" s="46">
        <f>C9</f>
        <v>0.41299999999999998</v>
      </c>
    </row>
    <row r="10" spans="1:6" ht="18.75">
      <c r="A10" s="45" t="s">
        <v>9</v>
      </c>
      <c r="B10" s="21" t="s">
        <v>10</v>
      </c>
      <c r="C10" s="46">
        <f>'Управителю (Форма)'!S14</f>
        <v>0.13500000000000001</v>
      </c>
      <c r="D10" s="46">
        <f t="shared" ref="D10:D25" si="0">C10</f>
        <v>0.13500000000000001</v>
      </c>
      <c r="E10" s="46"/>
      <c r="F10" s="46">
        <f t="shared" ref="F10:F25" si="1">C10</f>
        <v>0.13500000000000001</v>
      </c>
    </row>
    <row r="11" spans="1:6" ht="37.5">
      <c r="A11" s="45" t="s">
        <v>11</v>
      </c>
      <c r="B11" s="21" t="s">
        <v>12</v>
      </c>
      <c r="C11" s="46">
        <f>'Управителю (Форма)'!S15</f>
        <v>0.47199999999999998</v>
      </c>
      <c r="D11" s="46">
        <f t="shared" si="0"/>
        <v>0.47199999999999998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(Форма)'!S16</f>
        <v>2.5999999999999999E-2</v>
      </c>
      <c r="D12" s="46">
        <f t="shared" si="0"/>
        <v>2.5999999999999999E-2</v>
      </c>
      <c r="E12" s="46">
        <f t="shared" ref="E12:E25" si="2">C12</f>
        <v>2.5999999999999999E-2</v>
      </c>
      <c r="F12" s="46">
        <f t="shared" si="1"/>
        <v>2.5999999999999999E-2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(Форма)'!S19</f>
        <v>0.435</v>
      </c>
      <c r="D15" s="161">
        <f t="shared" si="0"/>
        <v>0.435</v>
      </c>
      <c r="E15" s="161">
        <f t="shared" si="2"/>
        <v>0.435</v>
      </c>
      <c r="F15" s="161">
        <f t="shared" si="1"/>
        <v>0.435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(Форма)'!S26</f>
        <v>2.8000000000000001E-2</v>
      </c>
      <c r="D22" s="46">
        <f t="shared" si="0"/>
        <v>2.8000000000000001E-2</v>
      </c>
      <c r="E22" s="46">
        <f t="shared" si="2"/>
        <v>2.8000000000000001E-2</v>
      </c>
      <c r="F22" s="46">
        <f t="shared" si="1"/>
        <v>2.8000000000000001E-2</v>
      </c>
    </row>
    <row r="23" spans="1:6" ht="18.75">
      <c r="A23" s="45" t="s">
        <v>29</v>
      </c>
      <c r="B23" s="21" t="s">
        <v>30</v>
      </c>
      <c r="C23" s="46">
        <f>'Управителю (Форма)'!S27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(Форма)'!S28</f>
        <v>2.9000000000000001E-2</v>
      </c>
      <c r="D24" s="46">
        <f t="shared" si="0"/>
        <v>2.9000000000000001E-2</v>
      </c>
      <c r="E24" s="46">
        <f t="shared" si="2"/>
        <v>2.9000000000000001E-2</v>
      </c>
      <c r="F24" s="46">
        <f t="shared" si="1"/>
        <v>2.9000000000000001E-2</v>
      </c>
    </row>
    <row r="25" spans="1:6" ht="75">
      <c r="A25" s="45" t="s">
        <v>33</v>
      </c>
      <c r="B25" s="21" t="s">
        <v>34</v>
      </c>
      <c r="C25" s="46">
        <f>'Управителю (Форма)'!S29</f>
        <v>7.5999999999999998E-2</v>
      </c>
      <c r="D25" s="46">
        <f t="shared" si="0"/>
        <v>7.5999999999999998E-2</v>
      </c>
      <c r="E25" s="46">
        <f t="shared" si="2"/>
        <v>7.5999999999999998E-2</v>
      </c>
      <c r="F25" s="46">
        <f t="shared" si="1"/>
        <v>7.5999999999999998E-2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(Форма)'!S31</f>
        <v>5.5E-2</v>
      </c>
      <c r="D27" s="46">
        <f t="shared" ref="D27:D36" si="3">C27</f>
        <v>5.5E-2</v>
      </c>
      <c r="E27" s="46">
        <f t="shared" ref="E27:E36" si="4">C27</f>
        <v>5.5E-2</v>
      </c>
      <c r="F27" s="46">
        <f t="shared" ref="F27:F36" si="5">C27</f>
        <v>5.5E-2</v>
      </c>
    </row>
    <row r="28" spans="1:6" ht="18.75">
      <c r="A28" s="155" t="s">
        <v>39</v>
      </c>
      <c r="B28" s="35" t="s">
        <v>40</v>
      </c>
      <c r="C28" s="156">
        <f>'Управителю (Форма)'!S32</f>
        <v>1.004</v>
      </c>
      <c r="D28" s="156">
        <f t="shared" si="3"/>
        <v>1.004</v>
      </c>
      <c r="E28" s="156">
        <f t="shared" si="4"/>
        <v>1.004</v>
      </c>
      <c r="F28" s="156">
        <f t="shared" si="5"/>
        <v>1.004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(Форма)'!S42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(Форма)'!S43</f>
        <v>0.188</v>
      </c>
      <c r="D39" s="46">
        <f>C39</f>
        <v>0.188</v>
      </c>
      <c r="E39" s="46">
        <f>C39</f>
        <v>0.188</v>
      </c>
      <c r="F39" s="46">
        <f>C39</f>
        <v>0.188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0.48699999999999999</v>
      </c>
      <c r="D41" s="39">
        <f>SUM(D38:D40,D27:D36,D9:D25)*('Управителю (Форма)'!$D$7-1)</f>
        <v>0.48699999999999999</v>
      </c>
      <c r="E41" s="39">
        <f>SUM(E38:E40,E27:E36,E9:E25)*('Управителю (Форма)'!$D$7-1)</f>
        <v>0.38400000000000001</v>
      </c>
      <c r="F41" s="39">
        <f>SUM(F38:F40,F27:F36,F9:F25)*('Управителю (Форма)'!$D$7-1)</f>
        <v>0.40600000000000003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0.67</v>
      </c>
      <c r="D42" s="40">
        <f>SUM(D38:D41,D27:D36,D9:D25)*0.2</f>
        <v>0.67</v>
      </c>
      <c r="E42" s="40">
        <f>SUM(E38:E41,E27:E36,E9:E25)*0.2</f>
        <v>0.52800000000000002</v>
      </c>
      <c r="F42" s="40">
        <f>SUM(F38:F41,F27:F36,F9:F25)*0.2</f>
        <v>0.55900000000000005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4.0199999999999996</v>
      </c>
      <c r="D43" s="38">
        <f>SUM(D38:D40,D27:D36,D9:D25)+D41+D42</f>
        <v>4.0199999999999996</v>
      </c>
      <c r="E43" s="38">
        <f>SUM(E38:E40,E27:E36,E9:E25)+E41+E42</f>
        <v>3.1680000000000001</v>
      </c>
      <c r="F43" s="38">
        <f>SUM(F38:F40,F27:F36,F9:F25)+F41+F42</f>
        <v>3.3559999999999999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(Форма)'!R10&amp;", "&amp;'Управителю (Форма)'!R11</f>
        <v>вул. Д.  Самоквасова, 6а</v>
      </c>
      <c r="B4" s="167"/>
      <c r="C4" s="167"/>
      <c r="D4" s="167"/>
      <c r="E4" s="167"/>
      <c r="F4" s="167"/>
    </row>
    <row r="5" spans="1:6" ht="19.5" thickBot="1">
      <c r="A5" s="4"/>
    </row>
    <row r="6" spans="1:6" ht="36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(Форма)'!R13</f>
        <v>0.55800000000000005</v>
      </c>
      <c r="D9" s="46">
        <f>C9</f>
        <v>0.55800000000000005</v>
      </c>
      <c r="E9" s="46">
        <f>C9</f>
        <v>0.55800000000000005</v>
      </c>
      <c r="F9" s="46">
        <f>C9</f>
        <v>0.55800000000000005</v>
      </c>
    </row>
    <row r="10" spans="1:6" ht="18.75">
      <c r="A10" s="45" t="s">
        <v>9</v>
      </c>
      <c r="B10" s="21" t="s">
        <v>10</v>
      </c>
      <c r="C10" s="46">
        <f>'Управителю (Форма)'!R14</f>
        <v>0.318</v>
      </c>
      <c r="D10" s="46">
        <f t="shared" ref="D10:D25" si="0">C10</f>
        <v>0.318</v>
      </c>
      <c r="E10" s="46"/>
      <c r="F10" s="46">
        <f t="shared" ref="F10:F25" si="1">C10</f>
        <v>0.318</v>
      </c>
    </row>
    <row r="11" spans="1:6" ht="37.5">
      <c r="A11" s="45" t="s">
        <v>11</v>
      </c>
      <c r="B11" s="21" t="s">
        <v>12</v>
      </c>
      <c r="C11" s="46">
        <f>'Управителю (Форма)'!R15</f>
        <v>0.36499999999999999</v>
      </c>
      <c r="D11" s="46">
        <f t="shared" si="0"/>
        <v>0.36499999999999999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(Форма)'!R16</f>
        <v>1.6E-2</v>
      </c>
      <c r="D12" s="46">
        <f t="shared" si="0"/>
        <v>1.6E-2</v>
      </c>
      <c r="E12" s="46">
        <f t="shared" ref="E12:E25" si="2">C12</f>
        <v>1.6E-2</v>
      </c>
      <c r="F12" s="46">
        <f t="shared" si="1"/>
        <v>1.6E-2</v>
      </c>
    </row>
    <row r="13" spans="1:6" ht="18.75">
      <c r="A13" s="45" t="s">
        <v>15</v>
      </c>
      <c r="B13" s="21" t="s">
        <v>16</v>
      </c>
      <c r="C13" s="54"/>
      <c r="D13" s="46">
        <f>'Управителю (Форма)'!R17</f>
        <v>0.373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54">
        <f>'Управителю (Форма)'!R18</f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(Форма)'!R19</f>
        <v>0.39200000000000002</v>
      </c>
      <c r="D15" s="161">
        <f t="shared" si="0"/>
        <v>0.39200000000000002</v>
      </c>
      <c r="E15" s="161">
        <f t="shared" si="2"/>
        <v>0.39200000000000002</v>
      </c>
      <c r="F15" s="161">
        <f t="shared" si="1"/>
        <v>0.39200000000000002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(Форма)'!R26</f>
        <v>1.9E-2</v>
      </c>
      <c r="D22" s="46">
        <f t="shared" si="0"/>
        <v>1.9E-2</v>
      </c>
      <c r="E22" s="46">
        <f t="shared" si="2"/>
        <v>1.9E-2</v>
      </c>
      <c r="F22" s="46">
        <f t="shared" si="1"/>
        <v>1.9E-2</v>
      </c>
    </row>
    <row r="23" spans="1:6" ht="18.75">
      <c r="A23" s="45" t="s">
        <v>29</v>
      </c>
      <c r="B23" s="21" t="s">
        <v>30</v>
      </c>
      <c r="C23" s="46">
        <f>'Управителю (Форма)'!R27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(Форма)'!R28</f>
        <v>2.1999999999999999E-2</v>
      </c>
      <c r="D24" s="46">
        <f t="shared" si="0"/>
        <v>2.1999999999999999E-2</v>
      </c>
      <c r="E24" s="46">
        <f t="shared" si="2"/>
        <v>2.1999999999999999E-2</v>
      </c>
      <c r="F24" s="46">
        <f t="shared" si="1"/>
        <v>2.1999999999999999E-2</v>
      </c>
    </row>
    <row r="25" spans="1:6" ht="75">
      <c r="A25" s="45" t="s">
        <v>33</v>
      </c>
      <c r="B25" s="21" t="s">
        <v>34</v>
      </c>
      <c r="C25" s="46">
        <f>'Управителю (Форма)'!R29</f>
        <v>3.7999999999999999E-2</v>
      </c>
      <c r="D25" s="46">
        <f t="shared" si="0"/>
        <v>3.7999999999999999E-2</v>
      </c>
      <c r="E25" s="46">
        <f t="shared" si="2"/>
        <v>3.7999999999999999E-2</v>
      </c>
      <c r="F25" s="46">
        <f t="shared" si="1"/>
        <v>3.7999999999999999E-2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(Форма)'!R31</f>
        <v>1.2999999999999999E-2</v>
      </c>
      <c r="D27" s="46">
        <f t="shared" ref="D27:D36" si="3">C27</f>
        <v>1.2999999999999999E-2</v>
      </c>
      <c r="E27" s="46">
        <f t="shared" ref="E27:E36" si="4">C27</f>
        <v>1.2999999999999999E-2</v>
      </c>
      <c r="F27" s="46">
        <f t="shared" ref="F27:F36" si="5">C27</f>
        <v>1.2999999999999999E-2</v>
      </c>
    </row>
    <row r="28" spans="1:6" ht="18.75">
      <c r="A28" s="155" t="s">
        <v>39</v>
      </c>
      <c r="B28" s="35" t="s">
        <v>40</v>
      </c>
      <c r="C28" s="156">
        <f>'Управителю (Форма)'!R32</f>
        <v>0.58799999999999997</v>
      </c>
      <c r="D28" s="156">
        <f t="shared" si="3"/>
        <v>0.58799999999999997</v>
      </c>
      <c r="E28" s="156">
        <f t="shared" si="4"/>
        <v>0.58799999999999997</v>
      </c>
      <c r="F28" s="156">
        <f t="shared" si="5"/>
        <v>0.58799999999999997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(Форма)'!R42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(Форма)'!R43</f>
        <v>0.23899999999999999</v>
      </c>
      <c r="D39" s="46">
        <f>C39</f>
        <v>0.23899999999999999</v>
      </c>
      <c r="E39" s="46">
        <f>C39</f>
        <v>0.23899999999999999</v>
      </c>
      <c r="F39" s="46">
        <f>C39</f>
        <v>0.23899999999999999</v>
      </c>
    </row>
    <row r="40" spans="1:6" ht="18.75">
      <c r="A40" s="45" t="s">
        <v>51</v>
      </c>
      <c r="B40" s="20" t="s">
        <v>52</v>
      </c>
      <c r="C40" s="46"/>
      <c r="D40" s="54">
        <f>'Управителю (Форма)'!R44</f>
        <v>0.23200000000000001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0.437</v>
      </c>
      <c r="D41" s="39">
        <f>SUM(D38:D40,D27:D36,D9:D25)*('Управителю (Форма)'!$D$7-1)</f>
        <v>0.54</v>
      </c>
      <c r="E41" s="39">
        <f>SUM(E38:E40,E27:E36,E9:E25)*('Управителю (Форма)'!$D$7-1)</f>
        <v>0.32100000000000001</v>
      </c>
      <c r="F41" s="39">
        <f>SUM(F38:F40,F27:F36,F9:F25)*('Управителю (Форма)'!$D$7-1)</f>
        <v>0.375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0.60099999999999998</v>
      </c>
      <c r="D42" s="40">
        <f>SUM(D38:D41,D27:D36,D9:D25)*0.2</f>
        <v>0.74299999999999999</v>
      </c>
      <c r="E42" s="40">
        <f>SUM(E38:E41,E27:E36,E9:E25)*0.2</f>
        <v>0.442</v>
      </c>
      <c r="F42" s="40">
        <f>SUM(F38:F41,F27:F36,F9:F25)*0.2</f>
        <v>0.51600000000000001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3.6080000000000001</v>
      </c>
      <c r="D43" s="38">
        <f>SUM(D38:D40,D27:D36,D9:D25)+D41+D42</f>
        <v>4.4580000000000002</v>
      </c>
      <c r="E43" s="38">
        <f>SUM(E38:E40,E27:E36,E9:E25)+E41+E42</f>
        <v>2.65</v>
      </c>
      <c r="F43" s="38">
        <f>SUM(F38:F40,F27:F36,F9:F25)+F41+F42</f>
        <v>3.0960000000000001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(Форма)'!Q10&amp;", "&amp;'Управителю (Форма)'!Q11</f>
        <v>вул. Д.  Самоквасова, 6</v>
      </c>
      <c r="B4" s="167"/>
      <c r="C4" s="167"/>
      <c r="D4" s="167"/>
      <c r="E4" s="167"/>
      <c r="F4" s="167"/>
    </row>
    <row r="5" spans="1:6" ht="19.5" thickBot="1">
      <c r="A5" s="4"/>
    </row>
    <row r="6" spans="1:6" ht="33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(Форма)'!Q13</f>
        <v>0.56599999999999995</v>
      </c>
      <c r="D9" s="46">
        <f>C9</f>
        <v>0.56599999999999995</v>
      </c>
      <c r="E9" s="46">
        <f>C9</f>
        <v>0.56599999999999995</v>
      </c>
      <c r="F9" s="46">
        <f>C9</f>
        <v>0.56599999999999995</v>
      </c>
    </row>
    <row r="10" spans="1:6" ht="18.75">
      <c r="A10" s="45" t="s">
        <v>9</v>
      </c>
      <c r="B10" s="21" t="s">
        <v>10</v>
      </c>
      <c r="C10" s="46">
        <f>'Управителю (Форма)'!Q14</f>
        <v>0.16</v>
      </c>
      <c r="D10" s="46">
        <f t="shared" ref="D10:D25" si="0">C10</f>
        <v>0.16</v>
      </c>
      <c r="E10" s="46"/>
      <c r="F10" s="46">
        <f t="shared" ref="F10:F25" si="1">C10</f>
        <v>0.16</v>
      </c>
    </row>
    <row r="11" spans="1:6" ht="37.5">
      <c r="A11" s="45" t="s">
        <v>11</v>
      </c>
      <c r="B11" s="21" t="s">
        <v>12</v>
      </c>
      <c r="C11" s="46">
        <f>'Управителю (Форма)'!Q15</f>
        <v>0.81799999999999995</v>
      </c>
      <c r="D11" s="46">
        <f t="shared" si="0"/>
        <v>0.81799999999999995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(Форма)'!Q16</f>
        <v>1.9E-2</v>
      </c>
      <c r="D12" s="46">
        <f t="shared" si="0"/>
        <v>1.9E-2</v>
      </c>
      <c r="E12" s="46">
        <f t="shared" ref="E12:E25" si="2">C12</f>
        <v>1.9E-2</v>
      </c>
      <c r="F12" s="46">
        <f t="shared" si="1"/>
        <v>1.9E-2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(Форма)'!Q19</f>
        <v>0.27</v>
      </c>
      <c r="D15" s="161">
        <f t="shared" si="0"/>
        <v>0.27</v>
      </c>
      <c r="E15" s="161">
        <f t="shared" si="2"/>
        <v>0.27</v>
      </c>
      <c r="F15" s="161">
        <f t="shared" si="1"/>
        <v>0.27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(Форма)'!Q26</f>
        <v>5.6000000000000001E-2</v>
      </c>
      <c r="D22" s="46">
        <f t="shared" si="0"/>
        <v>5.6000000000000001E-2</v>
      </c>
      <c r="E22" s="46">
        <f t="shared" si="2"/>
        <v>5.6000000000000001E-2</v>
      </c>
      <c r="F22" s="46">
        <f t="shared" si="1"/>
        <v>5.6000000000000001E-2</v>
      </c>
    </row>
    <row r="23" spans="1:6" ht="18.75">
      <c r="A23" s="45" t="s">
        <v>29</v>
      </c>
      <c r="B23" s="21" t="s">
        <v>30</v>
      </c>
      <c r="C23" s="46">
        <f>'Управителю (Форма)'!Q27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(Форма)'!Q28</f>
        <v>1.9E-2</v>
      </c>
      <c r="D24" s="46">
        <f t="shared" si="0"/>
        <v>1.9E-2</v>
      </c>
      <c r="E24" s="46">
        <f t="shared" si="2"/>
        <v>1.9E-2</v>
      </c>
      <c r="F24" s="46">
        <f t="shared" si="1"/>
        <v>1.9E-2</v>
      </c>
    </row>
    <row r="25" spans="1:6" ht="75">
      <c r="A25" s="45" t="s">
        <v>33</v>
      </c>
      <c r="B25" s="21" t="s">
        <v>34</v>
      </c>
      <c r="C25" s="46">
        <f>'Управителю (Форма)'!Q29</f>
        <v>0.10100000000000001</v>
      </c>
      <c r="D25" s="46">
        <f t="shared" si="0"/>
        <v>0.10100000000000001</v>
      </c>
      <c r="E25" s="46">
        <f t="shared" si="2"/>
        <v>0.10100000000000001</v>
      </c>
      <c r="F25" s="46">
        <f t="shared" si="1"/>
        <v>0.10100000000000001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(Форма)'!Q31</f>
        <v>2.1000000000000001E-2</v>
      </c>
      <c r="D27" s="46">
        <f t="shared" ref="D27:D36" si="3">C27</f>
        <v>2.1000000000000001E-2</v>
      </c>
      <c r="E27" s="46">
        <f t="shared" ref="E27:E36" si="4">C27</f>
        <v>2.1000000000000001E-2</v>
      </c>
      <c r="F27" s="46">
        <f t="shared" ref="F27:F36" si="5">C27</f>
        <v>2.1000000000000001E-2</v>
      </c>
    </row>
    <row r="28" spans="1:6" ht="18.75">
      <c r="A28" s="155" t="s">
        <v>39</v>
      </c>
      <c r="B28" s="35" t="s">
        <v>40</v>
      </c>
      <c r="C28" s="156">
        <f>'Управителю (Форма)'!Q32</f>
        <v>0.57099999999999995</v>
      </c>
      <c r="D28" s="156">
        <f t="shared" si="3"/>
        <v>0.57099999999999995</v>
      </c>
      <c r="E28" s="156">
        <f t="shared" si="4"/>
        <v>0.57099999999999995</v>
      </c>
      <c r="F28" s="156">
        <f t="shared" si="5"/>
        <v>0.57099999999999995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(Форма)'!Q42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(Форма)'!Q43</f>
        <v>0.23899999999999999</v>
      </c>
      <c r="D39" s="46">
        <f>C39</f>
        <v>0.23899999999999999</v>
      </c>
      <c r="E39" s="46">
        <f>C39</f>
        <v>0.23899999999999999</v>
      </c>
      <c r="F39" s="46">
        <f>C39</f>
        <v>0.23899999999999999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0.48299999999999998</v>
      </c>
      <c r="D41" s="39">
        <f>SUM(D38:D40,D27:D36,D9:D25)*('Управителю (Форма)'!$D$7-1)</f>
        <v>0.48299999999999998</v>
      </c>
      <c r="E41" s="39">
        <f>SUM(E38:E40,E27:E36,E9:E25)*('Управителю (Форма)'!$D$7-1)</f>
        <v>0.317</v>
      </c>
      <c r="F41" s="39">
        <f>SUM(F38:F40,F27:F36,F9:F25)*('Управителю (Форма)'!$D$7-1)</f>
        <v>0.34399999999999997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0.66500000000000004</v>
      </c>
      <c r="D42" s="40">
        <f>SUM(D38:D41,D27:D36,D9:D25)*0.2</f>
        <v>0.66500000000000004</v>
      </c>
      <c r="E42" s="40">
        <f>SUM(E38:E41,E27:E36,E9:E25)*0.2</f>
        <v>0.436</v>
      </c>
      <c r="F42" s="40">
        <f>SUM(F38:F41,F27:F36,F9:F25)*0.2</f>
        <v>0.47399999999999998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3.99</v>
      </c>
      <c r="D43" s="38">
        <f>SUM(D38:D40,D27:D36,D9:D25)+D41+D42</f>
        <v>3.99</v>
      </c>
      <c r="E43" s="38">
        <f>SUM(E38:E40,E27:E36,E9:E25)+E41+E42</f>
        <v>2.617</v>
      </c>
      <c r="F43" s="38">
        <f>SUM(F38:F40,F27:F36,F9:F25)+F41+F42</f>
        <v>2.8420000000000001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40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(Форма)'!P10&amp;", "&amp;'Управителю (Форма)'!P11</f>
        <v>вул. Д.  Самоквасова, 5</v>
      </c>
      <c r="B4" s="167"/>
      <c r="C4" s="167"/>
      <c r="D4" s="167"/>
      <c r="E4" s="167"/>
      <c r="F4" s="167"/>
    </row>
    <row r="5" spans="1:6" ht="19.5" thickBot="1">
      <c r="A5" s="4"/>
    </row>
    <row r="6" spans="1:6" ht="34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(Форма)'!P13</f>
        <v>0.45600000000000002</v>
      </c>
      <c r="D9" s="46">
        <f>C9</f>
        <v>0.45600000000000002</v>
      </c>
      <c r="E9" s="46">
        <f>C9</f>
        <v>0.45600000000000002</v>
      </c>
      <c r="F9" s="46">
        <f>C9</f>
        <v>0.45600000000000002</v>
      </c>
    </row>
    <row r="10" spans="1:6" ht="18.75">
      <c r="A10" s="45" t="s">
        <v>9</v>
      </c>
      <c r="B10" s="21" t="s">
        <v>10</v>
      </c>
      <c r="C10" s="46">
        <f>'Управителю (Форма)'!P14</f>
        <v>0.14000000000000001</v>
      </c>
      <c r="D10" s="46">
        <f t="shared" ref="D10:D25" si="0">C10</f>
        <v>0.14000000000000001</v>
      </c>
      <c r="E10" s="46"/>
      <c r="F10" s="46">
        <f t="shared" ref="F10:F25" si="1">C10</f>
        <v>0.14000000000000001</v>
      </c>
    </row>
    <row r="11" spans="1:6" ht="37.5">
      <c r="A11" s="45" t="s">
        <v>11</v>
      </c>
      <c r="B11" s="21" t="s">
        <v>12</v>
      </c>
      <c r="C11" s="46">
        <f>'Управителю (Форма)'!P15</f>
        <v>0.40600000000000003</v>
      </c>
      <c r="D11" s="46">
        <f t="shared" si="0"/>
        <v>0.40600000000000003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(Форма)'!P16</f>
        <v>1.6E-2</v>
      </c>
      <c r="D12" s="46">
        <f t="shared" si="0"/>
        <v>1.6E-2</v>
      </c>
      <c r="E12" s="46">
        <f t="shared" ref="E12:E25" si="2">C12</f>
        <v>1.6E-2</v>
      </c>
      <c r="F12" s="46">
        <f t="shared" si="1"/>
        <v>1.6E-2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(Форма)'!P19</f>
        <v>0.41199999999999998</v>
      </c>
      <c r="D15" s="161">
        <f t="shared" si="0"/>
        <v>0.41199999999999998</v>
      </c>
      <c r="E15" s="161">
        <f t="shared" si="2"/>
        <v>0.41199999999999998</v>
      </c>
      <c r="F15" s="161">
        <f t="shared" si="1"/>
        <v>0.41199999999999998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(Форма)'!P26</f>
        <v>2.3E-2</v>
      </c>
      <c r="D22" s="46">
        <f t="shared" si="0"/>
        <v>2.3E-2</v>
      </c>
      <c r="E22" s="46">
        <f t="shared" si="2"/>
        <v>2.3E-2</v>
      </c>
      <c r="F22" s="46">
        <f t="shared" si="1"/>
        <v>2.3E-2</v>
      </c>
    </row>
    <row r="23" spans="1:6" ht="18.75">
      <c r="A23" s="45" t="s">
        <v>29</v>
      </c>
      <c r="B23" s="21" t="s">
        <v>30</v>
      </c>
      <c r="C23" s="46">
        <f>'Управителю (Форма)'!P27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(Форма)'!P28</f>
        <v>2.4E-2</v>
      </c>
      <c r="D24" s="46">
        <f t="shared" si="0"/>
        <v>2.4E-2</v>
      </c>
      <c r="E24" s="46">
        <f t="shared" si="2"/>
        <v>2.4E-2</v>
      </c>
      <c r="F24" s="46">
        <f t="shared" si="1"/>
        <v>2.4E-2</v>
      </c>
    </row>
    <row r="25" spans="1:6" ht="75">
      <c r="A25" s="45" t="s">
        <v>33</v>
      </c>
      <c r="B25" s="21" t="s">
        <v>34</v>
      </c>
      <c r="C25" s="46">
        <f>'Управителю (Форма)'!P29</f>
        <v>7.3999999999999996E-2</v>
      </c>
      <c r="D25" s="46">
        <f t="shared" si="0"/>
        <v>7.3999999999999996E-2</v>
      </c>
      <c r="E25" s="46">
        <f t="shared" si="2"/>
        <v>7.3999999999999996E-2</v>
      </c>
      <c r="F25" s="46">
        <f t="shared" si="1"/>
        <v>7.3999999999999996E-2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(Форма)'!P31</f>
        <v>4.3999999999999997E-2</v>
      </c>
      <c r="D27" s="46">
        <f t="shared" ref="D27:D36" si="3">C27</f>
        <v>4.3999999999999997E-2</v>
      </c>
      <c r="E27" s="46">
        <f t="shared" ref="E27:E36" si="4">C27</f>
        <v>4.3999999999999997E-2</v>
      </c>
      <c r="F27" s="46">
        <f t="shared" ref="F27:F36" si="5">C27</f>
        <v>4.3999999999999997E-2</v>
      </c>
    </row>
    <row r="28" spans="1:6" ht="18.75">
      <c r="A28" s="155" t="s">
        <v>39</v>
      </c>
      <c r="B28" s="35" t="s">
        <v>40</v>
      </c>
      <c r="C28" s="156">
        <f>'Управителю (Форма)'!P32</f>
        <v>1.071</v>
      </c>
      <c r="D28" s="156">
        <f t="shared" si="3"/>
        <v>1.071</v>
      </c>
      <c r="E28" s="156">
        <f t="shared" si="4"/>
        <v>1.071</v>
      </c>
      <c r="F28" s="156">
        <f t="shared" si="5"/>
        <v>1.071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(Форма)'!P42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(Форма)'!P43</f>
        <v>0.2</v>
      </c>
      <c r="D39" s="46">
        <f>C39</f>
        <v>0.2</v>
      </c>
      <c r="E39" s="46">
        <f>C39</f>
        <v>0.2</v>
      </c>
      <c r="F39" s="46">
        <f>C39</f>
        <v>0.2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0.48799999999999999</v>
      </c>
      <c r="D41" s="39">
        <f>SUM(D38:D40,D27:D36,D9:D25)*('Управителю (Форма)'!$D$7-1)</f>
        <v>0.48799999999999999</v>
      </c>
      <c r="E41" s="39">
        <f>SUM(E38:E40,E27:E36,E9:E25)*('Управителю (Форма)'!$D$7-1)</f>
        <v>0.39500000000000002</v>
      </c>
      <c r="F41" s="39">
        <f>SUM(F38:F40,F27:F36,F9:F25)*('Управителю (Форма)'!$D$7-1)</f>
        <v>0.41899999999999998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0.67100000000000004</v>
      </c>
      <c r="D42" s="40">
        <f>SUM(D38:D41,D27:D36,D9:D25)*0.2</f>
        <v>0.67100000000000004</v>
      </c>
      <c r="E42" s="40">
        <f>SUM(E38:E41,E27:E36,E9:E25)*0.2</f>
        <v>0.54300000000000004</v>
      </c>
      <c r="F42" s="40">
        <f>SUM(F38:F41,F27:F36,F9:F25)*0.2</f>
        <v>0.57599999999999996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4.0270000000000001</v>
      </c>
      <c r="D43" s="38">
        <f>SUM(D38:D40,D27:D36,D9:D25)+D41+D42</f>
        <v>4.0270000000000001</v>
      </c>
      <c r="E43" s="38">
        <f>SUM(E38:E40,E27:E36,E9:E25)+E41+E42</f>
        <v>3.26</v>
      </c>
      <c r="F43" s="38">
        <f>SUM(F38:F40,F27:F36,F9:F25)+F41+F42</f>
        <v>3.4569999999999999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4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(Форма)'!O10&amp;", "&amp;'Управителю (Форма)'!O11</f>
        <v>вул. Д.  Самоквасова, 3</v>
      </c>
      <c r="B4" s="167"/>
      <c r="C4" s="167"/>
      <c r="D4" s="167"/>
      <c r="E4" s="167"/>
      <c r="F4" s="167"/>
    </row>
    <row r="5" spans="1:6" ht="19.5" thickBot="1">
      <c r="A5" s="4"/>
    </row>
    <row r="6" spans="1:6" ht="40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(Форма)'!O13</f>
        <v>0.45600000000000002</v>
      </c>
      <c r="D9" s="46">
        <f>C9</f>
        <v>0.45600000000000002</v>
      </c>
      <c r="E9" s="46">
        <f>C9</f>
        <v>0.45600000000000002</v>
      </c>
      <c r="F9" s="46">
        <f>C9</f>
        <v>0.45600000000000002</v>
      </c>
    </row>
    <row r="10" spans="1:6" ht="18.75">
      <c r="A10" s="45" t="s">
        <v>9</v>
      </c>
      <c r="B10" s="21" t="s">
        <v>10</v>
      </c>
      <c r="C10" s="46">
        <f>'Управителю (Форма)'!O14</f>
        <v>9.7000000000000003E-2</v>
      </c>
      <c r="D10" s="46">
        <f t="shared" ref="D10:D25" si="0">C10</f>
        <v>9.7000000000000003E-2</v>
      </c>
      <c r="E10" s="46"/>
      <c r="F10" s="46">
        <f t="shared" ref="F10:F25" si="1">C10</f>
        <v>9.7000000000000003E-2</v>
      </c>
    </row>
    <row r="11" spans="1:6" ht="37.5">
      <c r="A11" s="45" t="s">
        <v>11</v>
      </c>
      <c r="B11" s="21" t="s">
        <v>12</v>
      </c>
      <c r="C11" s="46">
        <f>'Управителю (Форма)'!O15</f>
        <v>0.78700000000000003</v>
      </c>
      <c r="D11" s="46">
        <f t="shared" si="0"/>
        <v>0.78700000000000003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(Форма)'!O16</f>
        <v>1.2E-2</v>
      </c>
      <c r="D12" s="46">
        <f t="shared" si="0"/>
        <v>1.2E-2</v>
      </c>
      <c r="E12" s="46">
        <f t="shared" ref="E12:E25" si="2">C12</f>
        <v>1.2E-2</v>
      </c>
      <c r="F12" s="46">
        <f t="shared" si="1"/>
        <v>1.2E-2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(Форма)'!O19</f>
        <v>0.46300000000000002</v>
      </c>
      <c r="D15" s="161">
        <f t="shared" si="0"/>
        <v>0.46300000000000002</v>
      </c>
      <c r="E15" s="161">
        <f t="shared" si="2"/>
        <v>0.46300000000000002</v>
      </c>
      <c r="F15" s="161">
        <f t="shared" si="1"/>
        <v>0.46300000000000002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(Форма)'!O26</f>
        <v>3.3000000000000002E-2</v>
      </c>
      <c r="D22" s="46">
        <f t="shared" si="0"/>
        <v>3.3000000000000002E-2</v>
      </c>
      <c r="E22" s="46">
        <f t="shared" si="2"/>
        <v>3.3000000000000002E-2</v>
      </c>
      <c r="F22" s="46">
        <f t="shared" si="1"/>
        <v>3.3000000000000002E-2</v>
      </c>
    </row>
    <row r="23" spans="1:6" ht="18.75">
      <c r="A23" s="45" t="s">
        <v>29</v>
      </c>
      <c r="B23" s="21" t="s">
        <v>30</v>
      </c>
      <c r="C23" s="46">
        <f>'Управителю (Форма)'!O27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(Форма)'!O28</f>
        <v>5.3999999999999999E-2</v>
      </c>
      <c r="D24" s="46">
        <f t="shared" si="0"/>
        <v>5.3999999999999999E-2</v>
      </c>
      <c r="E24" s="46">
        <f t="shared" si="2"/>
        <v>5.3999999999999999E-2</v>
      </c>
      <c r="F24" s="46">
        <f t="shared" si="1"/>
        <v>5.3999999999999999E-2</v>
      </c>
    </row>
    <row r="25" spans="1:6" ht="75">
      <c r="A25" s="45" t="s">
        <v>33</v>
      </c>
      <c r="B25" s="21" t="s">
        <v>34</v>
      </c>
      <c r="C25" s="46">
        <f>'Управителю (Форма)'!O29</f>
        <v>6.6000000000000003E-2</v>
      </c>
      <c r="D25" s="46">
        <f t="shared" si="0"/>
        <v>6.6000000000000003E-2</v>
      </c>
      <c r="E25" s="46">
        <f t="shared" si="2"/>
        <v>6.6000000000000003E-2</v>
      </c>
      <c r="F25" s="46">
        <f t="shared" si="1"/>
        <v>6.6000000000000003E-2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(Форма)'!O31</f>
        <v>1.4999999999999999E-2</v>
      </c>
      <c r="D27" s="46">
        <f t="shared" ref="D27:D36" si="3">C27</f>
        <v>1.4999999999999999E-2</v>
      </c>
      <c r="E27" s="46">
        <f t="shared" ref="E27:E36" si="4">C27</f>
        <v>1.4999999999999999E-2</v>
      </c>
      <c r="F27" s="46">
        <f t="shared" ref="F27:F36" si="5">C27</f>
        <v>1.4999999999999999E-2</v>
      </c>
    </row>
    <row r="28" spans="1:6" ht="18.75">
      <c r="A28" s="155" t="s">
        <v>39</v>
      </c>
      <c r="B28" s="35" t="s">
        <v>40</v>
      </c>
      <c r="C28" s="156">
        <f>'Управителю (Форма)'!O32</f>
        <v>0.64200000000000002</v>
      </c>
      <c r="D28" s="156">
        <f t="shared" si="3"/>
        <v>0.64200000000000002</v>
      </c>
      <c r="E28" s="156">
        <f t="shared" si="4"/>
        <v>0.64200000000000002</v>
      </c>
      <c r="F28" s="156">
        <f t="shared" si="5"/>
        <v>0.64200000000000002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(Форма)'!O42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(Форма)'!O43</f>
        <v>0.23400000000000001</v>
      </c>
      <c r="D39" s="46">
        <f>C39</f>
        <v>0.23400000000000001</v>
      </c>
      <c r="E39" s="46">
        <f>C39</f>
        <v>0.23400000000000001</v>
      </c>
      <c r="F39" s="46">
        <f>C39</f>
        <v>0.23400000000000001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0.48599999999999999</v>
      </c>
      <c r="D41" s="39">
        <f>SUM(D38:D40,D27:D36,D9:D25)*('Управителю (Форма)'!$D$7-1)</f>
        <v>0.48599999999999999</v>
      </c>
      <c r="E41" s="39">
        <f>SUM(E38:E40,E27:E36,E9:E25)*('Управителю (Форма)'!$D$7-1)</f>
        <v>0.33600000000000002</v>
      </c>
      <c r="F41" s="39">
        <f>SUM(F38:F40,F27:F36,F9:F25)*('Управителю (Форма)'!$D$7-1)</f>
        <v>0.35299999999999998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0.66900000000000004</v>
      </c>
      <c r="D42" s="40">
        <f>SUM(D38:D41,D27:D36,D9:D25)*0.2</f>
        <v>0.66900000000000004</v>
      </c>
      <c r="E42" s="40">
        <f>SUM(E38:E41,E27:E36,E9:E25)*0.2</f>
        <v>0.46300000000000002</v>
      </c>
      <c r="F42" s="40">
        <f>SUM(F38:F41,F27:F36,F9:F25)*0.2</f>
        <v>0.48499999999999999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4.016</v>
      </c>
      <c r="D43" s="38">
        <f>SUM(D38:D40,D27:D36,D9:D25)+D41+D42</f>
        <v>4.016</v>
      </c>
      <c r="E43" s="38">
        <f>SUM(E38:E40,E27:E36,E9:E25)+E41+E42</f>
        <v>2.7759999999999998</v>
      </c>
      <c r="F43" s="38">
        <f>SUM(F38:F40,F27:F36,F9:F25)+F41+F42</f>
        <v>2.9119999999999999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(Форма)'!N10&amp;", "&amp;'Управителю (Форма)'!N11</f>
        <v>вул. Д.  Самоквасова, 23</v>
      </c>
      <c r="B4" s="167"/>
      <c r="C4" s="167"/>
      <c r="D4" s="167"/>
      <c r="E4" s="167"/>
      <c r="F4" s="167"/>
    </row>
    <row r="5" spans="1:6" ht="19.5" thickBot="1">
      <c r="A5" s="4"/>
    </row>
    <row r="6" spans="1:6" ht="31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(Форма)'!N13</f>
        <v>0.46899999999999997</v>
      </c>
      <c r="D9" s="46">
        <f>C9</f>
        <v>0.46899999999999997</v>
      </c>
      <c r="E9" s="46">
        <f>C9</f>
        <v>0.46899999999999997</v>
      </c>
      <c r="F9" s="46">
        <f>C9</f>
        <v>0.46899999999999997</v>
      </c>
    </row>
    <row r="10" spans="1:6" ht="18.75">
      <c r="A10" s="45" t="s">
        <v>9</v>
      </c>
      <c r="B10" s="21" t="s">
        <v>10</v>
      </c>
      <c r="C10" s="46">
        <f>'Управителю (Форма)'!N14</f>
        <v>0.19700000000000001</v>
      </c>
      <c r="D10" s="46">
        <f t="shared" ref="D10:D25" si="0">C10</f>
        <v>0.19700000000000001</v>
      </c>
      <c r="E10" s="46"/>
      <c r="F10" s="46">
        <f t="shared" ref="F10:F25" si="1">C10</f>
        <v>0.19700000000000001</v>
      </c>
    </row>
    <row r="11" spans="1:6" ht="37.5">
      <c r="A11" s="45" t="s">
        <v>11</v>
      </c>
      <c r="B11" s="21" t="s">
        <v>12</v>
      </c>
      <c r="C11" s="46">
        <f>'Управителю (Форма)'!N15</f>
        <v>0.379</v>
      </c>
      <c r="D11" s="46">
        <f t="shared" si="0"/>
        <v>0.379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(Форма)'!N16</f>
        <v>1.4E-2</v>
      </c>
      <c r="D12" s="46">
        <f t="shared" si="0"/>
        <v>1.4E-2</v>
      </c>
      <c r="E12" s="46">
        <f t="shared" ref="E12:E25" si="2">C12</f>
        <v>1.4E-2</v>
      </c>
      <c r="F12" s="46">
        <f t="shared" si="1"/>
        <v>1.4E-2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(Форма)'!N19</f>
        <v>0.40799999999999997</v>
      </c>
      <c r="D15" s="161">
        <f t="shared" si="0"/>
        <v>0.40799999999999997</v>
      </c>
      <c r="E15" s="161">
        <f t="shared" si="2"/>
        <v>0.40799999999999997</v>
      </c>
      <c r="F15" s="161">
        <f t="shared" si="1"/>
        <v>0.40799999999999997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(Форма)'!N26</f>
        <v>1.6E-2</v>
      </c>
      <c r="D22" s="46">
        <f t="shared" si="0"/>
        <v>1.6E-2</v>
      </c>
      <c r="E22" s="46">
        <f t="shared" si="2"/>
        <v>1.6E-2</v>
      </c>
      <c r="F22" s="46">
        <f t="shared" si="1"/>
        <v>1.6E-2</v>
      </c>
    </row>
    <row r="23" spans="1:6" ht="18.75">
      <c r="A23" s="45" t="s">
        <v>29</v>
      </c>
      <c r="B23" s="21" t="s">
        <v>30</v>
      </c>
      <c r="C23" s="46">
        <f>'Управителю (Форма)'!N27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(Форма)'!N28</f>
        <v>0.03</v>
      </c>
      <c r="D24" s="46">
        <f t="shared" si="0"/>
        <v>0.03</v>
      </c>
      <c r="E24" s="46">
        <f t="shared" si="2"/>
        <v>0.03</v>
      </c>
      <c r="F24" s="46">
        <f t="shared" si="1"/>
        <v>0.03</v>
      </c>
    </row>
    <row r="25" spans="1:6" ht="75">
      <c r="A25" s="45" t="s">
        <v>33</v>
      </c>
      <c r="B25" s="21" t="s">
        <v>34</v>
      </c>
      <c r="C25" s="46">
        <f>'Управителю (Форма)'!N29</f>
        <v>0.11799999999999999</v>
      </c>
      <c r="D25" s="46">
        <f t="shared" si="0"/>
        <v>0.11799999999999999</v>
      </c>
      <c r="E25" s="46">
        <f t="shared" si="2"/>
        <v>0.11799999999999999</v>
      </c>
      <c r="F25" s="46">
        <f t="shared" si="1"/>
        <v>0.11799999999999999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(Форма)'!N31</f>
        <v>5.5E-2</v>
      </c>
      <c r="D27" s="46">
        <f t="shared" ref="D27:D36" si="3">C27</f>
        <v>5.5E-2</v>
      </c>
      <c r="E27" s="46">
        <f t="shared" ref="E27:E36" si="4">C27</f>
        <v>5.5E-2</v>
      </c>
      <c r="F27" s="46">
        <f t="shared" ref="F27:F36" si="5">C27</f>
        <v>5.5E-2</v>
      </c>
    </row>
    <row r="28" spans="1:6" ht="18.75">
      <c r="A28" s="155" t="s">
        <v>39</v>
      </c>
      <c r="B28" s="35" t="s">
        <v>40</v>
      </c>
      <c r="C28" s="156">
        <f>'Управителю (Форма)'!N32</f>
        <v>0.875</v>
      </c>
      <c r="D28" s="156">
        <f t="shared" si="3"/>
        <v>0.875</v>
      </c>
      <c r="E28" s="156">
        <f t="shared" si="4"/>
        <v>0.875</v>
      </c>
      <c r="F28" s="156">
        <f t="shared" si="5"/>
        <v>0.875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(Форма)'!N42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(Форма)'!N43</f>
        <v>0.187</v>
      </c>
      <c r="D39" s="46">
        <f>C39</f>
        <v>0.187</v>
      </c>
      <c r="E39" s="46">
        <f>C39</f>
        <v>0.187</v>
      </c>
      <c r="F39" s="46">
        <f>C39</f>
        <v>0.187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0.46800000000000003</v>
      </c>
      <c r="D41" s="39">
        <f>SUM(D38:D40,D27:D36,D9:D25)*('Управителю (Форма)'!$D$7-1)</f>
        <v>0.46800000000000003</v>
      </c>
      <c r="E41" s="39">
        <f>SUM(E38:E40,E27:E36,E9:E25)*('Управителю (Форма)'!$D$7-1)</f>
        <v>0.37</v>
      </c>
      <c r="F41" s="39">
        <f>SUM(F38:F40,F27:F36,F9:F25)*('Управителю (Форма)'!$D$7-1)</f>
        <v>0.40300000000000002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0.64400000000000002</v>
      </c>
      <c r="D42" s="40">
        <f>SUM(D38:D41,D27:D36,D9:D25)*0.2</f>
        <v>0.64400000000000002</v>
      </c>
      <c r="E42" s="40">
        <f>SUM(E38:E41,E27:E36,E9:E25)*0.2</f>
        <v>0.50900000000000001</v>
      </c>
      <c r="F42" s="40">
        <f>SUM(F38:F41,F27:F36,F9:F25)*0.2</f>
        <v>0.55500000000000005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3.8620000000000001</v>
      </c>
      <c r="D43" s="38">
        <f>SUM(D38:D40,D27:D36,D9:D25)+D41+D42</f>
        <v>3.8620000000000001</v>
      </c>
      <c r="E43" s="38">
        <f>SUM(E38:E40,E27:E36,E9:E25)+E41+E42</f>
        <v>3.0529999999999999</v>
      </c>
      <c r="F43" s="38">
        <f>SUM(F38:F40,F27:F36,F9:F25)+F41+F42</f>
        <v>3.3290000000000002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1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(Форма)'!M10&amp;", "&amp;'Управителю (Форма)'!M11</f>
        <v>вул. Д.  Самоквасова, 21</v>
      </c>
      <c r="B4" s="167"/>
      <c r="C4" s="167"/>
      <c r="D4" s="167"/>
      <c r="E4" s="167"/>
      <c r="F4" s="167"/>
    </row>
    <row r="5" spans="1:6" ht="19.5" thickBot="1">
      <c r="A5" s="4"/>
    </row>
    <row r="6" spans="1:6" ht="32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(Форма)'!M13</f>
        <v>0.38600000000000001</v>
      </c>
      <c r="D9" s="46">
        <f>C9</f>
        <v>0.38600000000000001</v>
      </c>
      <c r="E9" s="46">
        <f>C9</f>
        <v>0.38600000000000001</v>
      </c>
      <c r="F9" s="46">
        <f>C9</f>
        <v>0.38600000000000001</v>
      </c>
    </row>
    <row r="10" spans="1:6" ht="18.75">
      <c r="A10" s="45" t="s">
        <v>9</v>
      </c>
      <c r="B10" s="21" t="s">
        <v>10</v>
      </c>
      <c r="C10" s="46">
        <f>'Управителю (Форма)'!M14</f>
        <v>0.189</v>
      </c>
      <c r="D10" s="46">
        <f t="shared" ref="D10:D25" si="0">C10</f>
        <v>0.189</v>
      </c>
      <c r="E10" s="46"/>
      <c r="F10" s="46">
        <f t="shared" ref="F10:F25" si="1">C10</f>
        <v>0.189</v>
      </c>
    </row>
    <row r="11" spans="1:6" ht="37.5">
      <c r="A11" s="45" t="s">
        <v>11</v>
      </c>
      <c r="B11" s="21" t="s">
        <v>12</v>
      </c>
      <c r="C11" s="46">
        <f>'Управителю (Форма)'!M15</f>
        <v>0.33</v>
      </c>
      <c r="D11" s="46">
        <f t="shared" si="0"/>
        <v>0.33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(Форма)'!M16</f>
        <v>1.9E-2</v>
      </c>
      <c r="D12" s="46">
        <f t="shared" si="0"/>
        <v>1.9E-2</v>
      </c>
      <c r="E12" s="46">
        <f t="shared" ref="E12:E25" si="2">C12</f>
        <v>1.9E-2</v>
      </c>
      <c r="F12" s="46">
        <f t="shared" si="1"/>
        <v>1.9E-2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(Форма)'!M19</f>
        <v>0.41499999999999998</v>
      </c>
      <c r="D15" s="161">
        <f t="shared" si="0"/>
        <v>0.41499999999999998</v>
      </c>
      <c r="E15" s="161">
        <f t="shared" si="2"/>
        <v>0.41499999999999998</v>
      </c>
      <c r="F15" s="161">
        <f t="shared" si="1"/>
        <v>0.41499999999999998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(Форма)'!M26</f>
        <v>2.9000000000000001E-2</v>
      </c>
      <c r="D22" s="46">
        <f t="shared" si="0"/>
        <v>2.9000000000000001E-2</v>
      </c>
      <c r="E22" s="46">
        <f t="shared" si="2"/>
        <v>2.9000000000000001E-2</v>
      </c>
      <c r="F22" s="46">
        <f t="shared" si="1"/>
        <v>2.9000000000000001E-2</v>
      </c>
    </row>
    <row r="23" spans="1:6" ht="18.75">
      <c r="A23" s="45" t="s">
        <v>29</v>
      </c>
      <c r="B23" s="21" t="s">
        <v>30</v>
      </c>
      <c r="C23" s="46">
        <f>'Управителю (Форма)'!M27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(Форма)'!M28</f>
        <v>3.1E-2</v>
      </c>
      <c r="D24" s="46">
        <f t="shared" si="0"/>
        <v>3.1E-2</v>
      </c>
      <c r="E24" s="46">
        <f t="shared" si="2"/>
        <v>3.1E-2</v>
      </c>
      <c r="F24" s="46">
        <f t="shared" si="1"/>
        <v>3.1E-2</v>
      </c>
    </row>
    <row r="25" spans="1:6" ht="75">
      <c r="A25" s="45" t="s">
        <v>33</v>
      </c>
      <c r="B25" s="21" t="s">
        <v>34</v>
      </c>
      <c r="C25" s="46">
        <f>'Управителю (Форма)'!M29</f>
        <v>0.127</v>
      </c>
      <c r="D25" s="46">
        <f t="shared" si="0"/>
        <v>0.127</v>
      </c>
      <c r="E25" s="46">
        <f t="shared" si="2"/>
        <v>0.127</v>
      </c>
      <c r="F25" s="46">
        <f t="shared" si="1"/>
        <v>0.127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(Форма)'!M31</f>
        <v>5.5E-2</v>
      </c>
      <c r="D27" s="46">
        <f t="shared" ref="D27:D36" si="3">C27</f>
        <v>5.5E-2</v>
      </c>
      <c r="E27" s="46">
        <f t="shared" ref="E27:E36" si="4">C27</f>
        <v>5.5E-2</v>
      </c>
      <c r="F27" s="46">
        <f t="shared" ref="F27:F36" si="5">C27</f>
        <v>5.5E-2</v>
      </c>
    </row>
    <row r="28" spans="1:6" ht="18.75">
      <c r="A28" s="155" t="s">
        <v>39</v>
      </c>
      <c r="B28" s="35" t="s">
        <v>40</v>
      </c>
      <c r="C28" s="156">
        <f>'Управителю (Форма)'!M32</f>
        <v>0.86499999999999999</v>
      </c>
      <c r="D28" s="156">
        <f t="shared" si="3"/>
        <v>0.86499999999999999</v>
      </c>
      <c r="E28" s="156">
        <f t="shared" si="4"/>
        <v>0.86499999999999999</v>
      </c>
      <c r="F28" s="156">
        <f t="shared" si="5"/>
        <v>0.86499999999999999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(Форма)'!M42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(Форма)'!M43</f>
        <v>0.18099999999999999</v>
      </c>
      <c r="D39" s="46">
        <f>C39</f>
        <v>0.18099999999999999</v>
      </c>
      <c r="E39" s="46">
        <f>C39</f>
        <v>0.18099999999999999</v>
      </c>
      <c r="F39" s="46">
        <f>C39</f>
        <v>0.18099999999999999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0.44700000000000001</v>
      </c>
      <c r="D41" s="39">
        <f>SUM(D38:D40,D27:D36,D9:D25)*('Управителю (Форма)'!$D$7-1)</f>
        <v>0.44700000000000001</v>
      </c>
      <c r="E41" s="39">
        <f>SUM(E38:E40,E27:E36,E9:E25)*('Управителю (Форма)'!$D$7-1)</f>
        <v>0.35899999999999999</v>
      </c>
      <c r="F41" s="39">
        <f>SUM(F38:F40,F27:F36,F9:F25)*('Управителю (Форма)'!$D$7-1)</f>
        <v>0.39100000000000001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0.61499999999999999</v>
      </c>
      <c r="D42" s="40">
        <f>SUM(D38:D41,D27:D36,D9:D25)*0.2</f>
        <v>0.61499999999999999</v>
      </c>
      <c r="E42" s="40">
        <f>SUM(E38:E41,E27:E36,E9:E25)*0.2</f>
        <v>0.49399999999999999</v>
      </c>
      <c r="F42" s="40">
        <f>SUM(F38:F41,F27:F36,F9:F25)*0.2</f>
        <v>0.53800000000000003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3.6909999999999998</v>
      </c>
      <c r="D43" s="38">
        <f>SUM(D38:D40,D27:D36,D9:D25)+D41+D42</f>
        <v>3.6909999999999998</v>
      </c>
      <c r="E43" s="38">
        <f>SUM(E38:E40,E27:E36,E9:E25)+E41+E42</f>
        <v>2.9630000000000001</v>
      </c>
      <c r="F43" s="38">
        <f>SUM(F38:F40,F27:F36,F9:F25)+F41+F42</f>
        <v>3.2280000000000002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40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(Форма)'!L10&amp;", "&amp;'Управителю (Форма)'!L11</f>
        <v>вул. Д.  Самоквасова, 19</v>
      </c>
      <c r="B4" s="167"/>
      <c r="C4" s="167"/>
      <c r="D4" s="167"/>
      <c r="E4" s="167"/>
      <c r="F4" s="167"/>
    </row>
    <row r="5" spans="1:6" ht="19.5" thickBot="1">
      <c r="A5" s="4"/>
    </row>
    <row r="6" spans="1:6" ht="36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(Форма)'!L13</f>
        <v>0.40600000000000003</v>
      </c>
      <c r="D9" s="46">
        <f>C9</f>
        <v>0.40600000000000003</v>
      </c>
      <c r="E9" s="46">
        <f>C9</f>
        <v>0.40600000000000003</v>
      </c>
      <c r="F9" s="46">
        <f>C9</f>
        <v>0.40600000000000003</v>
      </c>
    </row>
    <row r="10" spans="1:6" ht="18.75">
      <c r="A10" s="45" t="s">
        <v>9</v>
      </c>
      <c r="B10" s="21" t="s">
        <v>10</v>
      </c>
      <c r="C10" s="46">
        <f>'Управителю (Форма)'!L14</f>
        <v>0.219</v>
      </c>
      <c r="D10" s="46">
        <f t="shared" ref="D10:D25" si="0">C10</f>
        <v>0.219</v>
      </c>
      <c r="E10" s="46"/>
      <c r="F10" s="46">
        <f t="shared" ref="F10:F25" si="1">C10</f>
        <v>0.219</v>
      </c>
    </row>
    <row r="11" spans="1:6" ht="37.5">
      <c r="A11" s="45" t="s">
        <v>11</v>
      </c>
      <c r="B11" s="21" t="s">
        <v>12</v>
      </c>
      <c r="C11" s="46">
        <f>'Управителю (Форма)'!L15</f>
        <v>0.35899999999999999</v>
      </c>
      <c r="D11" s="46">
        <f t="shared" si="0"/>
        <v>0.35899999999999999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(Форма)'!L16</f>
        <v>0.02</v>
      </c>
      <c r="D12" s="46">
        <f t="shared" si="0"/>
        <v>0.02</v>
      </c>
      <c r="E12" s="46">
        <f t="shared" ref="E12:E25" si="2">C12</f>
        <v>0.02</v>
      </c>
      <c r="F12" s="46">
        <f t="shared" si="1"/>
        <v>0.02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(Форма)'!L19</f>
        <v>0.42499999999999999</v>
      </c>
      <c r="D15" s="161">
        <f t="shared" si="0"/>
        <v>0.42499999999999999</v>
      </c>
      <c r="E15" s="161">
        <f t="shared" si="2"/>
        <v>0.42499999999999999</v>
      </c>
      <c r="F15" s="161">
        <f t="shared" si="1"/>
        <v>0.42499999999999999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(Форма)'!L26</f>
        <v>2.7E-2</v>
      </c>
      <c r="D22" s="46">
        <f t="shared" si="0"/>
        <v>2.7E-2</v>
      </c>
      <c r="E22" s="46">
        <f t="shared" si="2"/>
        <v>2.7E-2</v>
      </c>
      <c r="F22" s="46">
        <f t="shared" si="1"/>
        <v>2.7E-2</v>
      </c>
    </row>
    <row r="23" spans="1:6" ht="18.75">
      <c r="A23" s="45" t="s">
        <v>29</v>
      </c>
      <c r="B23" s="21" t="s">
        <v>30</v>
      </c>
      <c r="C23" s="46">
        <f>'Управителю (Форма)'!L27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(Форма)'!L28</f>
        <v>3.2000000000000001E-2</v>
      </c>
      <c r="D24" s="46">
        <f t="shared" si="0"/>
        <v>3.2000000000000001E-2</v>
      </c>
      <c r="E24" s="46">
        <f t="shared" si="2"/>
        <v>3.2000000000000001E-2</v>
      </c>
      <c r="F24" s="46">
        <f t="shared" si="1"/>
        <v>3.2000000000000001E-2</v>
      </c>
    </row>
    <row r="25" spans="1:6" ht="75">
      <c r="A25" s="45" t="s">
        <v>33</v>
      </c>
      <c r="B25" s="21" t="s">
        <v>34</v>
      </c>
      <c r="C25" s="46">
        <f>'Управителю (Форма)'!L29</f>
        <v>0.121</v>
      </c>
      <c r="D25" s="46">
        <f t="shared" si="0"/>
        <v>0.121</v>
      </c>
      <c r="E25" s="46">
        <f t="shared" si="2"/>
        <v>0.121</v>
      </c>
      <c r="F25" s="46">
        <f t="shared" si="1"/>
        <v>0.121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(Форма)'!L31</f>
        <v>7.1999999999999995E-2</v>
      </c>
      <c r="D27" s="46">
        <f t="shared" ref="D27:D36" si="3">C27</f>
        <v>7.1999999999999995E-2</v>
      </c>
      <c r="E27" s="46">
        <f t="shared" ref="E27:E36" si="4">C27</f>
        <v>7.1999999999999995E-2</v>
      </c>
      <c r="F27" s="46">
        <f t="shared" ref="F27:F36" si="5">C27</f>
        <v>7.1999999999999995E-2</v>
      </c>
    </row>
    <row r="28" spans="1:6" ht="18.75">
      <c r="A28" s="155" t="s">
        <v>39</v>
      </c>
      <c r="B28" s="35" t="s">
        <v>40</v>
      </c>
      <c r="C28" s="156">
        <f>'Управителю (Форма)'!L32</f>
        <v>0.92900000000000005</v>
      </c>
      <c r="D28" s="156">
        <f t="shared" si="3"/>
        <v>0.92900000000000005</v>
      </c>
      <c r="E28" s="156">
        <f t="shared" si="4"/>
        <v>0.92900000000000005</v>
      </c>
      <c r="F28" s="156">
        <f t="shared" si="5"/>
        <v>0.92900000000000005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(Форма)'!L42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(Форма)'!L43</f>
        <v>0.18099999999999999</v>
      </c>
      <c r="D39" s="46">
        <f>C39</f>
        <v>0.18099999999999999</v>
      </c>
      <c r="E39" s="46">
        <f>C39</f>
        <v>0.18099999999999999</v>
      </c>
      <c r="F39" s="46">
        <f>C39</f>
        <v>0.18099999999999999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0.47499999999999998</v>
      </c>
      <c r="D41" s="39">
        <f>SUM(D38:D40,D27:D36,D9:D25)*('Управителю (Форма)'!$D$7-1)</f>
        <v>0.47499999999999998</v>
      </c>
      <c r="E41" s="39">
        <f>SUM(E38:E40,E27:E36,E9:E25)*('Управителю (Форма)'!$D$7-1)</f>
        <v>0.377</v>
      </c>
      <c r="F41" s="39">
        <f>SUM(F38:F40,F27:F36,F9:F25)*('Управителю (Форма)'!$D$7-1)</f>
        <v>0.41399999999999998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0.65400000000000003</v>
      </c>
      <c r="D42" s="40">
        <f>SUM(D38:D41,D27:D36,D9:D25)*0.2</f>
        <v>0.65400000000000003</v>
      </c>
      <c r="E42" s="40">
        <f>SUM(E38:E41,E27:E36,E9:E25)*0.2</f>
        <v>0.51800000000000002</v>
      </c>
      <c r="F42" s="40">
        <f>SUM(F38:F41,F27:F36,F9:F25)*0.2</f>
        <v>0.56999999999999995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3.9220000000000002</v>
      </c>
      <c r="D43" s="38">
        <f>SUM(D38:D40,D27:D36,D9:D25)+D41+D42</f>
        <v>3.9220000000000002</v>
      </c>
      <c r="E43" s="38">
        <f>SUM(E38:E40,E27:E36,E9:E25)+E41+E42</f>
        <v>3.11</v>
      </c>
      <c r="F43" s="38">
        <f>SUM(F38:F40,F27:F36,F9:F25)+F41+F42</f>
        <v>3.4180000000000001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F49" sqref="F4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(Форма)'!K10&amp;", "&amp;'Управителю (Форма)'!K11</f>
        <v>вул. Д.  Самоквасова, 18</v>
      </c>
      <c r="B4" s="167"/>
      <c r="C4" s="167"/>
      <c r="D4" s="167"/>
      <c r="E4" s="167"/>
      <c r="F4" s="167"/>
    </row>
    <row r="5" spans="1:6" ht="19.5" thickBot="1">
      <c r="A5" s="4"/>
    </row>
    <row r="6" spans="1:6" ht="33.7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(Форма)'!K13</f>
        <v>0.45900000000000002</v>
      </c>
      <c r="D9" s="46">
        <f>C9</f>
        <v>0.45900000000000002</v>
      </c>
      <c r="E9" s="46">
        <f>C9</f>
        <v>0.45900000000000002</v>
      </c>
      <c r="F9" s="46">
        <f>C9</f>
        <v>0.45900000000000002</v>
      </c>
    </row>
    <row r="10" spans="1:6" ht="18.75">
      <c r="A10" s="45" t="s">
        <v>9</v>
      </c>
      <c r="B10" s="21" t="s">
        <v>10</v>
      </c>
      <c r="C10" s="46">
        <f>'Управителю (Форма)'!K14</f>
        <v>0.16500000000000001</v>
      </c>
      <c r="D10" s="46">
        <f t="shared" ref="D10:D25" si="0">C10</f>
        <v>0.16500000000000001</v>
      </c>
      <c r="E10" s="46"/>
      <c r="F10" s="46">
        <f t="shared" ref="F10:F25" si="1">C10</f>
        <v>0.16500000000000001</v>
      </c>
    </row>
    <row r="11" spans="1:6" ht="37.5">
      <c r="A11" s="45" t="s">
        <v>11</v>
      </c>
      <c r="B11" s="21" t="s">
        <v>12</v>
      </c>
      <c r="C11" s="46">
        <f>'Управителю (Форма)'!K15</f>
        <v>0.35699999999999998</v>
      </c>
      <c r="D11" s="46">
        <f t="shared" si="0"/>
        <v>0.35699999999999998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(Форма)'!K16</f>
        <v>1.6E-2</v>
      </c>
      <c r="D12" s="46">
        <f t="shared" si="0"/>
        <v>1.6E-2</v>
      </c>
      <c r="E12" s="46">
        <f t="shared" ref="E12:E25" si="2">C12</f>
        <v>1.6E-2</v>
      </c>
      <c r="F12" s="46">
        <f t="shared" si="1"/>
        <v>1.6E-2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(Форма)'!K19</f>
        <v>0.42599999999999999</v>
      </c>
      <c r="D15" s="161">
        <f t="shared" si="0"/>
        <v>0.42599999999999999</v>
      </c>
      <c r="E15" s="161">
        <f t="shared" si="2"/>
        <v>0.42599999999999999</v>
      </c>
      <c r="F15" s="161">
        <f t="shared" si="1"/>
        <v>0.42599999999999999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(Форма)'!K26</f>
        <v>2.4E-2</v>
      </c>
      <c r="D22" s="46">
        <f t="shared" si="0"/>
        <v>2.4E-2</v>
      </c>
      <c r="E22" s="46">
        <f t="shared" si="2"/>
        <v>2.4E-2</v>
      </c>
      <c r="F22" s="46">
        <f t="shared" si="1"/>
        <v>2.4E-2</v>
      </c>
    </row>
    <row r="23" spans="1:6" ht="18.75">
      <c r="A23" s="45" t="s">
        <v>29</v>
      </c>
      <c r="B23" s="21" t="s">
        <v>30</v>
      </c>
      <c r="C23" s="46">
        <f>'Управителю (Форма)'!K27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(Форма)'!K28</f>
        <v>2.1000000000000001E-2</v>
      </c>
      <c r="D24" s="46">
        <f t="shared" si="0"/>
        <v>2.1000000000000001E-2</v>
      </c>
      <c r="E24" s="46">
        <f t="shared" si="2"/>
        <v>2.1000000000000001E-2</v>
      </c>
      <c r="F24" s="46">
        <f t="shared" si="1"/>
        <v>2.1000000000000001E-2</v>
      </c>
    </row>
    <row r="25" spans="1:6" ht="75">
      <c r="A25" s="45" t="s">
        <v>33</v>
      </c>
      <c r="B25" s="21" t="s">
        <v>34</v>
      </c>
      <c r="C25" s="46">
        <f>'Управителю (Форма)'!K29</f>
        <v>9.6000000000000002E-2</v>
      </c>
      <c r="D25" s="46">
        <f t="shared" si="0"/>
        <v>9.6000000000000002E-2</v>
      </c>
      <c r="E25" s="46">
        <f t="shared" si="2"/>
        <v>9.6000000000000002E-2</v>
      </c>
      <c r="F25" s="46">
        <f t="shared" si="1"/>
        <v>9.6000000000000002E-2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(Форма)'!K31</f>
        <v>2.1000000000000001E-2</v>
      </c>
      <c r="D27" s="46">
        <f t="shared" ref="D27:D36" si="3">C27</f>
        <v>2.1000000000000001E-2</v>
      </c>
      <c r="E27" s="46">
        <f t="shared" ref="E27:E36" si="4">C27</f>
        <v>2.1000000000000001E-2</v>
      </c>
      <c r="F27" s="46">
        <f t="shared" ref="F27:F36" si="5">C27</f>
        <v>2.1000000000000001E-2</v>
      </c>
    </row>
    <row r="28" spans="1:6" ht="18.75">
      <c r="A28" s="155" t="s">
        <v>39</v>
      </c>
      <c r="B28" s="35" t="s">
        <v>40</v>
      </c>
      <c r="C28" s="156">
        <f>'Управителю (Форма)'!K32</f>
        <v>1.06</v>
      </c>
      <c r="D28" s="156">
        <f t="shared" si="3"/>
        <v>1.06</v>
      </c>
      <c r="E28" s="156">
        <f t="shared" si="4"/>
        <v>1.06</v>
      </c>
      <c r="F28" s="156">
        <f t="shared" si="5"/>
        <v>1.06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(Форма)'!K42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(Форма)'!K43</f>
        <v>0.20899999999999999</v>
      </c>
      <c r="D39" s="46">
        <f>C39</f>
        <v>0.20899999999999999</v>
      </c>
      <c r="E39" s="46">
        <f>C39</f>
        <v>0.20899999999999999</v>
      </c>
      <c r="F39" s="46">
        <f>C39</f>
        <v>0.20899999999999999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0.48599999999999999</v>
      </c>
      <c r="D41" s="39">
        <f>SUM(D38:D40,D27:D36,D9:D25)*('Управителю (Форма)'!$D$7-1)</f>
        <v>0.48599999999999999</v>
      </c>
      <c r="E41" s="39">
        <f>SUM(E38:E40,E27:E36,E9:E25)*('Управителю (Форма)'!$D$7-1)</f>
        <v>0.39700000000000002</v>
      </c>
      <c r="F41" s="39">
        <f>SUM(F38:F40,F27:F36,F9:F25)*('Управителю (Форма)'!$D$7-1)</f>
        <v>0.42499999999999999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0.66800000000000004</v>
      </c>
      <c r="D42" s="40">
        <f>SUM(D38:D41,D27:D36,D9:D25)*0.2</f>
        <v>0.66800000000000004</v>
      </c>
      <c r="E42" s="40">
        <f>SUM(E38:E41,E27:E36,E9:E25)*0.2</f>
        <v>0.54600000000000004</v>
      </c>
      <c r="F42" s="40">
        <f>SUM(F38:F41,F27:F36,F9:F25)*0.2</f>
        <v>0.58499999999999996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4.01</v>
      </c>
      <c r="D43" s="38">
        <f>SUM(D38:D40,D27:D36,D9:D25)+D41+D42</f>
        <v>4.01</v>
      </c>
      <c r="E43" s="38">
        <f>SUM(E38:E40,E27:E36,E9:E25)+E41+E42</f>
        <v>3.2770000000000001</v>
      </c>
      <c r="F43" s="38">
        <f>SUM(F38:F40,F27:F36,F9:F25)+F41+F42</f>
        <v>3.5089999999999999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workbookViewId="0">
      <selection activeCell="D43" sqref="D43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(Форма)'!J10&amp;", "&amp;'Управителю (Форма)'!J11</f>
        <v>вул. Д.  Самоквасова, 17</v>
      </c>
      <c r="B4" s="167"/>
      <c r="C4" s="167"/>
      <c r="D4" s="167"/>
      <c r="E4" s="167"/>
      <c r="F4" s="167"/>
    </row>
    <row r="5" spans="1:6" ht="19.5" thickBot="1">
      <c r="A5" s="4"/>
    </row>
    <row r="6" spans="1:6" ht="39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(Форма)'!J13</f>
        <v>0.48599999999999999</v>
      </c>
      <c r="D9" s="46">
        <f>C9</f>
        <v>0.48599999999999999</v>
      </c>
      <c r="E9" s="46">
        <f>C9</f>
        <v>0.48599999999999999</v>
      </c>
      <c r="F9" s="46">
        <f>C9</f>
        <v>0.48599999999999999</v>
      </c>
    </row>
    <row r="10" spans="1:6" ht="18.75">
      <c r="A10" s="45" t="s">
        <v>9</v>
      </c>
      <c r="B10" s="21" t="s">
        <v>10</v>
      </c>
      <c r="C10" s="46">
        <f>'Управителю (Форма)'!J14</f>
        <v>9.5000000000000001E-2</v>
      </c>
      <c r="D10" s="46">
        <f t="shared" ref="D10:D25" si="0">C10</f>
        <v>9.5000000000000001E-2</v>
      </c>
      <c r="E10" s="46"/>
      <c r="F10" s="46">
        <f t="shared" ref="F10:F25" si="1">C10</f>
        <v>9.5000000000000001E-2</v>
      </c>
    </row>
    <row r="11" spans="1:6" ht="37.5">
      <c r="A11" s="45" t="s">
        <v>11</v>
      </c>
      <c r="B11" s="21" t="s">
        <v>12</v>
      </c>
      <c r="C11" s="46">
        <f>'Управителю (Форма)'!J15</f>
        <v>0.80100000000000005</v>
      </c>
      <c r="D11" s="46">
        <f t="shared" si="0"/>
        <v>0.80100000000000005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(Форма)'!J16</f>
        <v>1.7999999999999999E-2</v>
      </c>
      <c r="D12" s="46">
        <f t="shared" si="0"/>
        <v>1.7999999999999999E-2</v>
      </c>
      <c r="E12" s="46">
        <f t="shared" ref="E12:E25" si="2">C12</f>
        <v>1.7999999999999999E-2</v>
      </c>
      <c r="F12" s="46">
        <f t="shared" si="1"/>
        <v>1.7999999999999999E-2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(Форма)'!J19</f>
        <v>0.28899999999999998</v>
      </c>
      <c r="D15" s="161">
        <f t="shared" si="0"/>
        <v>0.28899999999999998</v>
      </c>
      <c r="E15" s="161">
        <f t="shared" si="2"/>
        <v>0.28899999999999998</v>
      </c>
      <c r="F15" s="161">
        <f t="shared" si="1"/>
        <v>0.28899999999999998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(Форма)'!J26</f>
        <v>2.8000000000000001E-2</v>
      </c>
      <c r="D22" s="46">
        <f t="shared" si="0"/>
        <v>2.8000000000000001E-2</v>
      </c>
      <c r="E22" s="46">
        <f t="shared" si="2"/>
        <v>2.8000000000000001E-2</v>
      </c>
      <c r="F22" s="46">
        <f t="shared" si="1"/>
        <v>2.8000000000000001E-2</v>
      </c>
    </row>
    <row r="23" spans="1:6" ht="18.75">
      <c r="A23" s="45" t="s">
        <v>29</v>
      </c>
      <c r="B23" s="21" t="s">
        <v>30</v>
      </c>
      <c r="C23" s="46">
        <f>'Управителю (Форма)'!J27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(Форма)'!J28</f>
        <v>4.5999999999999999E-2</v>
      </c>
      <c r="D24" s="46">
        <f t="shared" si="0"/>
        <v>4.5999999999999999E-2</v>
      </c>
      <c r="E24" s="46">
        <f t="shared" si="2"/>
        <v>4.5999999999999999E-2</v>
      </c>
      <c r="F24" s="46">
        <f t="shared" si="1"/>
        <v>4.5999999999999999E-2</v>
      </c>
    </row>
    <row r="25" spans="1:6" ht="75">
      <c r="A25" s="45" t="s">
        <v>33</v>
      </c>
      <c r="B25" s="21" t="s">
        <v>34</v>
      </c>
      <c r="C25" s="46">
        <f>'Управителю (Форма)'!J29</f>
        <v>0.09</v>
      </c>
      <c r="D25" s="46">
        <f t="shared" si="0"/>
        <v>0.09</v>
      </c>
      <c r="E25" s="46">
        <f t="shared" si="2"/>
        <v>0.09</v>
      </c>
      <c r="F25" s="46">
        <f t="shared" si="1"/>
        <v>0.09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(Форма)'!J31</f>
        <v>3.1E-2</v>
      </c>
      <c r="D27" s="46">
        <f t="shared" ref="D27:D36" si="3">C27</f>
        <v>3.1E-2</v>
      </c>
      <c r="E27" s="46">
        <f t="shared" ref="E27:E36" si="4">C27</f>
        <v>3.1E-2</v>
      </c>
      <c r="F27" s="46">
        <f t="shared" ref="F27:F36" si="5">C27</f>
        <v>3.1E-2</v>
      </c>
    </row>
    <row r="28" spans="1:6" ht="18.75">
      <c r="A28" s="155" t="s">
        <v>39</v>
      </c>
      <c r="B28" s="35" t="s">
        <v>40</v>
      </c>
      <c r="C28" s="156">
        <f>'Управителю (Форма)'!J32</f>
        <v>0.52600000000000002</v>
      </c>
      <c r="D28" s="156">
        <f t="shared" si="3"/>
        <v>0.52600000000000002</v>
      </c>
      <c r="E28" s="156">
        <f t="shared" si="4"/>
        <v>0.52600000000000002</v>
      </c>
      <c r="F28" s="156">
        <f t="shared" si="5"/>
        <v>0.52600000000000002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(Форма)'!J42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(Форма)'!J43</f>
        <v>0.219</v>
      </c>
      <c r="D39" s="46">
        <f>C39</f>
        <v>0.219</v>
      </c>
      <c r="E39" s="46">
        <f>C39</f>
        <v>0.219</v>
      </c>
      <c r="F39" s="46">
        <f>C39</f>
        <v>0.219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0.44700000000000001</v>
      </c>
      <c r="D41" s="39">
        <f>SUM(D38:D40,D27:D36,D9:D25)*('Управителю (Форма)'!$D$7-1)</f>
        <v>0.44700000000000001</v>
      </c>
      <c r="E41" s="39">
        <f>SUM(E38:E40,E27:E36,E9:E25)*('Управителю (Форма)'!$D$7-1)</f>
        <v>0.29499999999999998</v>
      </c>
      <c r="F41" s="39">
        <f>SUM(F38:F40,F27:F36,F9:F25)*('Управителю (Форма)'!$D$7-1)</f>
        <v>0.311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0.61599999999999999</v>
      </c>
      <c r="D42" s="40">
        <f>SUM(D38:D41,D27:D36,D9:D25)*0.2</f>
        <v>0.61599999999999999</v>
      </c>
      <c r="E42" s="40">
        <f>SUM(E38:E41,E27:E36,E9:E25)*0.2</f>
        <v>0.40600000000000003</v>
      </c>
      <c r="F42" s="40">
        <f>SUM(F38:F41,F27:F36,F9:F25)*0.2</f>
        <v>0.42799999999999999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3.694</v>
      </c>
      <c r="D43" s="38">
        <f>SUM(D38:D40,D27:D36,D9:D25)+D41+D42</f>
        <v>3.694</v>
      </c>
      <c r="E43" s="38">
        <f>SUM(E38:E40,E27:E36,E9:E25)+E41+E42</f>
        <v>2.4359999999999999</v>
      </c>
      <c r="F43" s="38">
        <f>SUM(F38:F40,F27:F36,F9:F25)+F41+F42</f>
        <v>2.569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7" workbookViewId="0">
      <selection activeCell="C48" sqref="C48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(Форма)'!CL10&amp;", "&amp;'Управителю (Форма)'!CL11</f>
        <v>вул. Чудінова, 4</v>
      </c>
      <c r="B4" s="167"/>
      <c r="C4" s="167"/>
      <c r="D4" s="167"/>
      <c r="E4" s="167"/>
      <c r="F4" s="167"/>
    </row>
    <row r="5" spans="1:6" ht="19.5" thickBot="1">
      <c r="A5" s="4"/>
    </row>
    <row r="6" spans="1:6" ht="18.75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(Форма)'!CL13</f>
        <v>0.59599999999999997</v>
      </c>
      <c r="D9" s="46">
        <f>C9</f>
        <v>0.59599999999999997</v>
      </c>
      <c r="E9" s="46">
        <f>C9</f>
        <v>0.59599999999999997</v>
      </c>
      <c r="F9" s="46">
        <f>C9</f>
        <v>0.59599999999999997</v>
      </c>
    </row>
    <row r="10" spans="1:6" ht="18.75">
      <c r="A10" s="45" t="s">
        <v>9</v>
      </c>
      <c r="B10" s="21" t="s">
        <v>10</v>
      </c>
      <c r="C10" s="46">
        <f>'Управителю (Форма)'!CL14</f>
        <v>0.15</v>
      </c>
      <c r="D10" s="46">
        <f t="shared" ref="D10:D25" si="0">C10</f>
        <v>0.15</v>
      </c>
      <c r="E10" s="46"/>
      <c r="F10" s="46">
        <f t="shared" ref="F10:F25" si="1">C10</f>
        <v>0.15</v>
      </c>
    </row>
    <row r="11" spans="1:6" ht="37.5">
      <c r="A11" s="45" t="s">
        <v>11</v>
      </c>
      <c r="B11" s="21" t="s">
        <v>12</v>
      </c>
      <c r="C11" s="46">
        <f>'Управителю (Форма)'!CL15</f>
        <v>0.42399999999999999</v>
      </c>
      <c r="D11" s="46">
        <f t="shared" si="0"/>
        <v>0.42399999999999999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(Форма)'!CL16</f>
        <v>2.4E-2</v>
      </c>
      <c r="D12" s="46">
        <f t="shared" si="0"/>
        <v>2.4E-2</v>
      </c>
      <c r="E12" s="46">
        <f t="shared" ref="E12:E25" si="2">C12</f>
        <v>2.4E-2</v>
      </c>
      <c r="F12" s="46">
        <f t="shared" si="1"/>
        <v>2.4E-2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(Форма)'!CL19</f>
        <v>0.40100000000000002</v>
      </c>
      <c r="D15" s="161">
        <f t="shared" si="0"/>
        <v>0.40100000000000002</v>
      </c>
      <c r="E15" s="161">
        <f t="shared" si="2"/>
        <v>0.40100000000000002</v>
      </c>
      <c r="F15" s="161">
        <f t="shared" si="1"/>
        <v>0.40100000000000002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(Форма)'!CL26</f>
        <v>7.2999999999999995E-2</v>
      </c>
      <c r="D22" s="46">
        <f t="shared" si="0"/>
        <v>7.2999999999999995E-2</v>
      </c>
      <c r="E22" s="46">
        <f t="shared" si="2"/>
        <v>7.2999999999999995E-2</v>
      </c>
      <c r="F22" s="46">
        <f t="shared" si="1"/>
        <v>7.2999999999999995E-2</v>
      </c>
    </row>
    <row r="23" spans="1:6" ht="18.75">
      <c r="A23" s="45" t="s">
        <v>29</v>
      </c>
      <c r="B23" s="21" t="s">
        <v>30</v>
      </c>
      <c r="C23" s="46">
        <f>'Управителю (Форма)'!CL27</f>
        <v>0</v>
      </c>
      <c r="D23" s="46">
        <f t="shared" si="0"/>
        <v>0</v>
      </c>
      <c r="E23" s="46">
        <f t="shared" si="2"/>
        <v>0</v>
      </c>
      <c r="F23" s="46">
        <f t="shared" si="1"/>
        <v>0</v>
      </c>
    </row>
    <row r="24" spans="1:6" ht="37.5">
      <c r="A24" s="45" t="s">
        <v>31</v>
      </c>
      <c r="B24" s="21" t="s">
        <v>32</v>
      </c>
      <c r="C24" s="46">
        <f>'Управителю (Форма)'!CL28</f>
        <v>0.05</v>
      </c>
      <c r="D24" s="46">
        <f t="shared" si="0"/>
        <v>0.05</v>
      </c>
      <c r="E24" s="46">
        <f t="shared" si="2"/>
        <v>0.05</v>
      </c>
      <c r="F24" s="46">
        <f t="shared" si="1"/>
        <v>0.05</v>
      </c>
    </row>
    <row r="25" spans="1:6" ht="75">
      <c r="A25" s="45" t="s">
        <v>33</v>
      </c>
      <c r="B25" s="21" t="s">
        <v>34</v>
      </c>
      <c r="C25" s="46">
        <f>'Управителю (Форма)'!CL29</f>
        <v>0.27200000000000002</v>
      </c>
      <c r="D25" s="46">
        <f t="shared" si="0"/>
        <v>0.27200000000000002</v>
      </c>
      <c r="E25" s="46">
        <f t="shared" si="2"/>
        <v>0.27200000000000002</v>
      </c>
      <c r="F25" s="46">
        <f t="shared" si="1"/>
        <v>0.27200000000000002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(Форма)'!CL31</f>
        <v>2.5000000000000001E-2</v>
      </c>
      <c r="D27" s="46">
        <f t="shared" ref="D27:D36" si="3">C27</f>
        <v>2.5000000000000001E-2</v>
      </c>
      <c r="E27" s="46">
        <f t="shared" ref="E27:E36" si="4">C27</f>
        <v>2.5000000000000001E-2</v>
      </c>
      <c r="F27" s="46">
        <f t="shared" ref="F27:F36" si="5">C27</f>
        <v>2.5000000000000001E-2</v>
      </c>
    </row>
    <row r="28" spans="1:6" ht="18.75">
      <c r="A28" s="155" t="s">
        <v>39</v>
      </c>
      <c r="B28" s="35" t="s">
        <v>40</v>
      </c>
      <c r="C28" s="156">
        <f>'Управителю (Форма)'!CL32</f>
        <v>0.54200000000000004</v>
      </c>
      <c r="D28" s="156">
        <f t="shared" si="3"/>
        <v>0.54200000000000004</v>
      </c>
      <c r="E28" s="156">
        <f t="shared" si="4"/>
        <v>0.54200000000000004</v>
      </c>
      <c r="F28" s="156">
        <f t="shared" si="5"/>
        <v>0.54200000000000004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(Форма)'!CL42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(Форма)'!CL43</f>
        <v>0.312</v>
      </c>
      <c r="D39" s="46">
        <f>C39</f>
        <v>0.312</v>
      </c>
      <c r="E39" s="46">
        <f>C39</f>
        <v>0.312</v>
      </c>
      <c r="F39" s="46">
        <f>C39</f>
        <v>0.312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0.48799999999999999</v>
      </c>
      <c r="D41" s="39">
        <f>SUM(D38:D40,D27:D36,D9:D25)*('Управителю (Форма)'!$D$7-1)</f>
        <v>0.48799999999999999</v>
      </c>
      <c r="E41" s="39">
        <f>SUM(E38:E40,E27:E36,E9:E25)*('Управителю (Форма)'!$D$7-1)</f>
        <v>0.39</v>
      </c>
      <c r="F41" s="39">
        <f>SUM(F38:F40,F27:F36,F9:F25)*('Управителю (Форма)'!$D$7-1)</f>
        <v>0.41599999999999998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0.67200000000000004</v>
      </c>
      <c r="D42" s="40">
        <f>SUM(D38:D41,D27:D36,D9:D25)*0.2</f>
        <v>0.67200000000000004</v>
      </c>
      <c r="E42" s="40">
        <f>SUM(E38:E41,E27:E36,E9:E25)*0.2</f>
        <v>0.53700000000000003</v>
      </c>
      <c r="F42" s="40">
        <f>SUM(F38:F41,F27:F36,F9:F25)*0.2</f>
        <v>0.57199999999999995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4.03</v>
      </c>
      <c r="D43" s="38">
        <f>SUM(D38:D40,D27:D36,D9:D25)+D41+D42</f>
        <v>4.03</v>
      </c>
      <c r="E43" s="38">
        <f>SUM(E38:E40,E27:E36,E9:E25)+E41+E42</f>
        <v>3.2229999999999999</v>
      </c>
      <c r="F43" s="38">
        <f>SUM(F38:F40,F27:F36,F9:F25)+F41+F42</f>
        <v>3.4340000000000002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24" workbookViewId="0">
      <selection activeCell="D43" sqref="D43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(Форма)'!I10&amp;", "&amp;'Управителю (Форма)'!I11</f>
        <v>вул. Д.  Самоквасова, 16</v>
      </c>
      <c r="B4" s="167"/>
      <c r="C4" s="167"/>
      <c r="D4" s="167"/>
      <c r="E4" s="167"/>
      <c r="F4" s="167"/>
    </row>
    <row r="5" spans="1:6" ht="19.5" thickBot="1">
      <c r="A5" s="4"/>
    </row>
    <row r="6" spans="1:6" ht="34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(Форма)'!I13</f>
        <v>0.314</v>
      </c>
      <c r="D9" s="46">
        <f>C9</f>
        <v>0.314</v>
      </c>
      <c r="E9" s="46">
        <f>C9</f>
        <v>0.314</v>
      </c>
      <c r="F9" s="46">
        <f>C9</f>
        <v>0.314</v>
      </c>
    </row>
    <row r="10" spans="1:6" ht="18.75">
      <c r="A10" s="45" t="s">
        <v>9</v>
      </c>
      <c r="B10" s="21" t="s">
        <v>10</v>
      </c>
      <c r="C10" s="46">
        <f>'Управителю (Форма)'!I14</f>
        <v>0.16700000000000001</v>
      </c>
      <c r="D10" s="46">
        <f t="shared" ref="D10:D25" si="0">C10</f>
        <v>0.16700000000000001</v>
      </c>
      <c r="E10" s="46"/>
      <c r="F10" s="46">
        <f t="shared" ref="F10:F25" si="1">C10</f>
        <v>0.16700000000000001</v>
      </c>
    </row>
    <row r="11" spans="1:6" ht="37.5">
      <c r="A11" s="45" t="s">
        <v>11</v>
      </c>
      <c r="B11" s="21" t="s">
        <v>12</v>
      </c>
      <c r="C11" s="46">
        <f>'Управителю (Форма)'!I15</f>
        <v>0.41499999999999998</v>
      </c>
      <c r="D11" s="46">
        <f t="shared" si="0"/>
        <v>0.41499999999999998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(Форма)'!I16</f>
        <v>1.6E-2</v>
      </c>
      <c r="D12" s="46">
        <f t="shared" si="0"/>
        <v>1.6E-2</v>
      </c>
      <c r="E12" s="46">
        <f t="shared" ref="E12:E25" si="2">C12</f>
        <v>1.6E-2</v>
      </c>
      <c r="F12" s="46">
        <f t="shared" si="1"/>
        <v>1.6E-2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(Форма)'!I19</f>
        <v>0.42499999999999999</v>
      </c>
      <c r="D15" s="161">
        <f t="shared" si="0"/>
        <v>0.42499999999999999</v>
      </c>
      <c r="E15" s="161">
        <f t="shared" si="2"/>
        <v>0.42499999999999999</v>
      </c>
      <c r="F15" s="161">
        <f t="shared" si="1"/>
        <v>0.42499999999999999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(Форма)'!I26</f>
        <v>2.5999999999999999E-2</v>
      </c>
      <c r="D22" s="46">
        <f t="shared" si="0"/>
        <v>2.5999999999999999E-2</v>
      </c>
      <c r="E22" s="46">
        <f t="shared" si="2"/>
        <v>2.5999999999999999E-2</v>
      </c>
      <c r="F22" s="46">
        <f t="shared" si="1"/>
        <v>2.5999999999999999E-2</v>
      </c>
    </row>
    <row r="23" spans="1:6" ht="18.75">
      <c r="A23" s="45" t="s">
        <v>29</v>
      </c>
      <c r="B23" s="21" t="s">
        <v>30</v>
      </c>
      <c r="C23" s="46">
        <f>'Управителю (Форма)'!I27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(Форма)'!I28</f>
        <v>2.1000000000000001E-2</v>
      </c>
      <c r="D24" s="46">
        <f t="shared" si="0"/>
        <v>2.1000000000000001E-2</v>
      </c>
      <c r="E24" s="46">
        <f t="shared" si="2"/>
        <v>2.1000000000000001E-2</v>
      </c>
      <c r="F24" s="46">
        <f t="shared" si="1"/>
        <v>2.1000000000000001E-2</v>
      </c>
    </row>
    <row r="25" spans="1:6" ht="75">
      <c r="A25" s="45" t="s">
        <v>33</v>
      </c>
      <c r="B25" s="21" t="s">
        <v>34</v>
      </c>
      <c r="C25" s="46">
        <f>'Управителю (Форма)'!I29</f>
        <v>9.6000000000000002E-2</v>
      </c>
      <c r="D25" s="46">
        <f t="shared" si="0"/>
        <v>9.6000000000000002E-2</v>
      </c>
      <c r="E25" s="46">
        <f t="shared" si="2"/>
        <v>9.6000000000000002E-2</v>
      </c>
      <c r="F25" s="46">
        <f t="shared" si="1"/>
        <v>9.6000000000000002E-2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(Форма)'!I31</f>
        <v>7.1999999999999995E-2</v>
      </c>
      <c r="D27" s="46">
        <f t="shared" ref="D27:D36" si="3">C27</f>
        <v>7.1999999999999995E-2</v>
      </c>
      <c r="E27" s="46">
        <f t="shared" ref="E27:E36" si="4">C27</f>
        <v>7.1999999999999995E-2</v>
      </c>
      <c r="F27" s="46">
        <f t="shared" ref="F27:F36" si="5">C27</f>
        <v>7.1999999999999995E-2</v>
      </c>
    </row>
    <row r="28" spans="1:6" ht="18.75">
      <c r="A28" s="155" t="s">
        <v>39</v>
      </c>
      <c r="B28" s="35" t="s">
        <v>40</v>
      </c>
      <c r="C28" s="156">
        <f>'Управителю (Форма)'!I32</f>
        <v>1.0840000000000001</v>
      </c>
      <c r="D28" s="156">
        <f t="shared" si="3"/>
        <v>1.0840000000000001</v>
      </c>
      <c r="E28" s="156">
        <f t="shared" si="4"/>
        <v>1.0840000000000001</v>
      </c>
      <c r="F28" s="156">
        <f t="shared" si="5"/>
        <v>1.0840000000000001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(Форма)'!I42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(Форма)'!I43</f>
        <v>0.20799999999999999</v>
      </c>
      <c r="D39" s="46">
        <f>C39</f>
        <v>0.20799999999999999</v>
      </c>
      <c r="E39" s="46">
        <f>C39</f>
        <v>0.20799999999999999</v>
      </c>
      <c r="F39" s="46">
        <f>C39</f>
        <v>0.20799999999999999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0.48399999999999999</v>
      </c>
      <c r="D41" s="39">
        <f>SUM(D38:D40,D27:D36,D9:D25)*('Управителю (Форма)'!$D$7-1)</f>
        <v>0.48399999999999999</v>
      </c>
      <c r="E41" s="39">
        <f>SUM(E38:E40,E27:E36,E9:E25)*('Управителю (Форма)'!$D$7-1)</f>
        <v>0.38500000000000001</v>
      </c>
      <c r="F41" s="39">
        <f>SUM(F38:F40,F27:F36,F9:F25)*('Управителю (Форма)'!$D$7-1)</f>
        <v>0.41299999999999998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0.66600000000000004</v>
      </c>
      <c r="D42" s="40">
        <f>SUM(D38:D41,D27:D36,D9:D25)*0.2</f>
        <v>0.66600000000000004</v>
      </c>
      <c r="E42" s="40">
        <f>SUM(E38:E41,E27:E36,E9:E25)*0.2</f>
        <v>0.53</v>
      </c>
      <c r="F42" s="40">
        <f>SUM(F38:F41,F27:F36,F9:F25)*0.2</f>
        <v>0.56899999999999995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3.996</v>
      </c>
      <c r="D43" s="38">
        <f>SUM(D38:D40,D27:D36,D9:D25)+D41+D42</f>
        <v>3.996</v>
      </c>
      <c r="E43" s="38">
        <f>SUM(E38:E40,E27:E36,E9:E25)+E41+E42</f>
        <v>3.1789999999999998</v>
      </c>
      <c r="F43" s="38">
        <f>SUM(F38:F40,F27:F36,F9:F25)+F41+F42</f>
        <v>3.4129999999999998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24" workbookViewId="0">
      <selection activeCell="D43" sqref="D43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(Форма)'!H10&amp;", "&amp;'Управителю (Форма)'!H11</f>
        <v>вул. Д.  Самоквасова, 15</v>
      </c>
      <c r="B4" s="167"/>
      <c r="C4" s="167"/>
      <c r="D4" s="167"/>
      <c r="E4" s="167"/>
      <c r="F4" s="167"/>
    </row>
    <row r="5" spans="1:6" ht="19.5" thickBot="1">
      <c r="A5" s="4"/>
    </row>
    <row r="6" spans="1:6" ht="34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(Форма)'!H13</f>
        <v>0.29299999999999998</v>
      </c>
      <c r="D9" s="46">
        <f>C9</f>
        <v>0.29299999999999998</v>
      </c>
      <c r="E9" s="46">
        <f>C9</f>
        <v>0.29299999999999998</v>
      </c>
      <c r="F9" s="46">
        <f>C9</f>
        <v>0.29299999999999998</v>
      </c>
    </row>
    <row r="10" spans="1:6" ht="18.75">
      <c r="A10" s="45" t="s">
        <v>9</v>
      </c>
      <c r="B10" s="21" t="s">
        <v>10</v>
      </c>
      <c r="C10" s="46">
        <f>'Управителю (Форма)'!H14</f>
        <v>7.1999999999999995E-2</v>
      </c>
      <c r="D10" s="46">
        <f t="shared" ref="D10:D25" si="0">C10</f>
        <v>7.1999999999999995E-2</v>
      </c>
      <c r="E10" s="46"/>
      <c r="F10" s="46">
        <f t="shared" ref="F10:F25" si="1">C10</f>
        <v>7.1999999999999995E-2</v>
      </c>
    </row>
    <row r="11" spans="1:6" ht="37.5">
      <c r="A11" s="45" t="s">
        <v>11</v>
      </c>
      <c r="B11" s="21" t="s">
        <v>12</v>
      </c>
      <c r="C11" s="46">
        <f>'Управителю (Форма)'!H15</f>
        <v>0.56200000000000006</v>
      </c>
      <c r="D11" s="46">
        <f t="shared" si="0"/>
        <v>0.56200000000000006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(Форма)'!H16</f>
        <v>1.0999999999999999E-2</v>
      </c>
      <c r="D12" s="46">
        <f t="shared" si="0"/>
        <v>1.0999999999999999E-2</v>
      </c>
      <c r="E12" s="46">
        <f t="shared" ref="E12:E25" si="2">C12</f>
        <v>1.0999999999999999E-2</v>
      </c>
      <c r="F12" s="46">
        <f t="shared" si="1"/>
        <v>1.0999999999999999E-2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(Форма)'!H19</f>
        <v>0.45700000000000002</v>
      </c>
      <c r="D15" s="161">
        <f t="shared" si="0"/>
        <v>0.45700000000000002</v>
      </c>
      <c r="E15" s="161">
        <f t="shared" si="2"/>
        <v>0.45700000000000002</v>
      </c>
      <c r="F15" s="161">
        <f t="shared" si="1"/>
        <v>0.45700000000000002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(Форма)'!H26</f>
        <v>3.2000000000000001E-2</v>
      </c>
      <c r="D22" s="46">
        <f t="shared" si="0"/>
        <v>3.2000000000000001E-2</v>
      </c>
      <c r="E22" s="46">
        <f t="shared" si="2"/>
        <v>3.2000000000000001E-2</v>
      </c>
      <c r="F22" s="46">
        <f t="shared" si="1"/>
        <v>3.2000000000000001E-2</v>
      </c>
    </row>
    <row r="23" spans="1:6" ht="18.75">
      <c r="A23" s="45" t="s">
        <v>29</v>
      </c>
      <c r="B23" s="21" t="s">
        <v>30</v>
      </c>
      <c r="C23" s="46">
        <f>'Управителю (Форма)'!H27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(Форма)'!H28</f>
        <v>4.4999999999999998E-2</v>
      </c>
      <c r="D24" s="46">
        <f t="shared" si="0"/>
        <v>4.4999999999999998E-2</v>
      </c>
      <c r="E24" s="46">
        <f t="shared" si="2"/>
        <v>4.4999999999999998E-2</v>
      </c>
      <c r="F24" s="46">
        <f t="shared" si="1"/>
        <v>4.4999999999999998E-2</v>
      </c>
    </row>
    <row r="25" spans="1:6" ht="75">
      <c r="A25" s="45" t="s">
        <v>33</v>
      </c>
      <c r="B25" s="21" t="s">
        <v>34</v>
      </c>
      <c r="C25" s="46">
        <f>'Управителю (Форма)'!H29</f>
        <v>0.08</v>
      </c>
      <c r="D25" s="46">
        <f t="shared" si="0"/>
        <v>0.08</v>
      </c>
      <c r="E25" s="46">
        <f t="shared" si="2"/>
        <v>0.08</v>
      </c>
      <c r="F25" s="46">
        <f t="shared" si="1"/>
        <v>0.08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(Форма)'!H31</f>
        <v>6.0999999999999999E-2</v>
      </c>
      <c r="D27" s="46">
        <f t="shared" ref="D27:D36" si="3">C27</f>
        <v>6.0999999999999999E-2</v>
      </c>
      <c r="E27" s="46">
        <f t="shared" ref="E27:E36" si="4">C27</f>
        <v>6.0999999999999999E-2</v>
      </c>
      <c r="F27" s="46">
        <f t="shared" ref="F27:F36" si="5">C27</f>
        <v>6.0999999999999999E-2</v>
      </c>
    </row>
    <row r="28" spans="1:6" ht="18.75">
      <c r="A28" s="155" t="s">
        <v>39</v>
      </c>
      <c r="B28" s="35" t="s">
        <v>40</v>
      </c>
      <c r="C28" s="156">
        <f>'Управителю (Форма)'!H32</f>
        <v>0.84099999999999997</v>
      </c>
      <c r="D28" s="156">
        <f t="shared" si="3"/>
        <v>0.84099999999999997</v>
      </c>
      <c r="E28" s="156">
        <f t="shared" si="4"/>
        <v>0.84099999999999997</v>
      </c>
      <c r="F28" s="156">
        <f t="shared" si="5"/>
        <v>0.84099999999999997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(Форма)'!H42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(Форма)'!H43</f>
        <v>0.17799999999999999</v>
      </c>
      <c r="D39" s="46">
        <f>C39</f>
        <v>0.17799999999999999</v>
      </c>
      <c r="E39" s="46">
        <f>C39</f>
        <v>0.17799999999999999</v>
      </c>
      <c r="F39" s="46">
        <f>C39</f>
        <v>0.17799999999999999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0.44800000000000001</v>
      </c>
      <c r="D41" s="39">
        <f>SUM(D38:D40,D27:D36,D9:D25)*('Управителю (Форма)'!$D$7-1)</f>
        <v>0.44800000000000001</v>
      </c>
      <c r="E41" s="39">
        <f>SUM(E38:E40,E27:E36,E9:E25)*('Управителю (Форма)'!$D$7-1)</f>
        <v>0.34</v>
      </c>
      <c r="F41" s="39">
        <f>SUM(F38:F40,F27:F36,F9:F25)*('Управителю (Форма)'!$D$7-1)</f>
        <v>0.35199999999999998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0.61599999999999999</v>
      </c>
      <c r="D42" s="40">
        <f>SUM(D38:D41,D27:D36,D9:D25)*0.2</f>
        <v>0.61599999999999999</v>
      </c>
      <c r="E42" s="40">
        <f>SUM(E38:E41,E27:E36,E9:E25)*0.2</f>
        <v>0.46800000000000003</v>
      </c>
      <c r="F42" s="40">
        <f>SUM(F38:F41,F27:F36,F9:F25)*0.2</f>
        <v>0.48499999999999999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3.698</v>
      </c>
      <c r="D43" s="38">
        <f>SUM(D38:D40,D27:D36,D9:D25)+D41+D42</f>
        <v>3.698</v>
      </c>
      <c r="E43" s="38">
        <f>SUM(E38:E40,E27:E36,E9:E25)+E41+E42</f>
        <v>2.8079999999999998</v>
      </c>
      <c r="F43" s="38">
        <f>SUM(F38:F40,F27:F36,F9:F25)+F41+F42</f>
        <v>2.9089999999999998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24" workbookViewId="0">
      <selection activeCell="D43" sqref="D43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(Форма)'!G10&amp;", "&amp;'Управителю (Форма)'!G11</f>
        <v>вул. Д.  Самоквасова, 13</v>
      </c>
      <c r="B4" s="167"/>
      <c r="C4" s="167"/>
      <c r="D4" s="167"/>
      <c r="E4" s="167"/>
      <c r="F4" s="167"/>
    </row>
    <row r="5" spans="1:6" ht="19.5" thickBot="1">
      <c r="A5" s="4"/>
    </row>
    <row r="6" spans="1:6" ht="34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45" t="s">
        <v>7</v>
      </c>
      <c r="B9" s="20" t="s">
        <v>8</v>
      </c>
      <c r="C9" s="46">
        <f>'Управителю (Форма)'!G13</f>
        <v>0.42299999999999999</v>
      </c>
      <c r="D9" s="46">
        <f>C9</f>
        <v>0.42299999999999999</v>
      </c>
      <c r="E9" s="46">
        <f>C9</f>
        <v>0.42299999999999999</v>
      </c>
      <c r="F9" s="46">
        <f>C9</f>
        <v>0.42299999999999999</v>
      </c>
    </row>
    <row r="10" spans="1:6" ht="18.75">
      <c r="A10" s="45" t="s">
        <v>9</v>
      </c>
      <c r="B10" s="21" t="s">
        <v>10</v>
      </c>
      <c r="C10" s="46">
        <f>'Управителю (Форма)'!G14</f>
        <v>0.16700000000000001</v>
      </c>
      <c r="D10" s="46">
        <f t="shared" ref="D10:D25" si="0">C10</f>
        <v>0.16700000000000001</v>
      </c>
      <c r="E10" s="46"/>
      <c r="F10" s="46">
        <f t="shared" ref="F10:F25" si="1">C10</f>
        <v>0.16700000000000001</v>
      </c>
    </row>
    <row r="11" spans="1:6" ht="37.5">
      <c r="A11" s="45" t="s">
        <v>11</v>
      </c>
      <c r="B11" s="21" t="s">
        <v>12</v>
      </c>
      <c r="C11" s="46">
        <f>'Управителю (Форма)'!G15</f>
        <v>0.35</v>
      </c>
      <c r="D11" s="46">
        <f t="shared" si="0"/>
        <v>0.35</v>
      </c>
      <c r="E11" s="46"/>
      <c r="F11" s="46"/>
    </row>
    <row r="12" spans="1:6" ht="37.5">
      <c r="A12" s="45" t="s">
        <v>13</v>
      </c>
      <c r="B12" s="20" t="s">
        <v>14</v>
      </c>
      <c r="C12" s="46">
        <f>'Управителю (Форма)'!G16</f>
        <v>1.6E-2</v>
      </c>
      <c r="D12" s="46">
        <f t="shared" si="0"/>
        <v>1.6E-2</v>
      </c>
      <c r="E12" s="46">
        <f t="shared" ref="E12:E25" si="2">C12</f>
        <v>1.6E-2</v>
      </c>
      <c r="F12" s="46">
        <f t="shared" si="1"/>
        <v>1.6E-2</v>
      </c>
    </row>
    <row r="13" spans="1:6" ht="18.75">
      <c r="A13" s="45" t="s">
        <v>15</v>
      </c>
      <c r="B13" s="21" t="s">
        <v>16</v>
      </c>
      <c r="C13" s="46"/>
      <c r="D13" s="46">
        <f t="shared" si="0"/>
        <v>0</v>
      </c>
      <c r="E13" s="46"/>
      <c r="F13" s="46"/>
    </row>
    <row r="14" spans="1:6" ht="18.75">
      <c r="A14" s="45" t="s">
        <v>17</v>
      </c>
      <c r="B14" s="21" t="s">
        <v>18</v>
      </c>
      <c r="C14" s="46"/>
      <c r="D14" s="46">
        <f t="shared" si="0"/>
        <v>0</v>
      </c>
      <c r="E14" s="46"/>
      <c r="F14" s="46"/>
    </row>
    <row r="15" spans="1:6" ht="37.5">
      <c r="A15" s="155" t="s">
        <v>19</v>
      </c>
      <c r="B15" s="23" t="s">
        <v>20</v>
      </c>
      <c r="C15" s="161">
        <f>'Управителю (Форма)'!G19</f>
        <v>0.42399999999999999</v>
      </c>
      <c r="D15" s="161">
        <f t="shared" si="0"/>
        <v>0.42399999999999999</v>
      </c>
      <c r="E15" s="161">
        <f t="shared" si="2"/>
        <v>0.42399999999999999</v>
      </c>
      <c r="F15" s="161">
        <f t="shared" si="1"/>
        <v>0.42399999999999999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45" t="s">
        <v>27</v>
      </c>
      <c r="B22" s="21" t="s">
        <v>28</v>
      </c>
      <c r="C22" s="46">
        <f>'Управителю (Форма)'!G26</f>
        <v>2.5999999999999999E-2</v>
      </c>
      <c r="D22" s="46">
        <f t="shared" si="0"/>
        <v>2.5999999999999999E-2</v>
      </c>
      <c r="E22" s="46">
        <f t="shared" si="2"/>
        <v>2.5999999999999999E-2</v>
      </c>
      <c r="F22" s="46">
        <f t="shared" si="1"/>
        <v>2.5999999999999999E-2</v>
      </c>
    </row>
    <row r="23" spans="1:6" ht="18.75">
      <c r="A23" s="45" t="s">
        <v>29</v>
      </c>
      <c r="B23" s="21" t="s">
        <v>30</v>
      </c>
      <c r="C23" s="46">
        <f>'Управителю (Форма)'!G27</f>
        <v>1E-3</v>
      </c>
      <c r="D23" s="46">
        <f t="shared" si="0"/>
        <v>1E-3</v>
      </c>
      <c r="E23" s="46">
        <f t="shared" si="2"/>
        <v>1E-3</v>
      </c>
      <c r="F23" s="46">
        <f t="shared" si="1"/>
        <v>1E-3</v>
      </c>
    </row>
    <row r="24" spans="1:6" ht="37.5">
      <c r="A24" s="45" t="s">
        <v>31</v>
      </c>
      <c r="B24" s="21" t="s">
        <v>32</v>
      </c>
      <c r="C24" s="46">
        <f>'Управителю (Форма)'!G28</f>
        <v>2.1999999999999999E-2</v>
      </c>
      <c r="D24" s="46">
        <f t="shared" si="0"/>
        <v>2.1999999999999999E-2</v>
      </c>
      <c r="E24" s="46">
        <f t="shared" si="2"/>
        <v>2.1999999999999999E-2</v>
      </c>
      <c r="F24" s="46">
        <f t="shared" si="1"/>
        <v>2.1999999999999999E-2</v>
      </c>
    </row>
    <row r="25" spans="1:6" ht="75">
      <c r="A25" s="45" t="s">
        <v>33</v>
      </c>
      <c r="B25" s="21" t="s">
        <v>34</v>
      </c>
      <c r="C25" s="46">
        <f>'Управителю (Форма)'!G29</f>
        <v>8.8999999999999996E-2</v>
      </c>
      <c r="D25" s="46">
        <f t="shared" si="0"/>
        <v>8.8999999999999996E-2</v>
      </c>
      <c r="E25" s="46">
        <f t="shared" si="2"/>
        <v>8.8999999999999996E-2</v>
      </c>
      <c r="F25" s="46">
        <f t="shared" si="1"/>
        <v>8.8999999999999996E-2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45" t="s">
        <v>37</v>
      </c>
      <c r="B27" s="21" t="s">
        <v>38</v>
      </c>
      <c r="C27" s="46">
        <f>'Управителю (Форма)'!G31</f>
        <v>0.05</v>
      </c>
      <c r="D27" s="46">
        <f t="shared" ref="D27:D36" si="3">C27</f>
        <v>0.05</v>
      </c>
      <c r="E27" s="46">
        <f t="shared" ref="E27:E36" si="4">C27</f>
        <v>0.05</v>
      </c>
      <c r="F27" s="46">
        <f t="shared" ref="F27:F36" si="5">C27</f>
        <v>0.05</v>
      </c>
    </row>
    <row r="28" spans="1:6" ht="18.75">
      <c r="A28" s="155" t="s">
        <v>39</v>
      </c>
      <c r="B28" s="35" t="s">
        <v>40</v>
      </c>
      <c r="C28" s="156">
        <f>'Управителю (Форма)'!G32</f>
        <v>1.0960000000000001</v>
      </c>
      <c r="D28" s="156">
        <f t="shared" si="3"/>
        <v>1.0960000000000001</v>
      </c>
      <c r="E28" s="156">
        <f t="shared" si="4"/>
        <v>1.0960000000000001</v>
      </c>
      <c r="F28" s="156">
        <f t="shared" si="5"/>
        <v>1.0960000000000001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45" t="s">
        <v>47</v>
      </c>
      <c r="B38" s="20" t="s">
        <v>48</v>
      </c>
      <c r="C38" s="46">
        <f>'Управителю (Форма)'!G42</f>
        <v>1E-3</v>
      </c>
      <c r="D38" s="46">
        <f>C38</f>
        <v>1E-3</v>
      </c>
      <c r="E38" s="46">
        <f>C38</f>
        <v>1E-3</v>
      </c>
      <c r="F38" s="46">
        <f>C38</f>
        <v>1E-3</v>
      </c>
    </row>
    <row r="39" spans="1:6" ht="37.5">
      <c r="A39" s="45" t="s">
        <v>49</v>
      </c>
      <c r="B39" s="20" t="s">
        <v>50</v>
      </c>
      <c r="C39" s="46">
        <f>'Управителю (Форма)'!G43</f>
        <v>0.20399999999999999</v>
      </c>
      <c r="D39" s="46">
        <f>C39</f>
        <v>0.20399999999999999</v>
      </c>
      <c r="E39" s="46">
        <f>C39</f>
        <v>0.20399999999999999</v>
      </c>
      <c r="F39" s="46">
        <f>C39</f>
        <v>0.20399999999999999</v>
      </c>
    </row>
    <row r="40" spans="1:6" ht="18.75">
      <c r="A40" s="45" t="s">
        <v>51</v>
      </c>
      <c r="B40" s="20" t="s">
        <v>52</v>
      </c>
      <c r="C40" s="46"/>
      <c r="D40" s="46">
        <f>C40</f>
        <v>0</v>
      </c>
      <c r="E40" s="46"/>
      <c r="F40" s="46"/>
    </row>
    <row r="41" spans="1:6" ht="18.75">
      <c r="A41" s="28" t="s">
        <v>53</v>
      </c>
      <c r="B41" s="44" t="s">
        <v>54</v>
      </c>
      <c r="C41" s="39">
        <f>SUM(C38:C40,C27:C36,C9:C25)*('Управителю (Форма)'!$D$7-1)</f>
        <v>0.48799999999999999</v>
      </c>
      <c r="D41" s="39">
        <f>SUM(D38:D40,D27:D36,D9:D25)*('Управителю (Форма)'!$D$7-1)</f>
        <v>0.48799999999999999</v>
      </c>
      <c r="E41" s="39">
        <f>SUM(E38:E40,E27:E36,E9:E25)*('Управителю (Форма)'!$D$7-1)</f>
        <v>0.4</v>
      </c>
      <c r="F41" s="39">
        <f>SUM(F38:F40,F27:F36,F9:F25)*('Управителю (Форма)'!$D$7-1)</f>
        <v>0.42799999999999999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0.67100000000000004</v>
      </c>
      <c r="D42" s="40">
        <f>SUM(D38:D41,D27:D36,D9:D25)*0.2</f>
        <v>0.67100000000000004</v>
      </c>
      <c r="E42" s="40">
        <f>SUM(E38:E41,E27:E36,E9:E25)*0.2</f>
        <v>0.55000000000000004</v>
      </c>
      <c r="F42" s="40">
        <f>SUM(F38:F41,F27:F36,F9:F25)*0.2</f>
        <v>0.58899999999999997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4.0279999999999996</v>
      </c>
      <c r="D43" s="38">
        <f>SUM(D38:D40,D27:D36,D9:D25)+D41+D42</f>
        <v>4.0279999999999996</v>
      </c>
      <c r="E43" s="38">
        <f>SUM(E38:E40,E27:E36,E9:E25)+E41+E42</f>
        <v>3.302</v>
      </c>
      <c r="F43" s="38">
        <f>SUM(F38:F40,F27:F36,F9:F25)+F41+F42</f>
        <v>3.536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A1:F1"/>
    <mergeCell ref="A2:F2"/>
    <mergeCell ref="A4:F4"/>
    <mergeCell ref="A6:A7"/>
    <mergeCell ref="B6:B7"/>
    <mergeCell ref="C6:F6"/>
    <mergeCell ref="B8:F8"/>
    <mergeCell ref="A15:A21"/>
    <mergeCell ref="C15:C21"/>
    <mergeCell ref="D15:D21"/>
    <mergeCell ref="E15:E21"/>
    <mergeCell ref="F15:F21"/>
    <mergeCell ref="B37:F37"/>
    <mergeCell ref="B26:F26"/>
    <mergeCell ref="A28:A36"/>
    <mergeCell ref="C28:C36"/>
    <mergeCell ref="D28:D36"/>
    <mergeCell ref="E28:E36"/>
    <mergeCell ref="F28:F3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topLeftCell="A36" workbookViewId="0">
      <selection activeCell="D43" sqref="D43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(Форма)'!F10&amp;", "&amp;'Управителю (Форма)'!F11</f>
        <v>вул. Д.  Самоквасова, 11</v>
      </c>
      <c r="B4" s="167"/>
      <c r="C4" s="167"/>
      <c r="D4" s="167"/>
      <c r="E4" s="167"/>
      <c r="F4" s="167"/>
    </row>
    <row r="5" spans="1:6" ht="19.5" thickBot="1">
      <c r="A5" s="4"/>
    </row>
    <row r="6" spans="1:6" ht="34.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22" t="s">
        <v>7</v>
      </c>
      <c r="B9" s="20" t="s">
        <v>8</v>
      </c>
      <c r="C9" s="37">
        <f>'Управителю (Форма)'!F13</f>
        <v>0.46400000000000002</v>
      </c>
      <c r="D9" s="37">
        <f t="shared" ref="D9:D25" si="0">C9</f>
        <v>0.46400000000000002</v>
      </c>
      <c r="E9" s="37">
        <f>C9</f>
        <v>0.46400000000000002</v>
      </c>
      <c r="F9" s="37">
        <f>C9</f>
        <v>0.46400000000000002</v>
      </c>
    </row>
    <row r="10" spans="1:6" ht="18.75">
      <c r="A10" s="22" t="s">
        <v>9</v>
      </c>
      <c r="B10" s="21" t="s">
        <v>10</v>
      </c>
      <c r="C10" s="37">
        <f>'Управителю (Форма)'!F14</f>
        <v>0.14899999999999999</v>
      </c>
      <c r="D10" s="37">
        <f t="shared" si="0"/>
        <v>0.14899999999999999</v>
      </c>
      <c r="E10" s="37"/>
      <c r="F10" s="37">
        <f>C10</f>
        <v>0.14899999999999999</v>
      </c>
    </row>
    <row r="11" spans="1:6" ht="37.5">
      <c r="A11" s="22" t="s">
        <v>11</v>
      </c>
      <c r="B11" s="21" t="s">
        <v>143</v>
      </c>
      <c r="C11" s="37">
        <f>'Управителю (Форма)'!F15</f>
        <v>0.29899999999999999</v>
      </c>
      <c r="D11" s="37">
        <f t="shared" si="0"/>
        <v>0.29899999999999999</v>
      </c>
      <c r="E11" s="37"/>
      <c r="F11" s="37"/>
    </row>
    <row r="12" spans="1:6" ht="37.5">
      <c r="A12" s="22" t="s">
        <v>13</v>
      </c>
      <c r="B12" s="20" t="s">
        <v>14</v>
      </c>
      <c r="C12" s="37">
        <f>'Управителю (Форма)'!F16</f>
        <v>7.0000000000000001E-3</v>
      </c>
      <c r="D12" s="37">
        <f t="shared" si="0"/>
        <v>7.0000000000000001E-3</v>
      </c>
      <c r="E12" s="37">
        <f>C12</f>
        <v>7.0000000000000001E-3</v>
      </c>
      <c r="F12" s="37">
        <f>C12</f>
        <v>7.0000000000000001E-3</v>
      </c>
    </row>
    <row r="13" spans="1:6" ht="18.75">
      <c r="A13" s="22" t="s">
        <v>15</v>
      </c>
      <c r="B13" s="21" t="s">
        <v>16</v>
      </c>
      <c r="C13" s="37"/>
      <c r="D13" s="37">
        <f t="shared" si="0"/>
        <v>0</v>
      </c>
      <c r="E13" s="37"/>
      <c r="F13" s="37"/>
    </row>
    <row r="14" spans="1:6" ht="18.75">
      <c r="A14" s="22" t="s">
        <v>17</v>
      </c>
      <c r="B14" s="21" t="s">
        <v>18</v>
      </c>
      <c r="C14" s="37"/>
      <c r="D14" s="37">
        <f t="shared" si="0"/>
        <v>0</v>
      </c>
      <c r="E14" s="37"/>
      <c r="F14" s="37"/>
    </row>
    <row r="15" spans="1:6" ht="37.5">
      <c r="A15" s="155" t="s">
        <v>19</v>
      </c>
      <c r="B15" s="23" t="s">
        <v>20</v>
      </c>
      <c r="C15" s="161">
        <f>'Управителю (Форма)'!F19</f>
        <v>0.41699999999999998</v>
      </c>
      <c r="D15" s="161">
        <f t="shared" si="0"/>
        <v>0.41699999999999998</v>
      </c>
      <c r="E15" s="161">
        <f t="shared" ref="E15:E25" si="1">C15</f>
        <v>0.41699999999999998</v>
      </c>
      <c r="F15" s="161">
        <f t="shared" ref="F15:F25" si="2">C15</f>
        <v>0.41699999999999998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1"/>
        <v>0</v>
      </c>
      <c r="F16" s="162">
        <f t="shared" si="2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1"/>
        <v>0</v>
      </c>
      <c r="F17" s="162">
        <f t="shared" si="2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1"/>
        <v>0</v>
      </c>
      <c r="F18" s="162">
        <f t="shared" si="2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1"/>
        <v>0</v>
      </c>
      <c r="F19" s="162">
        <f t="shared" si="2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1"/>
        <v>0</v>
      </c>
      <c r="F20" s="162">
        <f t="shared" si="2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1"/>
        <v>0</v>
      </c>
      <c r="F21" s="163">
        <f t="shared" si="2"/>
        <v>0</v>
      </c>
    </row>
    <row r="22" spans="1:6" ht="18.75">
      <c r="A22" s="22" t="s">
        <v>27</v>
      </c>
      <c r="B22" s="21" t="s">
        <v>28</v>
      </c>
      <c r="C22" s="37">
        <f>'Управителю (Форма)'!F26</f>
        <v>2.4E-2</v>
      </c>
      <c r="D22" s="37">
        <f t="shared" si="0"/>
        <v>2.4E-2</v>
      </c>
      <c r="E22" s="37">
        <f t="shared" si="1"/>
        <v>2.4E-2</v>
      </c>
      <c r="F22" s="37">
        <f t="shared" si="2"/>
        <v>2.4E-2</v>
      </c>
    </row>
    <row r="23" spans="1:6" ht="18.75">
      <c r="A23" s="22" t="s">
        <v>29</v>
      </c>
      <c r="B23" s="21" t="s">
        <v>30</v>
      </c>
      <c r="C23" s="37">
        <f>'Управителю (Форма)'!F27</f>
        <v>1E-3</v>
      </c>
      <c r="D23" s="37">
        <f t="shared" si="0"/>
        <v>1E-3</v>
      </c>
      <c r="E23" s="37">
        <f t="shared" si="1"/>
        <v>1E-3</v>
      </c>
      <c r="F23" s="37">
        <f t="shared" si="2"/>
        <v>1E-3</v>
      </c>
    </row>
    <row r="24" spans="1:6" ht="37.5">
      <c r="A24" s="22" t="s">
        <v>31</v>
      </c>
      <c r="B24" s="21" t="s">
        <v>32</v>
      </c>
      <c r="C24" s="37">
        <f>'Управителю (Форма)'!F28</f>
        <v>3.3000000000000002E-2</v>
      </c>
      <c r="D24" s="37">
        <f t="shared" si="0"/>
        <v>3.3000000000000002E-2</v>
      </c>
      <c r="E24" s="37">
        <f t="shared" si="1"/>
        <v>3.3000000000000002E-2</v>
      </c>
      <c r="F24" s="37">
        <f t="shared" si="2"/>
        <v>3.3000000000000002E-2</v>
      </c>
    </row>
    <row r="25" spans="1:6" ht="75">
      <c r="A25" s="22" t="s">
        <v>33</v>
      </c>
      <c r="B25" s="21" t="s">
        <v>34</v>
      </c>
      <c r="C25" s="37">
        <f>'Управителю (Форма)'!F29</f>
        <v>7.5999999999999998E-2</v>
      </c>
      <c r="D25" s="37">
        <f t="shared" si="0"/>
        <v>7.5999999999999998E-2</v>
      </c>
      <c r="E25" s="37">
        <f t="shared" si="1"/>
        <v>7.5999999999999998E-2</v>
      </c>
      <c r="F25" s="37">
        <f t="shared" si="2"/>
        <v>7.5999999999999998E-2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22" t="s">
        <v>37</v>
      </c>
      <c r="B27" s="21" t="s">
        <v>38</v>
      </c>
      <c r="C27" s="37">
        <f>'Управителю (Форма)'!F31</f>
        <v>4.5999999999999999E-2</v>
      </c>
      <c r="D27" s="37">
        <f t="shared" ref="D27:D36" si="3">C27</f>
        <v>4.5999999999999999E-2</v>
      </c>
      <c r="E27" s="37">
        <f t="shared" ref="E27:E36" si="4">C27</f>
        <v>4.5999999999999999E-2</v>
      </c>
      <c r="F27" s="37">
        <f t="shared" ref="F27:F36" si="5">C27</f>
        <v>4.5999999999999999E-2</v>
      </c>
    </row>
    <row r="28" spans="1:6" ht="18.75">
      <c r="A28" s="155" t="s">
        <v>39</v>
      </c>
      <c r="B28" s="35" t="s">
        <v>40</v>
      </c>
      <c r="C28" s="156">
        <f>'Управителю (Форма)'!F32</f>
        <v>0.83099999999999996</v>
      </c>
      <c r="D28" s="156">
        <f t="shared" si="3"/>
        <v>0.83099999999999996</v>
      </c>
      <c r="E28" s="156">
        <f t="shared" si="4"/>
        <v>0.83099999999999996</v>
      </c>
      <c r="F28" s="156">
        <f t="shared" si="5"/>
        <v>0.83099999999999996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22" t="s">
        <v>47</v>
      </c>
      <c r="B38" s="20" t="s">
        <v>48</v>
      </c>
      <c r="C38" s="37">
        <f>'Управителю (Форма)'!F42</f>
        <v>1E-3</v>
      </c>
      <c r="D38" s="37">
        <f>C38</f>
        <v>1E-3</v>
      </c>
      <c r="E38" s="37">
        <f>C38</f>
        <v>1E-3</v>
      </c>
      <c r="F38" s="37">
        <f>C38</f>
        <v>1E-3</v>
      </c>
    </row>
    <row r="39" spans="1:6" ht="37.5">
      <c r="A39" s="22" t="s">
        <v>49</v>
      </c>
      <c r="B39" s="20" t="s">
        <v>50</v>
      </c>
      <c r="C39" s="37">
        <f>'Управителю (Форма)'!F43</f>
        <v>0.20100000000000001</v>
      </c>
      <c r="D39" s="37">
        <f>C39</f>
        <v>0.20100000000000001</v>
      </c>
      <c r="E39" s="37">
        <f>C39</f>
        <v>0.20100000000000001</v>
      </c>
      <c r="F39" s="37">
        <f>C39</f>
        <v>0.20100000000000001</v>
      </c>
    </row>
    <row r="40" spans="1:6" ht="18.75">
      <c r="A40" s="22" t="s">
        <v>51</v>
      </c>
      <c r="B40" s="20" t="s">
        <v>52</v>
      </c>
      <c r="C40" s="37"/>
      <c r="D40" s="37">
        <f>C40</f>
        <v>0</v>
      </c>
      <c r="E40" s="37"/>
      <c r="F40" s="37"/>
    </row>
    <row r="41" spans="1:6" ht="18.75">
      <c r="A41" s="28" t="s">
        <v>53</v>
      </c>
      <c r="B41" s="29" t="s">
        <v>54</v>
      </c>
      <c r="C41" s="39">
        <f>SUM(C38:C40,C27:C36,C9:C25)*('Управителю (Форма)'!$D$7-1)</f>
        <v>0.433</v>
      </c>
      <c r="D41" s="39">
        <f>SUM(D38:D40,D27:D36,D9:D25)*('Управителю (Форма)'!$D$7-1)</f>
        <v>0.433</v>
      </c>
      <c r="E41" s="39">
        <f>SUM(E38:E40,E27:E36,E9:E25)*('Управителю (Форма)'!$D$7-1)</f>
        <v>0.35699999999999998</v>
      </c>
      <c r="F41" s="39">
        <f>SUM(F38:F40,F27:F36,F9:F25)*('Управителю (Форма)'!$D$7-1)</f>
        <v>0.38300000000000001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0.59599999999999997</v>
      </c>
      <c r="D42" s="40">
        <f>SUM(D38:D41,D27:D36,D9:D25)*0.2</f>
        <v>0.59599999999999997</v>
      </c>
      <c r="E42" s="40">
        <f>SUM(E38:E41,E27:E36,E9:E25)*0.2</f>
        <v>0.49199999999999999</v>
      </c>
      <c r="F42" s="40">
        <f>SUM(F38:F41,F27:F36,F9:F25)*0.2</f>
        <v>0.52700000000000002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3.5779999999999998</v>
      </c>
      <c r="D43" s="38">
        <f>SUM(D38:D40,D27:D36,D9:D25)+D41+D42</f>
        <v>3.5779999999999998</v>
      </c>
      <c r="E43" s="38">
        <f>SUM(E38:E40,E27:E36,E9:E25)+E41+E42</f>
        <v>2.95</v>
      </c>
      <c r="F43" s="38">
        <f>SUM(F38:F40,F27:F36,F9:F25)+F41+F42</f>
        <v>3.16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B37:F37"/>
    <mergeCell ref="D28:D36"/>
    <mergeCell ref="E28:E36"/>
    <mergeCell ref="F28:F36"/>
    <mergeCell ref="A1:F1"/>
    <mergeCell ref="A2:F2"/>
    <mergeCell ref="A4:F4"/>
    <mergeCell ref="A28:A36"/>
    <mergeCell ref="C28:C36"/>
    <mergeCell ref="C6:F6"/>
    <mergeCell ref="B6:B7"/>
    <mergeCell ref="A6:A7"/>
    <mergeCell ref="B8:F8"/>
    <mergeCell ref="D15:D21"/>
    <mergeCell ref="E15:E21"/>
    <mergeCell ref="A15:A21"/>
    <mergeCell ref="C15:C21"/>
    <mergeCell ref="F15:F21"/>
    <mergeCell ref="B26:F26"/>
  </mergeCells>
  <phoneticPr fontId="7" type="noConversion"/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49"/>
  <sheetViews>
    <sheetView workbookViewId="0">
      <selection activeCell="H9" sqref="H9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8" ht="15" customHeight="1">
      <c r="A1" s="167" t="s">
        <v>0</v>
      </c>
      <c r="B1" s="167"/>
      <c r="C1" s="167"/>
      <c r="D1" s="167"/>
      <c r="E1" s="167"/>
      <c r="F1" s="167"/>
    </row>
    <row r="2" spans="1:8" ht="15" customHeight="1">
      <c r="A2" s="167" t="s">
        <v>1</v>
      </c>
      <c r="B2" s="167"/>
      <c r="C2" s="167"/>
      <c r="D2" s="167"/>
      <c r="E2" s="167"/>
      <c r="F2" s="167"/>
    </row>
    <row r="3" spans="1:8" ht="20.25">
      <c r="B3" s="41"/>
    </row>
    <row r="4" spans="1:8" ht="15" customHeight="1">
      <c r="A4" s="167" t="str">
        <f>'Управителю (Форма)'!E10&amp;", "&amp;'Управителю (Форма)'!E11</f>
        <v>вул. Д.  Самоквасова, 10</v>
      </c>
      <c r="B4" s="167"/>
      <c r="C4" s="167"/>
      <c r="D4" s="167"/>
      <c r="E4" s="167"/>
      <c r="F4" s="167"/>
    </row>
    <row r="5" spans="1:8" ht="19.5" thickBot="1">
      <c r="A5" s="4"/>
    </row>
    <row r="6" spans="1:8" ht="33.7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8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8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8" ht="18.75">
      <c r="A9" s="22" t="s">
        <v>7</v>
      </c>
      <c r="B9" s="20" t="s">
        <v>8</v>
      </c>
      <c r="C9" s="37">
        <f>'Управителю (Форма)'!E13</f>
        <v>0.499</v>
      </c>
      <c r="D9" s="37">
        <f t="shared" ref="D9:D25" si="0">C9</f>
        <v>0.499</v>
      </c>
      <c r="E9" s="37">
        <f>C9</f>
        <v>0.499</v>
      </c>
      <c r="F9" s="37">
        <f>C9</f>
        <v>0.499</v>
      </c>
      <c r="H9" s="47"/>
    </row>
    <row r="10" spans="1:8" ht="18.75">
      <c r="A10" s="22" t="s">
        <v>9</v>
      </c>
      <c r="B10" s="21" t="s">
        <v>10</v>
      </c>
      <c r="C10" s="37">
        <f>'Управителю (Форма)'!E14</f>
        <v>0.316</v>
      </c>
      <c r="D10" s="37">
        <f t="shared" si="0"/>
        <v>0.316</v>
      </c>
      <c r="E10" s="37"/>
      <c r="F10" s="37">
        <f>C10</f>
        <v>0.316</v>
      </c>
    </row>
    <row r="11" spans="1:8" ht="37.5">
      <c r="A11" s="22" t="s">
        <v>11</v>
      </c>
      <c r="B11" s="21" t="s">
        <v>143</v>
      </c>
      <c r="C11" s="37">
        <f>'Управителю (Форма)'!E15</f>
        <v>0.34300000000000003</v>
      </c>
      <c r="D11" s="37">
        <f t="shared" si="0"/>
        <v>0.34300000000000003</v>
      </c>
      <c r="E11" s="37"/>
      <c r="F11" s="37"/>
    </row>
    <row r="12" spans="1:8" ht="37.5">
      <c r="A12" s="22" t="s">
        <v>13</v>
      </c>
      <c r="B12" s="20" t="s">
        <v>14</v>
      </c>
      <c r="C12" s="37">
        <f>'Управителю (Форма)'!E16</f>
        <v>8.9999999999999993E-3</v>
      </c>
      <c r="D12" s="37">
        <f t="shared" si="0"/>
        <v>8.9999999999999993E-3</v>
      </c>
      <c r="E12" s="37">
        <f>C12</f>
        <v>8.9999999999999993E-3</v>
      </c>
      <c r="F12" s="37">
        <f>C12</f>
        <v>8.9999999999999993E-3</v>
      </c>
    </row>
    <row r="13" spans="1:8" ht="18.75">
      <c r="A13" s="22" t="s">
        <v>15</v>
      </c>
      <c r="B13" s="21" t="s">
        <v>16</v>
      </c>
      <c r="C13" s="54"/>
      <c r="D13" s="37">
        <f>'Управителю (Форма)'!E17</f>
        <v>0.58599999999999997</v>
      </c>
      <c r="E13" s="37"/>
      <c r="F13" s="37"/>
    </row>
    <row r="14" spans="1:8" ht="18.75">
      <c r="A14" s="22" t="s">
        <v>17</v>
      </c>
      <c r="B14" s="21" t="s">
        <v>18</v>
      </c>
      <c r="C14" s="37"/>
      <c r="D14" s="54">
        <f>'Управителю (Форма)'!E18</f>
        <v>0</v>
      </c>
      <c r="E14" s="37"/>
      <c r="F14" s="37"/>
    </row>
    <row r="15" spans="1:8" ht="37.5">
      <c r="A15" s="155" t="s">
        <v>19</v>
      </c>
      <c r="B15" s="23" t="s">
        <v>20</v>
      </c>
      <c r="C15" s="161">
        <f>'Управителю (Форма)'!E19</f>
        <v>0.39</v>
      </c>
      <c r="D15" s="161">
        <f t="shared" si="0"/>
        <v>0.39</v>
      </c>
      <c r="E15" s="161">
        <f t="shared" ref="E15:E25" si="1">C15</f>
        <v>0.39</v>
      </c>
      <c r="F15" s="161">
        <f t="shared" ref="F15:F25" si="2">C15</f>
        <v>0.39</v>
      </c>
    </row>
    <row r="16" spans="1:8" ht="18.75">
      <c r="A16" s="155"/>
      <c r="B16" s="34" t="s">
        <v>21</v>
      </c>
      <c r="C16" s="162"/>
      <c r="D16" s="162">
        <f t="shared" si="0"/>
        <v>0</v>
      </c>
      <c r="E16" s="162">
        <f t="shared" si="1"/>
        <v>0</v>
      </c>
      <c r="F16" s="162">
        <f t="shared" si="2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1"/>
        <v>0</v>
      </c>
      <c r="F17" s="162">
        <f t="shared" si="2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1"/>
        <v>0</v>
      </c>
      <c r="F18" s="162">
        <f t="shared" si="2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1"/>
        <v>0</v>
      </c>
      <c r="F19" s="162">
        <f t="shared" si="2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1"/>
        <v>0</v>
      </c>
      <c r="F20" s="162">
        <f t="shared" si="2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1"/>
        <v>0</v>
      </c>
      <c r="F21" s="163">
        <f t="shared" si="2"/>
        <v>0</v>
      </c>
    </row>
    <row r="22" spans="1:6" ht="18.75">
      <c r="A22" s="22" t="s">
        <v>27</v>
      </c>
      <c r="B22" s="21" t="s">
        <v>28</v>
      </c>
      <c r="C22" s="37">
        <f>'Управителю (Форма)'!E26</f>
        <v>1.4E-2</v>
      </c>
      <c r="D22" s="37">
        <f t="shared" si="0"/>
        <v>1.4E-2</v>
      </c>
      <c r="E22" s="37">
        <f t="shared" si="1"/>
        <v>1.4E-2</v>
      </c>
      <c r="F22" s="37">
        <f t="shared" si="2"/>
        <v>1.4E-2</v>
      </c>
    </row>
    <row r="23" spans="1:6" ht="18.75">
      <c r="A23" s="22" t="s">
        <v>29</v>
      </c>
      <c r="B23" s="21" t="s">
        <v>30</v>
      </c>
      <c r="C23" s="37">
        <f>'Управителю (Форма)'!E27</f>
        <v>1E-3</v>
      </c>
      <c r="D23" s="37">
        <f t="shared" si="0"/>
        <v>1E-3</v>
      </c>
      <c r="E23" s="37">
        <f t="shared" si="1"/>
        <v>1E-3</v>
      </c>
      <c r="F23" s="37">
        <f t="shared" si="2"/>
        <v>1E-3</v>
      </c>
    </row>
    <row r="24" spans="1:6" ht="37.5">
      <c r="A24" s="22" t="s">
        <v>31</v>
      </c>
      <c r="B24" s="21" t="s">
        <v>32</v>
      </c>
      <c r="C24" s="37">
        <f>'Управителю (Форма)'!E28</f>
        <v>2.4E-2</v>
      </c>
      <c r="D24" s="37">
        <f t="shared" si="0"/>
        <v>2.4E-2</v>
      </c>
      <c r="E24" s="37">
        <f t="shared" si="1"/>
        <v>2.4E-2</v>
      </c>
      <c r="F24" s="37">
        <f t="shared" si="2"/>
        <v>2.4E-2</v>
      </c>
    </row>
    <row r="25" spans="1:6" ht="75">
      <c r="A25" s="22" t="s">
        <v>33</v>
      </c>
      <c r="B25" s="21" t="s">
        <v>34</v>
      </c>
      <c r="C25" s="37">
        <f>'Управителю (Форма)'!E29</f>
        <v>3.1E-2</v>
      </c>
      <c r="D25" s="37">
        <f t="shared" si="0"/>
        <v>3.1E-2</v>
      </c>
      <c r="E25" s="37">
        <f t="shared" si="1"/>
        <v>3.1E-2</v>
      </c>
      <c r="F25" s="37">
        <f t="shared" si="2"/>
        <v>3.1E-2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22" t="s">
        <v>37</v>
      </c>
      <c r="B27" s="21" t="s">
        <v>38</v>
      </c>
      <c r="C27" s="37">
        <f>'Управителю (Форма)'!E31</f>
        <v>2.9000000000000001E-2</v>
      </c>
      <c r="D27" s="37">
        <f t="shared" ref="D27:D36" si="3">C27</f>
        <v>2.9000000000000001E-2</v>
      </c>
      <c r="E27" s="37">
        <f t="shared" ref="E27:E36" si="4">C27</f>
        <v>2.9000000000000001E-2</v>
      </c>
      <c r="F27" s="37">
        <f t="shared" ref="F27:F36" si="5">C27</f>
        <v>2.9000000000000001E-2</v>
      </c>
    </row>
    <row r="28" spans="1:6" ht="18.75">
      <c r="A28" s="155" t="s">
        <v>39</v>
      </c>
      <c r="B28" s="35" t="s">
        <v>40</v>
      </c>
      <c r="C28" s="156">
        <f>'Управителю (Форма)'!E32</f>
        <v>0.53400000000000003</v>
      </c>
      <c r="D28" s="156">
        <f t="shared" si="3"/>
        <v>0.53400000000000003</v>
      </c>
      <c r="E28" s="156">
        <f t="shared" si="4"/>
        <v>0.53400000000000003</v>
      </c>
      <c r="F28" s="156">
        <f t="shared" si="5"/>
        <v>0.53400000000000003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22" t="s">
        <v>47</v>
      </c>
      <c r="B38" s="20" t="s">
        <v>48</v>
      </c>
      <c r="C38" s="37">
        <f>'Управителю (Форма)'!E42</f>
        <v>1E-3</v>
      </c>
      <c r="D38" s="37">
        <f>C38</f>
        <v>1E-3</v>
      </c>
      <c r="E38" s="37">
        <f>C38</f>
        <v>1E-3</v>
      </c>
      <c r="F38" s="37">
        <f>C38</f>
        <v>1E-3</v>
      </c>
    </row>
    <row r="39" spans="1:6" ht="37.5">
      <c r="A39" s="22" t="s">
        <v>49</v>
      </c>
      <c r="B39" s="20" t="s">
        <v>50</v>
      </c>
      <c r="C39" s="37">
        <f>'Управителю (Форма)'!E43</f>
        <v>0.23699999999999999</v>
      </c>
      <c r="D39" s="37">
        <f>C39</f>
        <v>0.23699999999999999</v>
      </c>
      <c r="E39" s="37">
        <f>C39</f>
        <v>0.23699999999999999</v>
      </c>
      <c r="F39" s="37">
        <f>C39</f>
        <v>0.23699999999999999</v>
      </c>
    </row>
    <row r="40" spans="1:6" ht="18.75">
      <c r="A40" s="22" t="s">
        <v>51</v>
      </c>
      <c r="B40" s="20" t="s">
        <v>52</v>
      </c>
      <c r="C40" s="37"/>
      <c r="D40" s="54">
        <f>'Управителю (Форма)'!E44</f>
        <v>0.22900000000000001</v>
      </c>
      <c r="E40" s="37"/>
      <c r="F40" s="37"/>
    </row>
    <row r="41" spans="1:6" ht="18.75">
      <c r="A41" s="28" t="s">
        <v>53</v>
      </c>
      <c r="B41" s="29" t="s">
        <v>54</v>
      </c>
      <c r="C41" s="39">
        <f>SUM(C38:C40,C27:C36,C9:C25)*('Управителю (Форма)'!$D$7-1)</f>
        <v>0.41299999999999998</v>
      </c>
      <c r="D41" s="39">
        <f>SUM(D38:D40,D27:D36,D9:D25)*('Управителю (Форма)'!$D$7-1)</f>
        <v>0.55100000000000005</v>
      </c>
      <c r="E41" s="39">
        <f>SUM(E38:E40,E27:E36,E9:E25)*('Управителю (Форма)'!$D$7-1)</f>
        <v>0.30099999999999999</v>
      </c>
      <c r="F41" s="39">
        <f>SUM(F38:F40,F27:F36,F9:F25)*('Управителю (Форма)'!$D$7-1)</f>
        <v>0.35399999999999998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0.56799999999999995</v>
      </c>
      <c r="D42" s="40">
        <f>SUM(D38:D41,D27:D36,D9:D25)*0.2</f>
        <v>0.75900000000000001</v>
      </c>
      <c r="E42" s="40">
        <f>SUM(E38:E41,E27:E36,E9:E25)*0.2</f>
        <v>0.41399999999999998</v>
      </c>
      <c r="F42" s="40">
        <f>SUM(F38:F41,F27:F36,F9:F25)*0.2</f>
        <v>0.48799999999999999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3.4089999999999998</v>
      </c>
      <c r="D43" s="38">
        <f>SUM(D38:D40,D27:D36,D9:D25)+D41+D42</f>
        <v>4.5529999999999999</v>
      </c>
      <c r="E43" s="38">
        <f>SUM(E38:E40,E27:E36,E9:E25)+E41+E42</f>
        <v>2.484</v>
      </c>
      <c r="F43" s="38">
        <f>SUM(F38:F40,F27:F36,F9:F25)+F41+F42</f>
        <v>2.927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B37:F37"/>
    <mergeCell ref="D28:D36"/>
    <mergeCell ref="E28:E36"/>
    <mergeCell ref="F28:F36"/>
    <mergeCell ref="A1:F1"/>
    <mergeCell ref="A2:F2"/>
    <mergeCell ref="A4:F4"/>
    <mergeCell ref="A28:A36"/>
    <mergeCell ref="C28:C36"/>
    <mergeCell ref="C6:F6"/>
    <mergeCell ref="B6:B7"/>
    <mergeCell ref="A6:A7"/>
    <mergeCell ref="B8:F8"/>
    <mergeCell ref="D15:D21"/>
    <mergeCell ref="E15:E21"/>
    <mergeCell ref="A15:A21"/>
    <mergeCell ref="C15:C21"/>
    <mergeCell ref="F15:F21"/>
    <mergeCell ref="B26:F26"/>
  </mergeCells>
  <phoneticPr fontId="7" type="noConversion"/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49"/>
  <sheetViews>
    <sheetView view="pageBreakPreview" topLeftCell="A10" zoomScale="60" workbookViewId="0">
      <selection activeCell="D41" sqref="D41"/>
    </sheetView>
  </sheetViews>
  <sheetFormatPr defaultRowHeight="1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>
      <c r="A1" s="167" t="s">
        <v>0</v>
      </c>
      <c r="B1" s="167"/>
      <c r="C1" s="167"/>
      <c r="D1" s="167"/>
      <c r="E1" s="167"/>
      <c r="F1" s="167"/>
    </row>
    <row r="2" spans="1:6" ht="15" customHeight="1">
      <c r="A2" s="167" t="s">
        <v>1</v>
      </c>
      <c r="B2" s="167"/>
      <c r="C2" s="167"/>
      <c r="D2" s="167"/>
      <c r="E2" s="167"/>
      <c r="F2" s="167"/>
    </row>
    <row r="3" spans="1:6" ht="20.25">
      <c r="B3" s="41"/>
    </row>
    <row r="4" spans="1:6" ht="15" customHeight="1">
      <c r="A4" s="167" t="str">
        <f>'Управителю (Форма)'!D10&amp;", "&amp;'Управителю (Форма)'!D11</f>
        <v>вул. Д. Самоквасова, 1</v>
      </c>
      <c r="B4" s="167"/>
      <c r="C4" s="167"/>
      <c r="D4" s="167"/>
      <c r="E4" s="167"/>
      <c r="F4" s="167"/>
    </row>
    <row r="5" spans="1:6" ht="19.5" thickBot="1">
      <c r="A5" s="4"/>
    </row>
    <row r="6" spans="1:6" ht="35.25" customHeight="1">
      <c r="A6" s="168" t="s">
        <v>3</v>
      </c>
      <c r="B6" s="170" t="s">
        <v>4</v>
      </c>
      <c r="C6" s="172" t="s">
        <v>5</v>
      </c>
      <c r="D6" s="172"/>
      <c r="E6" s="172"/>
      <c r="F6" s="173"/>
    </row>
    <row r="7" spans="1:6" ht="106.5" customHeight="1">
      <c r="A7" s="169"/>
      <c r="B7" s="171"/>
      <c r="C7" s="42" t="s">
        <v>145</v>
      </c>
      <c r="D7" s="42" t="s">
        <v>144</v>
      </c>
      <c r="E7" s="42" t="s">
        <v>146</v>
      </c>
      <c r="F7" s="43" t="s">
        <v>147</v>
      </c>
    </row>
    <row r="8" spans="1:6" s="26" customFormat="1" ht="19.5">
      <c r="A8" s="27">
        <v>1</v>
      </c>
      <c r="B8" s="158" t="s">
        <v>148</v>
      </c>
      <c r="C8" s="159"/>
      <c r="D8" s="159"/>
      <c r="E8" s="159"/>
      <c r="F8" s="160"/>
    </row>
    <row r="9" spans="1:6" ht="18.75">
      <c r="A9" s="22" t="s">
        <v>7</v>
      </c>
      <c r="B9" s="20" t="s">
        <v>8</v>
      </c>
      <c r="C9" s="37">
        <f>'Управителю (Форма)'!D13</f>
        <v>0.60599999999999998</v>
      </c>
      <c r="D9" s="37">
        <f>C9</f>
        <v>0.60599999999999998</v>
      </c>
      <c r="E9" s="37">
        <f>C9</f>
        <v>0.60599999999999998</v>
      </c>
      <c r="F9" s="37">
        <f>C9</f>
        <v>0.60599999999999998</v>
      </c>
    </row>
    <row r="10" spans="1:6" ht="18.75">
      <c r="A10" s="22" t="s">
        <v>9</v>
      </c>
      <c r="B10" s="21" t="s">
        <v>10</v>
      </c>
      <c r="C10" s="37">
        <f>'Управителю (Форма)'!D14</f>
        <v>0.09</v>
      </c>
      <c r="D10" s="37">
        <f t="shared" ref="D10:D25" si="0">C10</f>
        <v>0.09</v>
      </c>
      <c r="E10" s="37"/>
      <c r="F10" s="37">
        <f t="shared" ref="F10:F25" si="1">C10</f>
        <v>0.09</v>
      </c>
    </row>
    <row r="11" spans="1:6" ht="37.5">
      <c r="A11" s="22" t="s">
        <v>11</v>
      </c>
      <c r="B11" s="21" t="s">
        <v>143</v>
      </c>
      <c r="C11" s="37">
        <f>'Управителю (Форма)'!D15</f>
        <v>0.72699999999999998</v>
      </c>
      <c r="D11" s="37">
        <f t="shared" si="0"/>
        <v>0.72699999999999998</v>
      </c>
      <c r="E11" s="37"/>
      <c r="F11" s="37"/>
    </row>
    <row r="12" spans="1:6" ht="37.5">
      <c r="A12" s="22" t="s">
        <v>13</v>
      </c>
      <c r="B12" s="20" t="s">
        <v>14</v>
      </c>
      <c r="C12" s="37">
        <f>'Управителю (Форма)'!D16</f>
        <v>1.0999999999999999E-2</v>
      </c>
      <c r="D12" s="37">
        <f t="shared" si="0"/>
        <v>1.0999999999999999E-2</v>
      </c>
      <c r="E12" s="37">
        <f t="shared" ref="E12:E25" si="2">C12</f>
        <v>1.0999999999999999E-2</v>
      </c>
      <c r="F12" s="37">
        <f t="shared" si="1"/>
        <v>1.0999999999999999E-2</v>
      </c>
    </row>
    <row r="13" spans="1:6" ht="18.75">
      <c r="A13" s="22" t="s">
        <v>15</v>
      </c>
      <c r="B13" s="21" t="s">
        <v>16</v>
      </c>
      <c r="C13" s="37"/>
      <c r="D13" s="37">
        <f t="shared" si="0"/>
        <v>0</v>
      </c>
      <c r="E13" s="37"/>
      <c r="F13" s="37"/>
    </row>
    <row r="14" spans="1:6" ht="18.75">
      <c r="A14" s="22" t="s">
        <v>17</v>
      </c>
      <c r="B14" s="21" t="s">
        <v>18</v>
      </c>
      <c r="C14" s="37"/>
      <c r="D14" s="37">
        <f t="shared" si="0"/>
        <v>0</v>
      </c>
      <c r="E14" s="37"/>
      <c r="F14" s="37"/>
    </row>
    <row r="15" spans="1:6" ht="37.5">
      <c r="A15" s="155" t="s">
        <v>19</v>
      </c>
      <c r="B15" s="23" t="s">
        <v>20</v>
      </c>
      <c r="C15" s="161">
        <f>'Управителю (Форма)'!D19</f>
        <v>0.44800000000000001</v>
      </c>
      <c r="D15" s="161">
        <f t="shared" si="0"/>
        <v>0.44800000000000001</v>
      </c>
      <c r="E15" s="161">
        <f t="shared" si="2"/>
        <v>0.44800000000000001</v>
      </c>
      <c r="F15" s="161">
        <f t="shared" si="1"/>
        <v>0.44800000000000001</v>
      </c>
    </row>
    <row r="16" spans="1:6" ht="18.75">
      <c r="A16" s="155"/>
      <c r="B16" s="34" t="s">
        <v>21</v>
      </c>
      <c r="C16" s="162"/>
      <c r="D16" s="162">
        <f t="shared" si="0"/>
        <v>0</v>
      </c>
      <c r="E16" s="162">
        <f t="shared" si="2"/>
        <v>0</v>
      </c>
      <c r="F16" s="162">
        <f t="shared" si="1"/>
        <v>0</v>
      </c>
    </row>
    <row r="17" spans="1:6" ht="18.75">
      <c r="A17" s="155"/>
      <c r="B17" s="34" t="s">
        <v>22</v>
      </c>
      <c r="C17" s="162"/>
      <c r="D17" s="162">
        <f t="shared" si="0"/>
        <v>0</v>
      </c>
      <c r="E17" s="162">
        <f t="shared" si="2"/>
        <v>0</v>
      </c>
      <c r="F17" s="162">
        <f t="shared" si="1"/>
        <v>0</v>
      </c>
    </row>
    <row r="18" spans="1:6" ht="18.75">
      <c r="A18" s="155"/>
      <c r="B18" s="34" t="s">
        <v>23</v>
      </c>
      <c r="C18" s="162"/>
      <c r="D18" s="162">
        <f t="shared" si="0"/>
        <v>0</v>
      </c>
      <c r="E18" s="162">
        <f t="shared" si="2"/>
        <v>0</v>
      </c>
      <c r="F18" s="162">
        <f t="shared" si="1"/>
        <v>0</v>
      </c>
    </row>
    <row r="19" spans="1:6" ht="18.75">
      <c r="A19" s="155"/>
      <c r="B19" s="34" t="s">
        <v>24</v>
      </c>
      <c r="C19" s="162"/>
      <c r="D19" s="162">
        <f t="shared" si="0"/>
        <v>0</v>
      </c>
      <c r="E19" s="162">
        <f t="shared" si="2"/>
        <v>0</v>
      </c>
      <c r="F19" s="162">
        <f t="shared" si="1"/>
        <v>0</v>
      </c>
    </row>
    <row r="20" spans="1:6" ht="18.75">
      <c r="A20" s="155"/>
      <c r="B20" s="34" t="s">
        <v>25</v>
      </c>
      <c r="C20" s="162"/>
      <c r="D20" s="162">
        <f t="shared" si="0"/>
        <v>0</v>
      </c>
      <c r="E20" s="162">
        <f t="shared" si="2"/>
        <v>0</v>
      </c>
      <c r="F20" s="162">
        <f t="shared" si="1"/>
        <v>0</v>
      </c>
    </row>
    <row r="21" spans="1:6" ht="37.5">
      <c r="A21" s="155"/>
      <c r="B21" s="24" t="s">
        <v>26</v>
      </c>
      <c r="C21" s="163"/>
      <c r="D21" s="163">
        <f t="shared" si="0"/>
        <v>0</v>
      </c>
      <c r="E21" s="163">
        <f t="shared" si="2"/>
        <v>0</v>
      </c>
      <c r="F21" s="163">
        <f t="shared" si="1"/>
        <v>0</v>
      </c>
    </row>
    <row r="22" spans="1:6" ht="18.75">
      <c r="A22" s="22" t="s">
        <v>27</v>
      </c>
      <c r="B22" s="21" t="s">
        <v>28</v>
      </c>
      <c r="C22" s="37">
        <f>'Управителю (Форма)'!D26</f>
        <v>3.1E-2</v>
      </c>
      <c r="D22" s="37">
        <f t="shared" si="0"/>
        <v>3.1E-2</v>
      </c>
      <c r="E22" s="37">
        <f t="shared" si="2"/>
        <v>3.1E-2</v>
      </c>
      <c r="F22" s="37">
        <f t="shared" si="1"/>
        <v>3.1E-2</v>
      </c>
    </row>
    <row r="23" spans="1:6" ht="18.75">
      <c r="A23" s="22" t="s">
        <v>29</v>
      </c>
      <c r="B23" s="21" t="s">
        <v>30</v>
      </c>
      <c r="C23" s="37">
        <f>'Управителю (Форма)'!D27</f>
        <v>1E-3</v>
      </c>
      <c r="D23" s="37">
        <f t="shared" si="0"/>
        <v>1E-3</v>
      </c>
      <c r="E23" s="37">
        <f t="shared" si="2"/>
        <v>1E-3</v>
      </c>
      <c r="F23" s="37">
        <f t="shared" si="1"/>
        <v>1E-3</v>
      </c>
    </row>
    <row r="24" spans="1:6" ht="37.5">
      <c r="A24" s="22" t="s">
        <v>31</v>
      </c>
      <c r="B24" s="21" t="s">
        <v>32</v>
      </c>
      <c r="C24" s="37">
        <f>'Управителю (Форма)'!D28</f>
        <v>0.05</v>
      </c>
      <c r="D24" s="37">
        <f t="shared" si="0"/>
        <v>0.05</v>
      </c>
      <c r="E24" s="37">
        <f t="shared" si="2"/>
        <v>0.05</v>
      </c>
      <c r="F24" s="37">
        <f t="shared" si="1"/>
        <v>0.05</v>
      </c>
    </row>
    <row r="25" spans="1:6" ht="75">
      <c r="A25" s="22" t="s">
        <v>33</v>
      </c>
      <c r="B25" s="21" t="s">
        <v>34</v>
      </c>
      <c r="C25" s="37">
        <f>'Управителю (Форма)'!D29</f>
        <v>6.4000000000000001E-2</v>
      </c>
      <c r="D25" s="37">
        <f t="shared" si="0"/>
        <v>6.4000000000000001E-2</v>
      </c>
      <c r="E25" s="37">
        <f t="shared" si="2"/>
        <v>6.4000000000000001E-2</v>
      </c>
      <c r="F25" s="37">
        <f t="shared" si="1"/>
        <v>6.4000000000000001E-2</v>
      </c>
    </row>
    <row r="26" spans="1:6" ht="18.75">
      <c r="A26" s="28" t="s">
        <v>35</v>
      </c>
      <c r="B26" s="152" t="s">
        <v>36</v>
      </c>
      <c r="C26" s="153"/>
      <c r="D26" s="153"/>
      <c r="E26" s="153"/>
      <c r="F26" s="154"/>
    </row>
    <row r="27" spans="1:6" ht="75">
      <c r="A27" s="22" t="s">
        <v>37</v>
      </c>
      <c r="B27" s="21" t="s">
        <v>38</v>
      </c>
      <c r="C27" s="37">
        <f>'Управителю (Форма)'!D31</f>
        <v>1.0999999999999999E-2</v>
      </c>
      <c r="D27" s="37">
        <f t="shared" ref="D27:D36" si="3">C27</f>
        <v>1.0999999999999999E-2</v>
      </c>
      <c r="E27" s="37">
        <f t="shared" ref="E27:E36" si="4">C27</f>
        <v>1.0999999999999999E-2</v>
      </c>
      <c r="F27" s="37">
        <f t="shared" ref="F27:F36" si="5">C27</f>
        <v>1.0999999999999999E-2</v>
      </c>
    </row>
    <row r="28" spans="1:6" ht="18.75">
      <c r="A28" s="155" t="s">
        <v>39</v>
      </c>
      <c r="B28" s="35" t="s">
        <v>40</v>
      </c>
      <c r="C28" s="156">
        <f>'Управителю (Форма)'!D32</f>
        <v>0.58499999999999996</v>
      </c>
      <c r="D28" s="156">
        <f t="shared" si="3"/>
        <v>0.58499999999999996</v>
      </c>
      <c r="E28" s="156">
        <f t="shared" si="4"/>
        <v>0.58499999999999996</v>
      </c>
      <c r="F28" s="156">
        <f t="shared" si="5"/>
        <v>0.58499999999999996</v>
      </c>
    </row>
    <row r="29" spans="1:6" ht="18.75">
      <c r="A29" s="155"/>
      <c r="B29" s="34" t="s">
        <v>41</v>
      </c>
      <c r="C29" s="156"/>
      <c r="D29" s="156">
        <f t="shared" si="3"/>
        <v>0</v>
      </c>
      <c r="E29" s="156">
        <f t="shared" si="4"/>
        <v>0</v>
      </c>
      <c r="F29" s="156">
        <f t="shared" si="5"/>
        <v>0</v>
      </c>
    </row>
    <row r="30" spans="1:6" ht="18.75">
      <c r="A30" s="155"/>
      <c r="B30" s="34" t="s">
        <v>42</v>
      </c>
      <c r="C30" s="156"/>
      <c r="D30" s="156">
        <f t="shared" si="3"/>
        <v>0</v>
      </c>
      <c r="E30" s="156">
        <f t="shared" si="4"/>
        <v>0</v>
      </c>
      <c r="F30" s="156">
        <f t="shared" si="5"/>
        <v>0</v>
      </c>
    </row>
    <row r="31" spans="1:6" ht="18.75">
      <c r="A31" s="155"/>
      <c r="B31" s="34" t="s">
        <v>43</v>
      </c>
      <c r="C31" s="156"/>
      <c r="D31" s="156">
        <f t="shared" si="3"/>
        <v>0</v>
      </c>
      <c r="E31" s="156">
        <f t="shared" si="4"/>
        <v>0</v>
      </c>
      <c r="F31" s="156">
        <f t="shared" si="5"/>
        <v>0</v>
      </c>
    </row>
    <row r="32" spans="1:6" ht="18.75">
      <c r="A32" s="155"/>
      <c r="B32" s="34" t="s">
        <v>22</v>
      </c>
      <c r="C32" s="156"/>
      <c r="D32" s="156">
        <f t="shared" si="3"/>
        <v>0</v>
      </c>
      <c r="E32" s="156">
        <f t="shared" si="4"/>
        <v>0</v>
      </c>
      <c r="F32" s="156">
        <f t="shared" si="5"/>
        <v>0</v>
      </c>
    </row>
    <row r="33" spans="1:6" ht="18.75">
      <c r="A33" s="155"/>
      <c r="B33" s="34" t="s">
        <v>23</v>
      </c>
      <c r="C33" s="156"/>
      <c r="D33" s="156">
        <f t="shared" si="3"/>
        <v>0</v>
      </c>
      <c r="E33" s="156">
        <f t="shared" si="4"/>
        <v>0</v>
      </c>
      <c r="F33" s="156">
        <f t="shared" si="5"/>
        <v>0</v>
      </c>
    </row>
    <row r="34" spans="1:6" ht="18.75">
      <c r="A34" s="155"/>
      <c r="B34" s="34" t="s">
        <v>24</v>
      </c>
      <c r="C34" s="156"/>
      <c r="D34" s="156">
        <f t="shared" si="3"/>
        <v>0</v>
      </c>
      <c r="E34" s="156">
        <f t="shared" si="4"/>
        <v>0</v>
      </c>
      <c r="F34" s="156">
        <f t="shared" si="5"/>
        <v>0</v>
      </c>
    </row>
    <row r="35" spans="1:6" ht="18.75">
      <c r="A35" s="155"/>
      <c r="B35" s="34" t="s">
        <v>25</v>
      </c>
      <c r="C35" s="156"/>
      <c r="D35" s="156">
        <f t="shared" si="3"/>
        <v>0</v>
      </c>
      <c r="E35" s="156">
        <f t="shared" si="4"/>
        <v>0</v>
      </c>
      <c r="F35" s="156">
        <f t="shared" si="5"/>
        <v>0</v>
      </c>
    </row>
    <row r="36" spans="1:6" ht="93.75">
      <c r="A36" s="155"/>
      <c r="B36" s="36" t="s">
        <v>44</v>
      </c>
      <c r="C36" s="156"/>
      <c r="D36" s="156">
        <f t="shared" si="3"/>
        <v>0</v>
      </c>
      <c r="E36" s="156">
        <f t="shared" si="4"/>
        <v>0</v>
      </c>
      <c r="F36" s="156">
        <f t="shared" si="5"/>
        <v>0</v>
      </c>
    </row>
    <row r="37" spans="1:6" ht="18.75">
      <c r="A37" s="28" t="s">
        <v>45</v>
      </c>
      <c r="B37" s="152" t="s">
        <v>46</v>
      </c>
      <c r="C37" s="153"/>
      <c r="D37" s="153"/>
      <c r="E37" s="153"/>
      <c r="F37" s="154"/>
    </row>
    <row r="38" spans="1:6" ht="18.75">
      <c r="A38" s="22" t="s">
        <v>47</v>
      </c>
      <c r="B38" s="20" t="s">
        <v>48</v>
      </c>
      <c r="C38" s="37">
        <f>'Управителю (Форма)'!D42</f>
        <v>1E-3</v>
      </c>
      <c r="D38" s="37">
        <f>C38</f>
        <v>1E-3</v>
      </c>
      <c r="E38" s="37">
        <f>C38</f>
        <v>1E-3</v>
      </c>
      <c r="F38" s="37">
        <f>C38</f>
        <v>1E-3</v>
      </c>
    </row>
    <row r="39" spans="1:6" ht="37.5">
      <c r="A39" s="22" t="s">
        <v>49</v>
      </c>
      <c r="B39" s="20" t="s">
        <v>50</v>
      </c>
      <c r="C39" s="37">
        <f>'Управителю (Форма)'!D43</f>
        <v>0.23</v>
      </c>
      <c r="D39" s="37">
        <f>C39</f>
        <v>0.23</v>
      </c>
      <c r="E39" s="37">
        <f>C39</f>
        <v>0.23</v>
      </c>
      <c r="F39" s="37">
        <f>C39</f>
        <v>0.23</v>
      </c>
    </row>
    <row r="40" spans="1:6" ht="18.75">
      <c r="A40" s="22" t="s">
        <v>51</v>
      </c>
      <c r="B40" s="20" t="s">
        <v>52</v>
      </c>
      <c r="C40" s="37"/>
      <c r="D40" s="37">
        <f>C40</f>
        <v>0</v>
      </c>
      <c r="E40" s="37"/>
      <c r="F40" s="37"/>
    </row>
    <row r="41" spans="1:6" ht="18.75">
      <c r="A41" s="28" t="s">
        <v>53</v>
      </c>
      <c r="B41" s="29" t="s">
        <v>54</v>
      </c>
      <c r="C41" s="39">
        <f>SUM(C38:C40,C27:C36,C9:C25)*('Управителю (Форма)'!$D$7-1)</f>
        <v>0.48499999999999999</v>
      </c>
      <c r="D41" s="39">
        <f>SUM(D38:D40,D27:D36,D9:D25)*('Управителю (Форма)'!$D$7-1)</f>
        <v>0.48499999999999999</v>
      </c>
      <c r="E41" s="39">
        <f>SUM(E38:E40,E27:E36,E9:E25)*('Управителю (Форма)'!$D$7-1)</f>
        <v>0.34599999999999997</v>
      </c>
      <c r="F41" s="39">
        <f>SUM(F38:F40,F27:F36,F9:F25)*('Управителю (Форма)'!$D$7-1)</f>
        <v>0.36199999999999999</v>
      </c>
    </row>
    <row r="42" spans="1:6" ht="19.5" thickBot="1">
      <c r="A42" s="30" t="s">
        <v>55</v>
      </c>
      <c r="B42" s="31" t="s">
        <v>56</v>
      </c>
      <c r="C42" s="40">
        <f>SUM(C38:C41,C27:C36,C9:C25)*0.2</f>
        <v>0.66800000000000004</v>
      </c>
      <c r="D42" s="40">
        <f>SUM(D38:D41,D27:D36,D9:D25)*0.2</f>
        <v>0.66800000000000004</v>
      </c>
      <c r="E42" s="40">
        <f>SUM(E38:E41,E27:E36,E9:E25)*0.2</f>
        <v>0.47699999999999998</v>
      </c>
      <c r="F42" s="40">
        <f>SUM(F38:F41,F27:F36,F9:F25)*0.2</f>
        <v>0.498</v>
      </c>
    </row>
    <row r="43" spans="1:6" s="25" customFormat="1" ht="19.5" thickBot="1">
      <c r="A43" s="32" t="s">
        <v>57</v>
      </c>
      <c r="B43" s="33" t="s">
        <v>58</v>
      </c>
      <c r="C43" s="38">
        <f>SUM(C38:C40,C27:C36,C9:C25)+C41+C42</f>
        <v>4.008</v>
      </c>
      <c r="D43" s="38">
        <f>SUM(D38:D40,D27:D36,D9:D25)+D41+D42</f>
        <v>4.008</v>
      </c>
      <c r="E43" s="38">
        <f>SUM(E38:E40,E27:E36,E9:E25)+E41+E42</f>
        <v>2.8610000000000002</v>
      </c>
      <c r="F43" s="38">
        <f>SUM(F38:F40,F27:F36,F9:F25)+F41+F42</f>
        <v>2.988</v>
      </c>
    </row>
    <row r="49" spans="2:6" s="59" customFormat="1" ht="22.5">
      <c r="B49" s="60" t="s">
        <v>246</v>
      </c>
      <c r="F49" s="61" t="s">
        <v>251</v>
      </c>
    </row>
  </sheetData>
  <mergeCells count="19">
    <mergeCell ref="B37:F37"/>
    <mergeCell ref="D28:D36"/>
    <mergeCell ref="E28:E36"/>
    <mergeCell ref="F28:F36"/>
    <mergeCell ref="A1:F1"/>
    <mergeCell ref="A2:F2"/>
    <mergeCell ref="A4:F4"/>
    <mergeCell ref="A28:A36"/>
    <mergeCell ref="C28:C36"/>
    <mergeCell ref="C6:F6"/>
    <mergeCell ref="B6:B7"/>
    <mergeCell ref="A6:A7"/>
    <mergeCell ref="B8:F8"/>
    <mergeCell ref="D15:D21"/>
    <mergeCell ref="E15:E21"/>
    <mergeCell ref="A15:A21"/>
    <mergeCell ref="C15:C21"/>
    <mergeCell ref="F15:F21"/>
    <mergeCell ref="B26:F26"/>
  </mergeCells>
  <phoneticPr fontId="7" type="noConversion"/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indexed="18"/>
  </sheetPr>
  <dimension ref="A1:CU99"/>
  <sheetViews>
    <sheetView showZeros="0" topLeftCell="BS1" workbookViewId="0">
      <selection activeCell="CL26" sqref="CL26"/>
    </sheetView>
  </sheetViews>
  <sheetFormatPr defaultRowHeight="15" outlineLevelCol="1"/>
  <cols>
    <col min="1" max="1" width="7.42578125" customWidth="1"/>
    <col min="2" max="2" width="90.85546875" customWidth="1"/>
    <col min="3" max="3" width="27.85546875" customWidth="1"/>
    <col min="4" max="21" width="9" outlineLevel="1"/>
    <col min="22" max="91" width="9" style="144" outlineLevel="1"/>
    <col min="92" max="92" width="9" outlineLevel="1"/>
    <col min="93" max="97" width="9" style="144" outlineLevel="1"/>
    <col min="98" max="98" width="11.140625" style="144" customWidth="1"/>
  </cols>
  <sheetData>
    <row r="1" spans="1:99" ht="18.75">
      <c r="B1" s="1" t="s">
        <v>0</v>
      </c>
    </row>
    <row r="2" spans="1:99" ht="18.75">
      <c r="B2" s="1" t="s">
        <v>1</v>
      </c>
    </row>
    <row r="3" spans="1:99">
      <c r="B3" s="2"/>
    </row>
    <row r="4" spans="1:99" ht="15.75">
      <c r="B4" s="3" t="s">
        <v>2</v>
      </c>
    </row>
    <row r="5" spans="1:99" ht="19.5" thickBot="1">
      <c r="A5" s="4"/>
    </row>
    <row r="6" spans="1:99" ht="94.5" thickBot="1">
      <c r="A6" s="5" t="s">
        <v>3</v>
      </c>
      <c r="B6" s="5" t="s">
        <v>4</v>
      </c>
      <c r="C6" s="5" t="s">
        <v>5</v>
      </c>
      <c r="D6" s="5" t="s">
        <v>60</v>
      </c>
      <c r="E6" s="5" t="s">
        <v>60</v>
      </c>
      <c r="F6" s="5" t="s">
        <v>60</v>
      </c>
      <c r="G6" s="5" t="s">
        <v>60</v>
      </c>
      <c r="H6" s="5" t="s">
        <v>60</v>
      </c>
      <c r="I6" s="5" t="s">
        <v>60</v>
      </c>
      <c r="J6" s="5" t="s">
        <v>60</v>
      </c>
      <c r="K6" s="5" t="s">
        <v>60</v>
      </c>
      <c r="L6" s="5" t="s">
        <v>60</v>
      </c>
      <c r="M6" s="5" t="s">
        <v>60</v>
      </c>
      <c r="N6" s="5" t="s">
        <v>60</v>
      </c>
      <c r="O6" s="5" t="s">
        <v>60</v>
      </c>
      <c r="P6" s="5" t="s">
        <v>60</v>
      </c>
      <c r="Q6" s="5" t="s">
        <v>60</v>
      </c>
      <c r="R6" s="5" t="s">
        <v>60</v>
      </c>
      <c r="S6" s="5" t="s">
        <v>60</v>
      </c>
      <c r="T6" s="5" t="s">
        <v>61</v>
      </c>
      <c r="U6" s="5" t="s">
        <v>61</v>
      </c>
      <c r="V6" s="145" t="s">
        <v>62</v>
      </c>
      <c r="W6" s="145" t="s">
        <v>62</v>
      </c>
      <c r="X6" s="145" t="s">
        <v>62</v>
      </c>
      <c r="Y6" s="145" t="s">
        <v>62</v>
      </c>
      <c r="Z6" s="145" t="s">
        <v>62</v>
      </c>
      <c r="AA6" s="145" t="s">
        <v>62</v>
      </c>
      <c r="AB6" s="145" t="s">
        <v>63</v>
      </c>
      <c r="AC6" s="145" t="s">
        <v>63</v>
      </c>
      <c r="AD6" s="145" t="s">
        <v>63</v>
      </c>
      <c r="AE6" s="145" t="s">
        <v>63</v>
      </c>
      <c r="AF6" s="145" t="s">
        <v>63</v>
      </c>
      <c r="AG6" s="145" t="s">
        <v>63</v>
      </c>
      <c r="AH6" s="145" t="s">
        <v>64</v>
      </c>
      <c r="AI6" s="145" t="s">
        <v>64</v>
      </c>
      <c r="AJ6" s="145" t="s">
        <v>64</v>
      </c>
      <c r="AK6" s="145" t="s">
        <v>64</v>
      </c>
      <c r="AL6" s="145" t="s">
        <v>64</v>
      </c>
      <c r="AM6" s="145" t="s">
        <v>65</v>
      </c>
      <c r="AN6" s="145" t="s">
        <v>65</v>
      </c>
      <c r="AO6" s="145" t="s">
        <v>65</v>
      </c>
      <c r="AP6" s="145" t="s">
        <v>65</v>
      </c>
      <c r="AQ6" s="145" t="s">
        <v>65</v>
      </c>
      <c r="AR6" s="145" t="s">
        <v>65</v>
      </c>
      <c r="AS6" s="145" t="s">
        <v>65</v>
      </c>
      <c r="AT6" s="145" t="s">
        <v>65</v>
      </c>
      <c r="AU6" s="145" t="s">
        <v>65</v>
      </c>
      <c r="AV6" s="145" t="s">
        <v>65</v>
      </c>
      <c r="AW6" s="145" t="s">
        <v>66</v>
      </c>
      <c r="AX6" s="145" t="s">
        <v>66</v>
      </c>
      <c r="AY6" s="145" t="s">
        <v>66</v>
      </c>
      <c r="AZ6" s="145" t="s">
        <v>66</v>
      </c>
      <c r="BA6" s="145" t="s">
        <v>66</v>
      </c>
      <c r="BB6" s="145" t="s">
        <v>66</v>
      </c>
      <c r="BC6" s="145" t="s">
        <v>66</v>
      </c>
      <c r="BD6" s="145" t="s">
        <v>66</v>
      </c>
      <c r="BE6" s="145" t="s">
        <v>66</v>
      </c>
      <c r="BF6" s="145" t="s">
        <v>66</v>
      </c>
      <c r="BG6" s="145" t="s">
        <v>66</v>
      </c>
      <c r="BH6" s="145" t="s">
        <v>66</v>
      </c>
      <c r="BI6" s="145" t="s">
        <v>66</v>
      </c>
      <c r="BJ6" s="145" t="s">
        <v>66</v>
      </c>
      <c r="BK6" s="145" t="s">
        <v>66</v>
      </c>
      <c r="BL6" s="145" t="s">
        <v>66</v>
      </c>
      <c r="BM6" s="145" t="s">
        <v>66</v>
      </c>
      <c r="BN6" s="145" t="s">
        <v>66</v>
      </c>
      <c r="BO6" s="145" t="s">
        <v>66</v>
      </c>
      <c r="BP6" s="145" t="s">
        <v>66</v>
      </c>
      <c r="BQ6" s="145" t="s">
        <v>66</v>
      </c>
      <c r="BR6" s="145" t="s">
        <v>66</v>
      </c>
      <c r="BS6" s="145" t="s">
        <v>66</v>
      </c>
      <c r="BT6" s="145" t="s">
        <v>66</v>
      </c>
      <c r="BU6" s="145" t="s">
        <v>66</v>
      </c>
      <c r="BV6" s="145" t="s">
        <v>66</v>
      </c>
      <c r="BW6" s="145" t="s">
        <v>66</v>
      </c>
      <c r="BX6" s="145" t="s">
        <v>66</v>
      </c>
      <c r="BY6" s="145" t="s">
        <v>66</v>
      </c>
      <c r="BZ6" s="145" t="s">
        <v>67</v>
      </c>
      <c r="CA6" s="145" t="s">
        <v>67</v>
      </c>
      <c r="CB6" s="145" t="s">
        <v>67</v>
      </c>
      <c r="CC6" s="145" t="s">
        <v>67</v>
      </c>
      <c r="CD6" s="145" t="s">
        <v>67</v>
      </c>
      <c r="CE6" s="145" t="s">
        <v>68</v>
      </c>
      <c r="CF6" s="145" t="s">
        <v>69</v>
      </c>
      <c r="CG6" s="145" t="s">
        <v>69</v>
      </c>
      <c r="CH6" s="145" t="s">
        <v>69</v>
      </c>
      <c r="CI6" s="145" t="s">
        <v>70</v>
      </c>
      <c r="CJ6" s="145" t="s">
        <v>70</v>
      </c>
      <c r="CK6" s="145" t="s">
        <v>70</v>
      </c>
      <c r="CL6" s="145" t="s">
        <v>70</v>
      </c>
      <c r="CM6" s="145" t="s">
        <v>70</v>
      </c>
      <c r="CN6" s="5" t="s">
        <v>71</v>
      </c>
      <c r="CO6" s="145" t="s">
        <v>72</v>
      </c>
      <c r="CP6" s="145" t="s">
        <v>73</v>
      </c>
      <c r="CQ6" s="145" t="s">
        <v>73</v>
      </c>
      <c r="CR6" s="145" t="s">
        <v>73</v>
      </c>
      <c r="CS6" s="145" t="s">
        <v>73</v>
      </c>
      <c r="CT6" s="145" t="s">
        <v>73</v>
      </c>
      <c r="CU6" s="5"/>
    </row>
    <row r="7" spans="1:99" s="19" customFormat="1" ht="19.5" thickBot="1">
      <c r="A7" s="14"/>
      <c r="B7" s="15"/>
      <c r="C7" s="6"/>
      <c r="D7" s="19" t="s">
        <v>74</v>
      </c>
      <c r="E7" s="19" t="s">
        <v>75</v>
      </c>
      <c r="F7" s="19" t="s">
        <v>76</v>
      </c>
      <c r="G7" s="19" t="s">
        <v>77</v>
      </c>
      <c r="H7" s="19" t="s">
        <v>78</v>
      </c>
      <c r="I7" s="19" t="s">
        <v>79</v>
      </c>
      <c r="J7" s="19" t="s">
        <v>80</v>
      </c>
      <c r="K7" s="19" t="s">
        <v>81</v>
      </c>
      <c r="L7" s="19" t="s">
        <v>82</v>
      </c>
      <c r="M7" s="19" t="s">
        <v>83</v>
      </c>
      <c r="N7" s="19" t="s">
        <v>84</v>
      </c>
      <c r="O7" s="19" t="s">
        <v>85</v>
      </c>
      <c r="P7" s="19" t="s">
        <v>86</v>
      </c>
      <c r="Q7" s="19" t="s">
        <v>87</v>
      </c>
      <c r="R7" s="19" t="s">
        <v>88</v>
      </c>
      <c r="S7" s="19" t="s">
        <v>89</v>
      </c>
      <c r="T7" s="19" t="s">
        <v>90</v>
      </c>
      <c r="U7" s="19" t="s">
        <v>91</v>
      </c>
      <c r="V7" s="144">
        <v>2</v>
      </c>
      <c r="W7" s="144">
        <v>6</v>
      </c>
      <c r="X7" s="144">
        <v>10</v>
      </c>
      <c r="Y7" s="144">
        <v>4</v>
      </c>
      <c r="Z7" s="146">
        <v>31</v>
      </c>
      <c r="AA7" s="146">
        <v>35</v>
      </c>
      <c r="AB7" s="146">
        <v>28</v>
      </c>
      <c r="AC7" s="146">
        <v>30</v>
      </c>
      <c r="AD7" s="146">
        <v>43</v>
      </c>
      <c r="AE7" s="146">
        <v>60</v>
      </c>
      <c r="AF7" s="146">
        <v>62</v>
      </c>
      <c r="AG7" s="146">
        <v>64</v>
      </c>
      <c r="AH7" s="146" t="s">
        <v>92</v>
      </c>
      <c r="AI7" s="146" t="s">
        <v>93</v>
      </c>
      <c r="AJ7" s="146" t="s">
        <v>94</v>
      </c>
      <c r="AK7" s="146" t="s">
        <v>95</v>
      </c>
      <c r="AL7" s="146" t="s">
        <v>96</v>
      </c>
      <c r="AM7" s="146">
        <v>10</v>
      </c>
      <c r="AN7" s="146">
        <v>11</v>
      </c>
      <c r="AO7" s="146">
        <v>13</v>
      </c>
      <c r="AP7" s="146">
        <v>29</v>
      </c>
      <c r="AQ7" s="146">
        <v>16</v>
      </c>
      <c r="AR7" s="146" t="s">
        <v>97</v>
      </c>
      <c r="AS7" s="146" t="s">
        <v>98</v>
      </c>
      <c r="AT7" s="146" t="s">
        <v>99</v>
      </c>
      <c r="AU7" s="146" t="s">
        <v>100</v>
      </c>
      <c r="AV7" s="146" t="s">
        <v>101</v>
      </c>
      <c r="AW7" s="146" t="s">
        <v>102</v>
      </c>
      <c r="AX7" s="146" t="s">
        <v>103</v>
      </c>
      <c r="AY7" s="146" t="s">
        <v>104</v>
      </c>
      <c r="AZ7" s="146" t="s">
        <v>77</v>
      </c>
      <c r="BA7" s="146" t="s">
        <v>105</v>
      </c>
      <c r="BB7" s="146" t="s">
        <v>78</v>
      </c>
      <c r="BC7" s="146" t="s">
        <v>106</v>
      </c>
      <c r="BD7" s="146" t="s">
        <v>79</v>
      </c>
      <c r="BE7" s="146" t="s">
        <v>107</v>
      </c>
      <c r="BF7" s="146" t="s">
        <v>81</v>
      </c>
      <c r="BG7" s="146" t="s">
        <v>82</v>
      </c>
      <c r="BH7" s="146" t="s">
        <v>108</v>
      </c>
      <c r="BI7" s="146" t="s">
        <v>83</v>
      </c>
      <c r="BJ7" s="146" t="s">
        <v>109</v>
      </c>
      <c r="BK7" s="146" t="s">
        <v>84</v>
      </c>
      <c r="BL7" s="146" t="s">
        <v>110</v>
      </c>
      <c r="BM7" s="146" t="s">
        <v>111</v>
      </c>
      <c r="BN7" s="146" t="s">
        <v>112</v>
      </c>
      <c r="BO7" s="146" t="s">
        <v>85</v>
      </c>
      <c r="BP7" s="146" t="s">
        <v>113</v>
      </c>
      <c r="BQ7" s="146" t="s">
        <v>114</v>
      </c>
      <c r="BR7" s="146" t="s">
        <v>115</v>
      </c>
      <c r="BS7" s="146" t="s">
        <v>116</v>
      </c>
      <c r="BT7" s="146" t="s">
        <v>117</v>
      </c>
      <c r="BU7" s="146" t="s">
        <v>118</v>
      </c>
      <c r="BV7" s="146" t="s">
        <v>87</v>
      </c>
      <c r="BW7" s="146" t="s">
        <v>119</v>
      </c>
      <c r="BX7" s="146" t="s">
        <v>91</v>
      </c>
      <c r="BY7" s="146" t="s">
        <v>120</v>
      </c>
      <c r="BZ7" s="146">
        <v>2</v>
      </c>
      <c r="CA7" s="146">
        <v>6</v>
      </c>
      <c r="CB7" s="146">
        <v>8</v>
      </c>
      <c r="CC7" s="146">
        <v>10</v>
      </c>
      <c r="CD7" s="146">
        <v>12</v>
      </c>
      <c r="CE7" s="146" t="s">
        <v>76</v>
      </c>
      <c r="CF7" s="146" t="s">
        <v>104</v>
      </c>
      <c r="CG7" s="146" t="s">
        <v>121</v>
      </c>
      <c r="CH7" s="146" t="s">
        <v>117</v>
      </c>
      <c r="CI7" s="146" t="s">
        <v>74</v>
      </c>
      <c r="CJ7" s="146" t="s">
        <v>121</v>
      </c>
      <c r="CK7" s="146" t="s">
        <v>85</v>
      </c>
      <c r="CL7" s="146" t="s">
        <v>117</v>
      </c>
      <c r="CM7" s="146" t="s">
        <v>86</v>
      </c>
      <c r="CN7" s="19">
        <v>12</v>
      </c>
      <c r="CO7" s="146" t="s">
        <v>74</v>
      </c>
      <c r="CP7" s="146" t="s">
        <v>121</v>
      </c>
      <c r="CQ7" s="146" t="s">
        <v>85</v>
      </c>
      <c r="CR7" s="146" t="s">
        <v>117</v>
      </c>
      <c r="CS7" s="146" t="s">
        <v>86</v>
      </c>
      <c r="CT7" s="146" t="s">
        <v>87</v>
      </c>
    </row>
    <row r="8" spans="1:99" ht="19.5" thickBot="1">
      <c r="A8" s="14"/>
      <c r="B8" t="s">
        <v>122</v>
      </c>
      <c r="C8" s="6"/>
      <c r="D8">
        <f>'Управителю (Форма)'!D49</f>
        <v>4.008</v>
      </c>
      <c r="E8">
        <f>'Управителю (Форма)'!E49</f>
        <v>3.4089999999999998</v>
      </c>
      <c r="F8">
        <f>'Управителю (Форма)'!F49</f>
        <v>3.5779999999999998</v>
      </c>
      <c r="G8">
        <f>'Управителю (Форма)'!G49</f>
        <v>4.0279999999999996</v>
      </c>
      <c r="H8">
        <f>'Управителю (Форма)'!H49</f>
        <v>3.698</v>
      </c>
      <c r="I8">
        <f>'Управителю (Форма)'!I49</f>
        <v>3.996</v>
      </c>
      <c r="J8">
        <f>'Управителю (Форма)'!J49</f>
        <v>3.694</v>
      </c>
      <c r="K8">
        <f>'Управителю (Форма)'!K49</f>
        <v>4.01</v>
      </c>
      <c r="L8">
        <f>'Управителю (Форма)'!L49</f>
        <v>3.9220000000000002</v>
      </c>
      <c r="M8">
        <f>'Управителю (Форма)'!M49</f>
        <v>3.6909999999999998</v>
      </c>
      <c r="N8">
        <f>'Управителю (Форма)'!N49</f>
        <v>3.8620000000000001</v>
      </c>
      <c r="O8">
        <f>'Управителю (Форма)'!O49</f>
        <v>4.016</v>
      </c>
      <c r="P8">
        <f>'Управителю (Форма)'!P49</f>
        <v>4.0270000000000001</v>
      </c>
      <c r="Q8">
        <f>'Управителю (Форма)'!Q49</f>
        <v>3.99</v>
      </c>
      <c r="R8">
        <f>'Управителю (Форма)'!R49</f>
        <v>3.6080000000000001</v>
      </c>
      <c r="S8">
        <f>'Управителю (Форма)'!S49</f>
        <v>4.0199999999999996</v>
      </c>
      <c r="T8">
        <f>'Управителю (Форма)'!T49</f>
        <v>3.8580000000000001</v>
      </c>
      <c r="U8">
        <f>'Управителю (Форма)'!U49</f>
        <v>4.0380000000000003</v>
      </c>
      <c r="V8" s="144">
        <f>'Управителю (Форма)'!V49</f>
        <v>3.7189999999999999</v>
      </c>
      <c r="W8" s="144">
        <f>'Управителю (Форма)'!W49</f>
        <v>3.6419999999999999</v>
      </c>
      <c r="X8" s="144">
        <f>'Управителю (Форма)'!X49</f>
        <v>3.7610000000000001</v>
      </c>
      <c r="Y8" s="144">
        <f>'Управителю (Форма)'!Y49</f>
        <v>3.7149999999999999</v>
      </c>
      <c r="Z8" s="144">
        <f>'Управителю (Форма)'!Z49</f>
        <v>3.5150000000000001</v>
      </c>
      <c r="AA8" s="144">
        <f>'Управителю (Форма)'!AA49</f>
        <v>3.488</v>
      </c>
      <c r="AB8" s="144">
        <f>'Управителю (Форма)'!AB49</f>
        <v>3.403</v>
      </c>
      <c r="AC8" s="144">
        <f>'Управителю (Форма)'!AC49</f>
        <v>3.548</v>
      </c>
      <c r="AD8" s="144">
        <f>'Управителю (Форма)'!AD49</f>
        <v>1.6279999999999999</v>
      </c>
      <c r="AE8" s="144">
        <f>'Управителю (Форма)'!AE49</f>
        <v>1.234</v>
      </c>
      <c r="AF8" s="144">
        <f>'Управителю (Форма)'!AF49</f>
        <v>1.0760000000000001</v>
      </c>
      <c r="AG8" s="144">
        <f>'Управителю (Форма)'!AG49</f>
        <v>1.1659999999999999</v>
      </c>
      <c r="AH8" s="144">
        <f>'Управителю (Форма)'!AH49</f>
        <v>3.504</v>
      </c>
      <c r="AI8" s="144">
        <f>'Управителю (Форма)'!AI49</f>
        <v>3.569</v>
      </c>
      <c r="AJ8" s="144">
        <f>'Управителю (Форма)'!AJ49</f>
        <v>3.3940000000000001</v>
      </c>
      <c r="AK8" s="144">
        <f>'Управителю (Форма)'!AK49</f>
        <v>3.4140000000000001</v>
      </c>
      <c r="AL8" s="144">
        <f>'Управителю (Форма)'!AL49</f>
        <v>3.9969999999999999</v>
      </c>
      <c r="AM8" s="144">
        <f>'Управителю (Форма)'!AM49</f>
        <v>1.244</v>
      </c>
      <c r="AN8" s="144">
        <f>'Управителю (Форма)'!AN49</f>
        <v>3.9119999999999999</v>
      </c>
      <c r="AO8" s="144">
        <f>'Управителю (Форма)'!AO49</f>
        <v>4.1379999999999999</v>
      </c>
      <c r="AP8" s="144">
        <f>'Управителю (Форма)'!AP49</f>
        <v>3.3039999999999998</v>
      </c>
      <c r="AQ8" s="144">
        <f>'Управителю (Форма)'!AQ49</f>
        <v>1.034</v>
      </c>
      <c r="AR8" s="144">
        <f>'Управителю (Форма)'!AR49</f>
        <v>1.2310000000000001</v>
      </c>
      <c r="AS8" s="144">
        <f>'Управителю (Форма)'!AS49</f>
        <v>3.5710000000000002</v>
      </c>
      <c r="AT8" s="144">
        <f>'Управителю (Форма)'!AT49</f>
        <v>2.544</v>
      </c>
      <c r="AU8" s="144">
        <f>'Управителю (Форма)'!AU49</f>
        <v>2.4529999999999998</v>
      </c>
      <c r="AV8" s="144">
        <f>'Управителю (Форма)'!AV49</f>
        <v>2.5449999999999999</v>
      </c>
      <c r="AW8" s="144">
        <f>'Управителю (Форма)'!AW49</f>
        <v>3.5659999999999998</v>
      </c>
      <c r="AX8" s="144">
        <f>'Управителю (Форма)'!AX49</f>
        <v>3.5739999999999998</v>
      </c>
      <c r="AY8" s="144">
        <f>'Управителю (Форма)'!AY49</f>
        <v>3.5089999999999999</v>
      </c>
      <c r="AZ8" s="144">
        <f>'Управителю (Форма)'!AZ49</f>
        <v>3.7250000000000001</v>
      </c>
      <c r="BA8" s="144">
        <f>'Управителю (Форма)'!BA49</f>
        <v>3.9169999999999998</v>
      </c>
      <c r="BB8" s="144">
        <f>'Управителю (Форма)'!BB49</f>
        <v>3.569</v>
      </c>
      <c r="BC8" s="144">
        <f>'Управителю (Форма)'!BC49</f>
        <v>3.4180000000000001</v>
      </c>
      <c r="BD8" s="144">
        <f>'Управителю (Форма)'!BD49</f>
        <v>3.653</v>
      </c>
      <c r="BE8" s="144">
        <f>'Управителю (Форма)'!BE49</f>
        <v>3.8119999999999998</v>
      </c>
      <c r="BF8" s="144">
        <f>'Управителю (Форма)'!BF49</f>
        <v>3.4630000000000001</v>
      </c>
      <c r="BG8" s="144">
        <f>'Управителю (Форма)'!BG49</f>
        <v>3.871</v>
      </c>
      <c r="BH8" s="144">
        <f>'Управителю (Форма)'!BH49</f>
        <v>3.9649999999999999</v>
      </c>
      <c r="BI8" s="144">
        <f>'Управителю (Форма)'!BI49</f>
        <v>3.9289999999999998</v>
      </c>
      <c r="BJ8" s="144">
        <f>'Управителю (Форма)'!BJ49</f>
        <v>3.6</v>
      </c>
      <c r="BK8" s="144">
        <f>'Управителю (Форма)'!BK49</f>
        <v>3.9489999999999998</v>
      </c>
      <c r="BL8" s="144">
        <f>'Управителю (Форма)'!BL49</f>
        <v>3.9169999999999998</v>
      </c>
      <c r="BM8" s="144">
        <f>'Управителю (Форма)'!BM49</f>
        <v>3.8090000000000002</v>
      </c>
      <c r="BN8" s="144">
        <f>'Управителю (Форма)'!BN49</f>
        <v>3.91</v>
      </c>
      <c r="BO8" s="144">
        <f>'Управителю (Форма)'!BO49</f>
        <v>3.1480000000000001</v>
      </c>
      <c r="BP8" s="144">
        <f>'Управителю (Форма)'!BP49</f>
        <v>3.887</v>
      </c>
      <c r="BQ8" s="144">
        <f>'Управителю (Форма)'!BQ49</f>
        <v>3.8980000000000001</v>
      </c>
      <c r="BR8" s="144">
        <f>'Управителю (Форма)'!BR49</f>
        <v>3.8149999999999999</v>
      </c>
      <c r="BS8" s="144">
        <f>'Управителю (Форма)'!BS49</f>
        <v>3.3940000000000001</v>
      </c>
      <c r="BT8" s="144">
        <f>'Управителю (Форма)'!BT49</f>
        <v>3.9649999999999999</v>
      </c>
      <c r="BU8" s="144">
        <f>'Управителю (Форма)'!BU49</f>
        <v>3.1760000000000002</v>
      </c>
      <c r="BV8" s="144">
        <f>'Управителю (Форма)'!BV49</f>
        <v>3.581</v>
      </c>
      <c r="BW8" s="144">
        <f>'Управителю (Форма)'!BW49</f>
        <v>3.5630000000000002</v>
      </c>
      <c r="BX8" s="144">
        <f>'Управителю (Форма)'!BX49</f>
        <v>3.508</v>
      </c>
      <c r="BY8" s="144">
        <f>'Управителю (Форма)'!BY49</f>
        <v>3.66</v>
      </c>
      <c r="BZ8" s="144">
        <f>'Управителю (Форма)'!BZ49</f>
        <v>3.4940000000000002</v>
      </c>
      <c r="CA8" s="144">
        <f>'Управителю (Форма)'!CA49</f>
        <v>3.577</v>
      </c>
      <c r="CB8" s="144">
        <f>'Управителю (Форма)'!CB49</f>
        <v>3.5150000000000001</v>
      </c>
      <c r="CC8" s="144">
        <f>'Управителю (Форма)'!CC49</f>
        <v>3.774</v>
      </c>
      <c r="CD8" s="144">
        <f>'Управителю (Форма)'!CD49</f>
        <v>3.7679999999999998</v>
      </c>
      <c r="CE8" s="144">
        <f>'Управителю (Форма)'!CE49</f>
        <v>1.752</v>
      </c>
      <c r="CF8" s="144">
        <f>'Управителю (Форма)'!CF49</f>
        <v>4.0069999999999997</v>
      </c>
      <c r="CG8" s="144">
        <f>'Управителю (Форма)'!CG49</f>
        <v>3.4009999999999998</v>
      </c>
      <c r="CH8" s="144">
        <f>'Управителю (Форма)'!CH49</f>
        <v>3.3780000000000001</v>
      </c>
      <c r="CI8" s="144">
        <f>'Управителю (Форма)'!CI49</f>
        <v>3.992</v>
      </c>
      <c r="CJ8" s="144">
        <f>'Управителю (Форма)'!CJ49</f>
        <v>3.976</v>
      </c>
      <c r="CK8" s="144">
        <f>'Управителю (Форма)'!CK49</f>
        <v>3.887</v>
      </c>
      <c r="CL8" s="144">
        <f>'Управителю (Форма)'!CL49</f>
        <v>4.03</v>
      </c>
      <c r="CM8" s="144">
        <f>'Управителю (Форма)'!CM49</f>
        <v>3.8220000000000001</v>
      </c>
      <c r="CN8">
        <f>'Управителю (Форма)'!CN49</f>
        <v>1.24</v>
      </c>
      <c r="CO8" s="144">
        <f>'Управителю (Форма)'!CO49</f>
        <v>2.8420000000000001</v>
      </c>
      <c r="CP8" s="144">
        <f>'Управителю (Форма)'!CP49</f>
        <v>3.206</v>
      </c>
      <c r="CQ8" s="144">
        <f>'Управителю (Форма)'!CQ49</f>
        <v>3.2280000000000002</v>
      </c>
      <c r="CR8" s="144">
        <f>'Управителю (Форма)'!CR49</f>
        <v>3.34</v>
      </c>
      <c r="CS8" s="144">
        <f>'Управителю (Форма)'!CS49</f>
        <v>2.996</v>
      </c>
      <c r="CT8" s="144">
        <f>'Управителю (Форма)'!CT49</f>
        <v>3.0659999999999998</v>
      </c>
    </row>
    <row r="9" spans="1:99" ht="19.5" thickBot="1">
      <c r="A9" s="14"/>
      <c r="B9" t="s">
        <v>123</v>
      </c>
      <c r="C9" s="6"/>
      <c r="D9">
        <f>'Управителю (Форма)'!D53</f>
        <v>4.008</v>
      </c>
      <c r="E9">
        <f>'Управителю (Форма)'!E53</f>
        <v>4.5529999999999999</v>
      </c>
      <c r="F9">
        <f>'Управителю (Форма)'!F53</f>
        <v>3.5779999999999998</v>
      </c>
      <c r="G9">
        <f>'Управителю (Форма)'!G53</f>
        <v>4.0279999999999996</v>
      </c>
      <c r="H9">
        <f>'Управителю (Форма)'!H53</f>
        <v>3.698</v>
      </c>
      <c r="I9">
        <f>'Управителю (Форма)'!I53</f>
        <v>3.996</v>
      </c>
      <c r="J9">
        <f>'Управителю (Форма)'!J53</f>
        <v>3.694</v>
      </c>
      <c r="K9">
        <f>'Управителю (Форма)'!K53</f>
        <v>4.01</v>
      </c>
      <c r="L9">
        <f>'Управителю (Форма)'!L53</f>
        <v>3.9220000000000002</v>
      </c>
      <c r="M9">
        <f>'Управителю (Форма)'!M53</f>
        <v>3.6909999999999998</v>
      </c>
      <c r="N9">
        <f>'Управителю (Форма)'!N53</f>
        <v>3.8620000000000001</v>
      </c>
      <c r="O9">
        <f>'Управителю (Форма)'!O53</f>
        <v>4.016</v>
      </c>
      <c r="P9">
        <f>'Управителю (Форма)'!P53</f>
        <v>4.0270000000000001</v>
      </c>
      <c r="Q9">
        <f>'Управителю (Форма)'!Q53</f>
        <v>3.99</v>
      </c>
      <c r="R9">
        <f>'Управителю (Форма)'!R53</f>
        <v>4.4580000000000002</v>
      </c>
      <c r="S9">
        <f>'Управителю (Форма)'!S53</f>
        <v>4.0199999999999996</v>
      </c>
      <c r="T9">
        <f>'Управителю (Форма)'!T53</f>
        <v>4.3659999999999997</v>
      </c>
      <c r="U9">
        <f>'Управителю (Форма)'!U53</f>
        <v>4.0380000000000003</v>
      </c>
      <c r="V9" s="144">
        <f>'Управителю (Форма)'!V53</f>
        <v>4.3090000000000002</v>
      </c>
      <c r="W9" s="144">
        <f>'Управителю (Форма)'!W53</f>
        <v>4.4119999999999999</v>
      </c>
      <c r="X9" s="144">
        <f>'Управителю (Форма)'!X53</f>
        <v>4.5940000000000003</v>
      </c>
      <c r="Y9" s="144">
        <f>'Управителю (Форма)'!Y53</f>
        <v>4.3390000000000004</v>
      </c>
      <c r="Z9" s="144">
        <f>'Управителю (Форма)'!Z53</f>
        <v>4.2880000000000003</v>
      </c>
      <c r="AA9" s="144">
        <f>'Управителю (Форма)'!AA53</f>
        <v>4.16</v>
      </c>
      <c r="AB9" s="144">
        <f>'Управителю (Форма)'!AB53</f>
        <v>4.4160000000000004</v>
      </c>
      <c r="AC9" s="144">
        <f>'Управителю (Форма)'!AC53</f>
        <v>4.423</v>
      </c>
      <c r="AD9" s="144">
        <f>'Управителю (Форма)'!AD53</f>
        <v>1.6279999999999999</v>
      </c>
      <c r="AE9" s="144">
        <f>'Управителю (Форма)'!AE53</f>
        <v>1.234</v>
      </c>
      <c r="AF9" s="144">
        <f>'Управителю (Форма)'!AF53</f>
        <v>1.0760000000000001</v>
      </c>
      <c r="AG9" s="144">
        <f>'Управителю (Форма)'!AG53</f>
        <v>1.1659999999999999</v>
      </c>
      <c r="AH9" s="144">
        <f>'Управителю (Форма)'!AH53</f>
        <v>3.504</v>
      </c>
      <c r="AI9" s="144">
        <f>'Управителю (Форма)'!AI53</f>
        <v>3.569</v>
      </c>
      <c r="AJ9" s="144">
        <f>'Управителю (Форма)'!AJ53</f>
        <v>3.3940000000000001</v>
      </c>
      <c r="AK9" s="144">
        <f>'Управителю (Форма)'!AK53</f>
        <v>4.5439999999999996</v>
      </c>
      <c r="AL9" s="144">
        <f>'Управителю (Форма)'!AL53</f>
        <v>3.9969999999999999</v>
      </c>
      <c r="AM9" s="144">
        <f>'Управителю (Форма)'!AM53</f>
        <v>1.244</v>
      </c>
      <c r="AN9" s="144">
        <f>'Управителю (Форма)'!AN53</f>
        <v>3.9119999999999999</v>
      </c>
      <c r="AO9" s="144">
        <f>'Управителю (Форма)'!AO53</f>
        <v>4.1379999999999999</v>
      </c>
      <c r="AP9" s="144">
        <f>'Управителю (Форма)'!AP53</f>
        <v>3.3039999999999998</v>
      </c>
      <c r="AQ9" s="144">
        <f>'Управителю (Форма)'!AQ53</f>
        <v>1.034</v>
      </c>
      <c r="AR9" s="144">
        <f>'Управителю (Форма)'!AR53</f>
        <v>1.2310000000000001</v>
      </c>
      <c r="AS9" s="144">
        <f>'Управителю (Форма)'!AS53</f>
        <v>3.5710000000000002</v>
      </c>
      <c r="AT9" s="144">
        <f>'Управителю (Форма)'!AT53</f>
        <v>3.3140000000000001</v>
      </c>
      <c r="AU9" s="144">
        <f>'Управителю (Форма)'!AU53</f>
        <v>3.274</v>
      </c>
      <c r="AV9" s="144">
        <f>'Управителю (Форма)'!AV53</f>
        <v>3.35</v>
      </c>
      <c r="AW9" s="144">
        <f>'Управителю (Форма)'!AW53</f>
        <v>4.6980000000000004</v>
      </c>
      <c r="AX9" s="144">
        <f>'Управителю (Форма)'!AX53</f>
        <v>4.6189999999999998</v>
      </c>
      <c r="AY9" s="144">
        <f>'Управителю (Форма)'!AY53</f>
        <v>3.5089999999999999</v>
      </c>
      <c r="AZ9" s="144">
        <f>'Управителю (Форма)'!AZ53</f>
        <v>3.7250000000000001</v>
      </c>
      <c r="BA9" s="144">
        <f>'Управителю (Форма)'!BA53</f>
        <v>3.9169999999999998</v>
      </c>
      <c r="BB9" s="144">
        <f>'Управителю (Форма)'!BB53</f>
        <v>4.234</v>
      </c>
      <c r="BC9" s="144">
        <f>'Управителю (Форма)'!BC53</f>
        <v>4.6429999999999998</v>
      </c>
      <c r="BD9" s="144">
        <f>'Управителю (Форма)'!BD53</f>
        <v>3.653</v>
      </c>
      <c r="BE9" s="144">
        <f>'Управителю (Форма)'!BE53</f>
        <v>3.8119999999999998</v>
      </c>
      <c r="BF9" s="144">
        <f>'Управителю (Форма)'!BF53</f>
        <v>3.4630000000000001</v>
      </c>
      <c r="BG9" s="144">
        <f>'Управителю (Форма)'!BG53</f>
        <v>3.871</v>
      </c>
      <c r="BH9" s="144">
        <f>'Управителю (Форма)'!BH53</f>
        <v>3.9649999999999999</v>
      </c>
      <c r="BI9" s="144">
        <f>'Управителю (Форма)'!BI53</f>
        <v>3.9289999999999998</v>
      </c>
      <c r="BJ9" s="144">
        <f>'Управителю (Форма)'!BJ53</f>
        <v>3.6</v>
      </c>
      <c r="BK9" s="144">
        <f>'Управителю (Форма)'!BK53</f>
        <v>3.9489999999999998</v>
      </c>
      <c r="BL9" s="144">
        <f>'Управителю (Форма)'!BL53</f>
        <v>3.9169999999999998</v>
      </c>
      <c r="BM9" s="144">
        <f>'Управителю (Форма)'!BM53</f>
        <v>4.484</v>
      </c>
      <c r="BN9" s="144">
        <f>'Управителю (Форма)'!BN53</f>
        <v>3.91</v>
      </c>
      <c r="BO9" s="144">
        <f>'Управителю (Форма)'!BO53</f>
        <v>3.1480000000000001</v>
      </c>
      <c r="BP9" s="144">
        <f>'Управителю (Форма)'!BP53</f>
        <v>3.887</v>
      </c>
      <c r="BQ9" s="144">
        <f>'Управителю (Форма)'!BQ53</f>
        <v>3.8980000000000001</v>
      </c>
      <c r="BR9" s="144">
        <f>'Управителю (Форма)'!BR53</f>
        <v>3.8149999999999999</v>
      </c>
      <c r="BS9" s="144">
        <f>'Управителю (Форма)'!BS53</f>
        <v>3.3940000000000001</v>
      </c>
      <c r="BT9" s="144">
        <f>'Управителю (Форма)'!BT53</f>
        <v>3.9649999999999999</v>
      </c>
      <c r="BU9" s="144">
        <f>'Управителю (Форма)'!BU53</f>
        <v>3.1760000000000002</v>
      </c>
      <c r="BV9" s="144">
        <f>'Управителю (Форма)'!BV53</f>
        <v>3.581</v>
      </c>
      <c r="BW9" s="144">
        <f>'Управителю (Форма)'!BW53</f>
        <v>3.5630000000000002</v>
      </c>
      <c r="BX9" s="144">
        <f>'Управителю (Форма)'!BX53</f>
        <v>4.37</v>
      </c>
      <c r="BY9" s="144">
        <f>'Управителю (Форма)'!BY53</f>
        <v>4.3479999999999999</v>
      </c>
      <c r="BZ9" s="144">
        <f>'Управителю (Форма)'!BZ53</f>
        <v>4.3369999999999997</v>
      </c>
      <c r="CA9" s="144">
        <f>'Управителю (Форма)'!CA53</f>
        <v>4.2969999999999997</v>
      </c>
      <c r="CB9" s="144">
        <f>'Управителю (Форма)'!CB53</f>
        <v>4.18</v>
      </c>
      <c r="CC9" s="144">
        <f>'Управителю (Форма)'!CC53</f>
        <v>4.5679999999999996</v>
      </c>
      <c r="CD9" s="144">
        <f>'Управителю (Форма)'!CD53</f>
        <v>4.5640000000000001</v>
      </c>
      <c r="CE9" s="144">
        <f>'Управителю (Форма)'!CE53</f>
        <v>1.752</v>
      </c>
      <c r="CF9" s="144">
        <f>'Управителю (Форма)'!CF53</f>
        <v>4.0069999999999997</v>
      </c>
      <c r="CG9" s="144">
        <f>'Управителю (Форма)'!CG53</f>
        <v>4.194</v>
      </c>
      <c r="CH9" s="144">
        <f>'Управителю (Форма)'!CH53</f>
        <v>4.1710000000000003</v>
      </c>
      <c r="CI9" s="144">
        <f>'Управителю (Форма)'!CI53</f>
        <v>3.992</v>
      </c>
      <c r="CJ9" s="144">
        <f>'Управителю (Форма)'!CJ53</f>
        <v>3.976</v>
      </c>
      <c r="CK9" s="144">
        <f>'Управителю (Форма)'!CK53</f>
        <v>3.887</v>
      </c>
      <c r="CL9" s="144">
        <f>'Управителю (Форма)'!CL53</f>
        <v>4.03</v>
      </c>
      <c r="CM9" s="144">
        <f>'Управителю (Форма)'!CM53</f>
        <v>3.8220000000000001</v>
      </c>
      <c r="CN9">
        <f>'Управителю (Форма)'!CN53</f>
        <v>1.24</v>
      </c>
      <c r="CO9" s="144">
        <f>'Управителю (Форма)'!CO53</f>
        <v>2.8420000000000001</v>
      </c>
      <c r="CP9" s="144">
        <f>'Управителю (Форма)'!CP54</f>
        <v>2.4580000000000002</v>
      </c>
      <c r="CQ9" s="144">
        <f>'Управителю (Форма)'!CQ53</f>
        <v>3.2280000000000002</v>
      </c>
      <c r="CR9" s="144">
        <f>'Управителю (Форма)'!CR53</f>
        <v>3.34</v>
      </c>
      <c r="CS9" s="144">
        <f>'Управителю (Форма)'!CS53</f>
        <v>2.996</v>
      </c>
      <c r="CT9" s="144">
        <f>'Управителю (Форма)'!CT53</f>
        <v>3.0659999999999998</v>
      </c>
    </row>
    <row r="10" spans="1:99" ht="19.5" thickBot="1">
      <c r="A10" s="14"/>
      <c r="B10" t="s">
        <v>124</v>
      </c>
      <c r="C10" s="6"/>
      <c r="D10">
        <f>'Управителю (Форма)'!D54</f>
        <v>2.8610000000000002</v>
      </c>
      <c r="E10">
        <f>'Управителю (Форма)'!E54</f>
        <v>2.484</v>
      </c>
      <c r="F10">
        <f>'Управителю (Форма)'!F54</f>
        <v>2.95</v>
      </c>
      <c r="G10">
        <f>'Управителю (Форма)'!G54</f>
        <v>3.302</v>
      </c>
      <c r="H10">
        <f>'Управителю (Форма)'!H54</f>
        <v>2.8079999999999998</v>
      </c>
      <c r="I10">
        <f>'Управителю (Форма)'!I54</f>
        <v>3.1789999999999998</v>
      </c>
      <c r="J10">
        <f>'Управителю (Форма)'!J54</f>
        <v>2.4359999999999999</v>
      </c>
      <c r="K10">
        <f>'Управителю (Форма)'!K54</f>
        <v>3.2770000000000001</v>
      </c>
      <c r="L10">
        <f>'Управителю (Форма)'!L54</f>
        <v>3.11</v>
      </c>
      <c r="M10">
        <f>'Управителю (Форма)'!M54</f>
        <v>2.9630000000000001</v>
      </c>
      <c r="N10">
        <f>'Управителю (Форма)'!N54</f>
        <v>3.0529999999999999</v>
      </c>
      <c r="O10">
        <f>'Управителю (Форма)'!O54</f>
        <v>2.7759999999999998</v>
      </c>
      <c r="P10">
        <f>'Управителю (Форма)'!P54</f>
        <v>3.26</v>
      </c>
      <c r="Q10">
        <f>'Управителю (Форма)'!Q54</f>
        <v>2.617</v>
      </c>
      <c r="R10">
        <f>'Управителю (Форма)'!R54</f>
        <v>2.65</v>
      </c>
      <c r="S10">
        <f>'Управителю (Форма)'!S54</f>
        <v>3.1680000000000001</v>
      </c>
      <c r="T10">
        <f>'Управителю (Форма)'!T54</f>
        <v>2.9889999999999999</v>
      </c>
      <c r="U10">
        <f>'Управителю (Форма)'!U54</f>
        <v>3.1779999999999999</v>
      </c>
      <c r="V10" s="144">
        <f>'Управителю (Форма)'!V54</f>
        <v>1.8180000000000001</v>
      </c>
      <c r="W10" s="144">
        <f>'Управителю (Форма)'!W54</f>
        <v>1.696</v>
      </c>
      <c r="X10" s="144">
        <f>'Управителю (Форма)'!X54</f>
        <v>1.792</v>
      </c>
      <c r="Y10" s="144">
        <f>'Управителю (Форма)'!Y54</f>
        <v>1.7330000000000001</v>
      </c>
      <c r="Z10" s="144">
        <f>'Управителю (Форма)'!Z54</f>
        <v>1.603</v>
      </c>
      <c r="AA10" s="144">
        <f>'Управителю (Форма)'!AA54</f>
        <v>1.5669999999999999</v>
      </c>
      <c r="AB10" s="144">
        <f>'Управителю (Форма)'!AB54</f>
        <v>1.488</v>
      </c>
      <c r="AC10" s="144">
        <f>'Управителю (Форма)'!AC54</f>
        <v>1.579</v>
      </c>
      <c r="AD10" s="144">
        <f>'Управителю (Форма)'!AD54</f>
        <v>1.1619999999999999</v>
      </c>
      <c r="AE10" s="144">
        <f>'Управителю (Форма)'!AE54</f>
        <v>0.60799999999999998</v>
      </c>
      <c r="AF10" s="144">
        <f>'Управителю (Форма)'!AF54</f>
        <v>0.63200000000000001</v>
      </c>
      <c r="AG10" s="144">
        <f>'Управителю (Форма)'!AG54</f>
        <v>0.61899999999999999</v>
      </c>
      <c r="AH10" s="144">
        <f>'Управителю (Форма)'!AH54</f>
        <v>2.1970000000000001</v>
      </c>
      <c r="AI10" s="144">
        <f>'Управителю (Форма)'!AI54</f>
        <v>2.4969999999999999</v>
      </c>
      <c r="AJ10" s="144">
        <f>'Управителю (Форма)'!AJ54</f>
        <v>2.2810000000000001</v>
      </c>
      <c r="AK10" s="144">
        <f>'Управителю (Форма)'!AK54</f>
        <v>2.2389999999999999</v>
      </c>
      <c r="AL10" s="144">
        <f>'Управителю (Форма)'!AL54</f>
        <v>2.5840000000000001</v>
      </c>
      <c r="AM10" s="144">
        <f>'Управителю (Форма)'!AM54</f>
        <v>0.54400000000000004</v>
      </c>
      <c r="AN10" s="144">
        <f>'Управителю (Форма)'!AN54</f>
        <v>1.9319999999999999</v>
      </c>
      <c r="AO10" s="144">
        <f>'Управителю (Форма)'!AO54</f>
        <v>2.0619999999999998</v>
      </c>
      <c r="AP10" s="144">
        <f>'Управителю (Форма)'!AP54</f>
        <v>1.7569999999999999</v>
      </c>
      <c r="AQ10" s="144">
        <f>'Управителю (Форма)'!AQ54</f>
        <v>0.70199999999999996</v>
      </c>
      <c r="AR10" s="144">
        <f>'Управителю (Форма)'!AR54</f>
        <v>0.53800000000000003</v>
      </c>
      <c r="AS10" s="144">
        <f>'Управителю (Форма)'!AS54</f>
        <v>1.768</v>
      </c>
      <c r="AT10" s="144">
        <f>'Управителю (Форма)'!AT54</f>
        <v>1.9019999999999999</v>
      </c>
      <c r="AU10" s="144">
        <f>'Управителю (Форма)'!AU54</f>
        <v>1.778</v>
      </c>
      <c r="AV10" s="144">
        <f>'Управителю (Форма)'!AV54</f>
        <v>1.897</v>
      </c>
      <c r="AW10" s="144">
        <f>'Управителю (Форма)'!AW54</f>
        <v>2.4500000000000002</v>
      </c>
      <c r="AX10" s="144">
        <f>'Управителю (Форма)'!AX54</f>
        <v>2.66</v>
      </c>
      <c r="AY10" s="144">
        <f>'Управителю (Форма)'!AY54</f>
        <v>2.0569999999999999</v>
      </c>
      <c r="AZ10" s="144">
        <f>'Управителю (Форма)'!AZ54</f>
        <v>2.956</v>
      </c>
      <c r="BA10" s="144">
        <f>'Управителю (Форма)'!BA54</f>
        <v>3.0379999999999998</v>
      </c>
      <c r="BB10" s="144">
        <f>'Управителю (Форма)'!BB54</f>
        <v>2.5009999999999999</v>
      </c>
      <c r="BC10" s="144">
        <f>'Управителю (Форма)'!BC54</f>
        <v>2.2480000000000002</v>
      </c>
      <c r="BD10" s="144">
        <f>'Управителю (Форма)'!BD54</f>
        <v>2.8919999999999999</v>
      </c>
      <c r="BE10" s="144">
        <f>'Управителю (Форма)'!BE54</f>
        <v>2.9820000000000002</v>
      </c>
      <c r="BF10" s="144">
        <f>'Управителю (Форма)'!BF54</f>
        <v>2.665</v>
      </c>
      <c r="BG10" s="144">
        <f>'Управителю (Форма)'!BG54</f>
        <v>3.0790000000000002</v>
      </c>
      <c r="BH10" s="144">
        <f>'Управителю (Форма)'!BH54</f>
        <v>2.9660000000000002</v>
      </c>
      <c r="BI10" s="144">
        <f>'Управителю (Форма)'!BI54</f>
        <v>3.145</v>
      </c>
      <c r="BJ10" s="144">
        <f>'Управителю (Форма)'!BJ54</f>
        <v>2.7679999999999998</v>
      </c>
      <c r="BK10" s="144">
        <f>'Управителю (Форма)'!BK54</f>
        <v>2.9950000000000001</v>
      </c>
      <c r="BL10" s="144">
        <f>'Управителю (Форма)'!BL54</f>
        <v>3.0670000000000002</v>
      </c>
      <c r="BM10" s="144">
        <f>'Управителю (Форма)'!BM54</f>
        <v>2.94</v>
      </c>
      <c r="BN10" s="144">
        <f>'Управителю (Форма)'!BM54</f>
        <v>2.94</v>
      </c>
      <c r="BO10" s="144">
        <f>'Управителю (Форма)'!BO54</f>
        <v>2.3210000000000002</v>
      </c>
      <c r="BP10" s="144">
        <f>'Управителю (Форма)'!BP54</f>
        <v>3.1970000000000001</v>
      </c>
      <c r="BQ10" s="144">
        <f>'Управителю (Форма)'!BQ54</f>
        <v>3.0840000000000001</v>
      </c>
      <c r="BR10" s="144">
        <f>'Управителю (Форма)'!BR54</f>
        <v>2.6230000000000002</v>
      </c>
      <c r="BS10" s="144">
        <f>'Управителю (Форма)'!BS54</f>
        <v>2.6150000000000002</v>
      </c>
      <c r="BT10" s="144">
        <f>'Управителю (Форма)'!BT54</f>
        <v>3.1760000000000002</v>
      </c>
      <c r="BU10" s="144">
        <f>'Управителю (Форма)'!BU54</f>
        <v>2.552</v>
      </c>
      <c r="BV10" s="144">
        <f>'Управителю (Форма)'!BV54</f>
        <v>2.9140000000000001</v>
      </c>
      <c r="BW10" s="144">
        <f>'Управителю (Форма)'!BW54</f>
        <v>2.1379999999999999</v>
      </c>
      <c r="BX10" s="144">
        <f>'Управителю (Форма)'!BX54</f>
        <v>2.6150000000000002</v>
      </c>
      <c r="BY10" s="144">
        <f>'Управителю (Форма)'!BY54</f>
        <v>2.718</v>
      </c>
      <c r="BZ10" s="144">
        <f>'Управителю (Форма)'!BZ54</f>
        <v>1.528</v>
      </c>
      <c r="CA10" s="144">
        <f>'Управителю (Форма)'!CA54</f>
        <v>1.6579999999999999</v>
      </c>
      <c r="CB10" s="144">
        <f>'Управителю (Форма)'!CB54</f>
        <v>1.6990000000000001</v>
      </c>
      <c r="CC10" s="144">
        <f>'Управителю (Форма)'!CC54</f>
        <v>1.5640000000000001</v>
      </c>
      <c r="CD10" s="144">
        <f>'Управителю (Форма)'!CD54</f>
        <v>1.64</v>
      </c>
      <c r="CE10" s="144">
        <f>'Управителю (Форма)'!CE54</f>
        <v>0.97699999999999998</v>
      </c>
      <c r="CF10" s="144">
        <f>'Управителю (Форма)'!CF54</f>
        <v>3.1880000000000002</v>
      </c>
      <c r="CG10" s="144">
        <f>'Управителю (Форма)'!CG54</f>
        <v>2.1560000000000001</v>
      </c>
      <c r="CH10" s="144">
        <f>'Управителю (Форма)'!CH54</f>
        <v>2.137</v>
      </c>
      <c r="CI10" s="144">
        <f>'Управителю (Форма)'!CI54</f>
        <v>2.93</v>
      </c>
      <c r="CJ10" s="144">
        <f>'Управителю (Форма)'!CJ54</f>
        <v>3.0779999999999998</v>
      </c>
      <c r="CK10" s="144">
        <f>'Управителю (Форма)'!CK54</f>
        <v>3.1480000000000001</v>
      </c>
      <c r="CL10" s="144">
        <f>'Управителю (Форма)'!CL54</f>
        <v>3.2229999999999999</v>
      </c>
      <c r="CM10" s="144">
        <f>'Управителю (Форма)'!CM54</f>
        <v>3.0009999999999999</v>
      </c>
      <c r="CN10">
        <f>'Управителю (Форма)'!CN54</f>
        <v>0.65</v>
      </c>
      <c r="CO10" s="144">
        <f>'Управителю (Форма)'!CO54</f>
        <v>2.3820000000000001</v>
      </c>
      <c r="CP10" s="144">
        <f>'Управителю (Форма)'!CP54</f>
        <v>2.4580000000000002</v>
      </c>
      <c r="CQ10" s="144">
        <f>'Управителю (Форма)'!CQ54</f>
        <v>2.4590000000000001</v>
      </c>
      <c r="CR10" s="144">
        <f>'Управителю (Форма)'!CR54</f>
        <v>2.419</v>
      </c>
      <c r="CS10" s="144">
        <f>'Управителю (Форма)'!CS54</f>
        <v>2.4609999999999999</v>
      </c>
      <c r="CT10" s="144">
        <f>'Управителю (Форма)'!CT54</f>
        <v>2.262</v>
      </c>
    </row>
    <row r="11" spans="1:99" ht="19.5" thickBot="1">
      <c r="A11" s="7"/>
      <c r="B11" s="174" t="s">
        <v>125</v>
      </c>
      <c r="C11" s="175"/>
      <c r="D11">
        <f>'Управителю (Форма)'!D58</f>
        <v>2.988</v>
      </c>
      <c r="E11">
        <f>'Управителю (Форма)'!E58</f>
        <v>2.927</v>
      </c>
      <c r="F11">
        <f>'Управителю (Форма)'!F58</f>
        <v>3.16</v>
      </c>
      <c r="G11">
        <f>'Управителю (Форма)'!G58</f>
        <v>3.536</v>
      </c>
      <c r="H11">
        <f>'Управителю (Форма)'!H58</f>
        <v>2.9089999999999998</v>
      </c>
      <c r="I11">
        <f>'Управителю (Форма)'!I58</f>
        <v>3.4129999999999998</v>
      </c>
      <c r="J11">
        <f>'Управителю (Форма)'!J58</f>
        <v>2.569</v>
      </c>
      <c r="K11">
        <f>'Управителю (Форма)'!K58</f>
        <v>3.5089999999999999</v>
      </c>
      <c r="L11">
        <f>'Управителю (Форма)'!L58</f>
        <v>3.4180000000000001</v>
      </c>
      <c r="M11">
        <f>'Управителю (Форма)'!M58</f>
        <v>3.2280000000000002</v>
      </c>
      <c r="N11">
        <f>'Управителю (Форма)'!N58</f>
        <v>3.3290000000000002</v>
      </c>
      <c r="O11">
        <f>'Управителю (Форма)'!O58</f>
        <v>2.9119999999999999</v>
      </c>
      <c r="P11">
        <f>'Управителю (Форма)'!P58</f>
        <v>3.4569999999999999</v>
      </c>
      <c r="Q11">
        <f>'Управителю (Форма)'!Q58</f>
        <v>2.8420000000000001</v>
      </c>
      <c r="R11">
        <f>'Управителю (Форма)'!R58</f>
        <v>3.0960000000000001</v>
      </c>
      <c r="S11">
        <f>'Управителю (Форма)'!S58</f>
        <v>3.3559999999999999</v>
      </c>
      <c r="T11">
        <f>'Управителю (Форма)'!T58</f>
        <v>3.234</v>
      </c>
      <c r="U11">
        <f>'Управителю (Форма)'!U58</f>
        <v>3.3519999999999999</v>
      </c>
      <c r="V11" s="144">
        <f>'Управителю (Форма)'!V58</f>
        <v>2.056</v>
      </c>
      <c r="W11" s="144">
        <f>'Управителю (Форма)'!W58</f>
        <v>1.9610000000000001</v>
      </c>
      <c r="X11" s="144">
        <f>'Управителю (Форма)'!X58</f>
        <v>2.0379999999999998</v>
      </c>
      <c r="Y11" s="144">
        <f>'Управителю (Форма)'!Y58</f>
        <v>2.0259999999999998</v>
      </c>
      <c r="Z11" s="144">
        <f>'Управителю (Форма)'!Z58</f>
        <v>1.8859999999999999</v>
      </c>
      <c r="AA11" s="144">
        <f>'Управителю (Форма)'!AA58</f>
        <v>1.82</v>
      </c>
      <c r="AB11" s="144">
        <f>'Управителю (Форма)'!AB58</f>
        <v>1.7649999999999999</v>
      </c>
      <c r="AC11" s="144">
        <f>'Управителю (Форма)'!AC58</f>
        <v>1.877</v>
      </c>
      <c r="AD11" s="144">
        <f>'Управителю (Форма)'!AD58</f>
        <v>1.1619999999999999</v>
      </c>
      <c r="AE11" s="144">
        <f>'Управителю (Форма)'!AE58</f>
        <v>0.60799999999999998</v>
      </c>
      <c r="AF11" s="144">
        <f>'Управителю (Форма)'!AF58</f>
        <v>0.63200000000000001</v>
      </c>
      <c r="AG11" s="144">
        <f>'Управителю (Форма)'!AG58</f>
        <v>0.61899999999999999</v>
      </c>
      <c r="AH11" s="144">
        <f>'Управителю (Форма)'!AH58</f>
        <v>2.4380000000000002</v>
      </c>
      <c r="AI11" s="144">
        <f>'Управителю (Форма)'!AI58</f>
        <v>2.6320000000000001</v>
      </c>
      <c r="AJ11" s="144">
        <f>'Управителю (Форма)'!AJ58</f>
        <v>2.3889999999999998</v>
      </c>
      <c r="AK11" s="144">
        <f>'Управителю (Форма)'!AK58</f>
        <v>2.4500000000000002</v>
      </c>
      <c r="AL11" s="144">
        <f>'Управителю (Форма)'!AL58</f>
        <v>2.81</v>
      </c>
      <c r="AM11" s="144">
        <f>'Управителю (Форма)'!AM58</f>
        <v>0.54400000000000004</v>
      </c>
      <c r="AN11" s="144">
        <f>'Управителю (Форма)'!AN58</f>
        <v>1.9319999999999999</v>
      </c>
      <c r="AO11" s="144">
        <f>'Управителю (Форма)'!AO58</f>
        <v>2.125</v>
      </c>
      <c r="AP11" s="144">
        <f>'Управителю (Форма)'!AP58</f>
        <v>1.7569999999999999</v>
      </c>
      <c r="AQ11" s="144">
        <f>'Управителю (Форма)'!AQ58</f>
        <v>0.70199999999999996</v>
      </c>
      <c r="AR11" s="144">
        <f>'Управителю (Форма)'!AR58</f>
        <v>0.53800000000000003</v>
      </c>
      <c r="AS11" s="144">
        <f>'Управителю (Форма)'!AS58</f>
        <v>1.964</v>
      </c>
      <c r="AT11" s="144">
        <f>'Управителю (Форма)'!AT58</f>
        <v>2.2029999999999998</v>
      </c>
      <c r="AU11" s="144">
        <f>'Управителю (Форма)'!AU58</f>
        <v>2.1120000000000001</v>
      </c>
      <c r="AV11" s="144">
        <f>'Управителю (Форма)'!AV58</f>
        <v>2.2040000000000002</v>
      </c>
      <c r="AW11" s="144">
        <f>'Управителю (Форма)'!AW58</f>
        <v>2.875</v>
      </c>
      <c r="AX11" s="144">
        <f>'Управителю (Форма)'!AX58</f>
        <v>3.07</v>
      </c>
      <c r="AY11" s="144">
        <f>'Управителю (Форма)'!AY58</f>
        <v>2.2120000000000002</v>
      </c>
      <c r="AZ11" s="144">
        <f>'Управителю (Форма)'!AZ58</f>
        <v>3.169</v>
      </c>
      <c r="BA11" s="144">
        <f>'Управителю (Форма)'!BA58</f>
        <v>3.2959999999999998</v>
      </c>
      <c r="BB11" s="144">
        <f>'Управителю (Форма)'!BB58</f>
        <v>3.1640000000000001</v>
      </c>
      <c r="BC11" s="144">
        <f>'Управителю (Форма)'!BC58</f>
        <v>2.831</v>
      </c>
      <c r="BD11" s="144">
        <f>'Управителю (Форма)'!BD58</f>
        <v>3.1659999999999999</v>
      </c>
      <c r="BE11" s="144">
        <f>'Управителю (Форма)'!BE58</f>
        <v>3.206</v>
      </c>
      <c r="BF11" s="144">
        <f>'Управителю (Форма)'!BF58</f>
        <v>2.9870000000000001</v>
      </c>
      <c r="BG11" s="144">
        <f>'Управителю (Форма)'!BG58</f>
        <v>3.3279999999999998</v>
      </c>
      <c r="BH11" s="144">
        <f>'Управителю (Форма)'!BH58</f>
        <v>3.1850000000000001</v>
      </c>
      <c r="BI11" s="144">
        <f>'Управителю (Форма)'!BI58</f>
        <v>3.3889999999999998</v>
      </c>
      <c r="BJ11" s="144">
        <f>'Управителю (Форма)'!BJ58</f>
        <v>3.0459999999999998</v>
      </c>
      <c r="BK11" s="144">
        <f>'Управителю (Форма)'!BK58</f>
        <v>3.3130000000000002</v>
      </c>
      <c r="BL11" s="144">
        <f>'Управителю (Форма)'!BL58</f>
        <v>3.2280000000000002</v>
      </c>
      <c r="BM11" s="144">
        <f>'Управителю (Форма)'!BM58</f>
        <v>3.3530000000000002</v>
      </c>
      <c r="BN11" s="144">
        <f>'Управителю (Форма)'!BN58</f>
        <v>3.4140000000000001</v>
      </c>
      <c r="BO11" s="144">
        <f>'Управителю (Форма)'!BO58</f>
        <v>2.4119999999999999</v>
      </c>
      <c r="BP11" s="144">
        <f>'Управителю (Форма)'!BP58</f>
        <v>3.4359999999999999</v>
      </c>
      <c r="BQ11" s="144">
        <f>'Управителю (Форма)'!BQ58</f>
        <v>3.3359999999999999</v>
      </c>
      <c r="BR11" s="144">
        <f>'Управителю (Форма)'!BR58</f>
        <v>2.7759999999999998</v>
      </c>
      <c r="BS11" s="144">
        <f>'Управителю (Форма)'!BS58</f>
        <v>2.827</v>
      </c>
      <c r="BT11" s="144">
        <f>'Управителю (Форма)'!BT58</f>
        <v>3.4209999999999998</v>
      </c>
      <c r="BU11" s="144">
        <f>'Управителю (Форма)'!BU58</f>
        <v>2.702</v>
      </c>
      <c r="BV11" s="144">
        <f>'Управителю (Форма)'!BV58</f>
        <v>3.0910000000000002</v>
      </c>
      <c r="BW11" s="144">
        <f>'Управителю (Форма)'!BW58</f>
        <v>2.2930000000000001</v>
      </c>
      <c r="BX11" s="144">
        <f>'Управителю (Форма)'!BX58</f>
        <v>3.0230000000000001</v>
      </c>
      <c r="BY11" s="144">
        <f>'Управителю (Форма)'!BY58</f>
        <v>3.1160000000000001</v>
      </c>
      <c r="BZ11" s="144">
        <f>'Управителю (Форма)'!BZ58</f>
        <v>1.7929999999999999</v>
      </c>
      <c r="CA11" s="144">
        <f>'Управителю (Форма)'!CA58</f>
        <v>1.8819999999999999</v>
      </c>
      <c r="CB11" s="144">
        <f>'Управителю (Форма)'!CB58</f>
        <v>1.931</v>
      </c>
      <c r="CC11" s="144">
        <f>'Управителю (Форма)'!CC58</f>
        <v>1.81</v>
      </c>
      <c r="CD11" s="144">
        <f>'Управителю (Форма)'!CD58</f>
        <v>1.859</v>
      </c>
      <c r="CE11" s="144">
        <f>'Управителю (Форма)'!CE58</f>
        <v>0.97699999999999998</v>
      </c>
      <c r="CF11" s="144">
        <f>'Управителю (Форма)'!CF58</f>
        <v>3.4220000000000002</v>
      </c>
      <c r="CG11" s="144">
        <f>'Управителю (Форма)'!CG58</f>
        <v>2.6360000000000001</v>
      </c>
      <c r="CH11" s="144">
        <f>'Управителю (Форма)'!CH58</f>
        <v>2.617</v>
      </c>
      <c r="CI11" s="144">
        <f>'Управителю (Форма)'!CI58</f>
        <v>3.2160000000000002</v>
      </c>
      <c r="CJ11" s="144">
        <f>'Управителю (Форма)'!CJ58</f>
        <v>3.3650000000000002</v>
      </c>
      <c r="CK11" s="144">
        <f>'Управителю (Форма)'!CK58</f>
        <v>3.4</v>
      </c>
      <c r="CL11" s="144">
        <f>'Управителю (Форма)'!CL58</f>
        <v>3.4340000000000002</v>
      </c>
      <c r="CM11" s="144">
        <f>'Управителю (Форма)'!CM58</f>
        <v>3.2930000000000001</v>
      </c>
      <c r="CN11">
        <f>'Управителю (Форма)'!CN58</f>
        <v>0.65</v>
      </c>
      <c r="CO11" s="144">
        <f>'Управителю (Форма)'!CO58</f>
        <v>2.3820000000000001</v>
      </c>
      <c r="CP11" s="144">
        <f>'Управителю (Форма)'!CP58</f>
        <v>2.4580000000000002</v>
      </c>
      <c r="CQ11" s="144">
        <f>'Управителю (Форма)'!CQ58</f>
        <v>2.4590000000000001</v>
      </c>
      <c r="CR11" s="144">
        <f>'Управителю (Форма)'!CR58</f>
        <v>2.419</v>
      </c>
      <c r="CS11" s="144">
        <f>'Управителю (Форма)'!CS58</f>
        <v>2.4609999999999999</v>
      </c>
      <c r="CT11" s="144">
        <f>'Управителю (Форма)'!CT58</f>
        <v>2.262</v>
      </c>
    </row>
    <row r="12" spans="1:99" ht="19.5" customHeight="1" thickBot="1">
      <c r="A12" s="7">
        <v>1</v>
      </c>
      <c r="B12" s="174" t="s">
        <v>6</v>
      </c>
      <c r="C12" s="175"/>
      <c r="D12" s="13"/>
    </row>
    <row r="13" spans="1:99" ht="19.5" thickBot="1">
      <c r="A13" s="7" t="s">
        <v>7</v>
      </c>
      <c r="B13" s="8" t="s">
        <v>8</v>
      </c>
      <c r="C13" s="9"/>
      <c r="D13" s="47">
        <f>0.608*1.4</f>
        <v>0.85099999999999998</v>
      </c>
      <c r="E13" s="47">
        <f>0.501*1.4</f>
        <v>0.70099999999999996</v>
      </c>
      <c r="F13" s="47">
        <f>0.466*1.4</f>
        <v>0.65200000000000002</v>
      </c>
      <c r="G13" s="47">
        <f>0.424*1.4</f>
        <v>0.59399999999999997</v>
      </c>
      <c r="H13" s="47">
        <f>0.294*1.4</f>
        <v>0.41199999999999998</v>
      </c>
      <c r="I13" s="47">
        <f>0.315*1.4</f>
        <v>0.441</v>
      </c>
      <c r="J13" s="47">
        <f>0.488*1.4</f>
        <v>0.68300000000000005</v>
      </c>
      <c r="K13" s="47">
        <f>0.461*1.4</f>
        <v>0.64500000000000002</v>
      </c>
      <c r="L13" s="47">
        <f>0.407*1.4</f>
        <v>0.56999999999999995</v>
      </c>
      <c r="M13" s="47">
        <f>0.387*1.4</f>
        <v>0.54200000000000004</v>
      </c>
      <c r="N13" s="47">
        <f>0.47*1.4</f>
        <v>0.65800000000000003</v>
      </c>
      <c r="O13" s="47">
        <f>0.457*1.4</f>
        <v>0.64</v>
      </c>
      <c r="P13" s="47">
        <f>0.457*1.4</f>
        <v>0.64</v>
      </c>
      <c r="Q13" s="47">
        <f>0.568*1.4</f>
        <v>0.79500000000000004</v>
      </c>
      <c r="R13" s="47">
        <f>0.559*1.4</f>
        <v>0.78300000000000003</v>
      </c>
      <c r="S13" s="47">
        <f>0.414*1.4</f>
        <v>0.57999999999999996</v>
      </c>
      <c r="T13" s="47">
        <f>0.484*1.4</f>
        <v>0.67800000000000005</v>
      </c>
      <c r="U13" s="47">
        <f>0.409*1.4</f>
        <v>0.57299999999999995</v>
      </c>
      <c r="V13" s="147">
        <f>0.48*1.4</f>
        <v>0.67200000000000004</v>
      </c>
      <c r="W13" s="147">
        <f>0.44*1.4</f>
        <v>0.61599999999999999</v>
      </c>
      <c r="X13" s="147">
        <f>0.465*1.4</f>
        <v>0.65100000000000002</v>
      </c>
      <c r="Y13" s="147">
        <f>0.479*1.4</f>
        <v>0.67100000000000004</v>
      </c>
      <c r="Z13" s="147">
        <f>0.456*1.4</f>
        <v>0.63800000000000001</v>
      </c>
      <c r="AA13" s="147">
        <f>0.415*1.4</f>
        <v>0.58099999999999996</v>
      </c>
      <c r="AB13" s="147">
        <f>0.356*1.4</f>
        <v>0.498</v>
      </c>
      <c r="AC13" s="147">
        <f>0.43*1.4</f>
        <v>0.60199999999999998</v>
      </c>
      <c r="AD13" s="147">
        <v>0</v>
      </c>
      <c r="AE13" s="147">
        <v>0</v>
      </c>
      <c r="AF13" s="147">
        <v>0</v>
      </c>
      <c r="AG13" s="147">
        <v>0</v>
      </c>
      <c r="AH13" s="147">
        <f>0.15*1.4</f>
        <v>0.21</v>
      </c>
      <c r="AI13" s="147">
        <f>0.326*1.4</f>
        <v>0.45600000000000002</v>
      </c>
      <c r="AJ13" s="147">
        <f>0.224*1.4</f>
        <v>0.314</v>
      </c>
      <c r="AK13" s="147">
        <f>0.647*1.4</f>
        <v>0.90600000000000003</v>
      </c>
      <c r="AL13" s="147">
        <f>0.408*1.4</f>
        <v>0.57099999999999995</v>
      </c>
      <c r="AM13" s="147">
        <v>0</v>
      </c>
      <c r="AN13" s="147">
        <f>0.892*1.4</f>
        <v>1.2490000000000001</v>
      </c>
      <c r="AO13" s="147">
        <f>0.482*1.4</f>
        <v>0.67500000000000004</v>
      </c>
      <c r="AP13" s="147">
        <f>0.357*1.4</f>
        <v>0.5</v>
      </c>
      <c r="AQ13" s="147">
        <v>0</v>
      </c>
      <c r="AR13" s="147">
        <v>0</v>
      </c>
      <c r="AS13" s="147">
        <f>0.484*1.4</f>
        <v>0.67800000000000005</v>
      </c>
      <c r="AT13" s="147">
        <f>0.241*1.4</f>
        <v>0.33700000000000002</v>
      </c>
      <c r="AU13" s="147">
        <f>0.251*1.4</f>
        <v>0.35099999999999998</v>
      </c>
      <c r="AV13" s="147">
        <f>0.267*1.4</f>
        <v>0.374</v>
      </c>
      <c r="AW13" s="147">
        <f>0.526*1.4</f>
        <v>0.73599999999999999</v>
      </c>
      <c r="AX13" s="147">
        <f>0.603*1.4</f>
        <v>0.84399999999999997</v>
      </c>
      <c r="AY13" s="147">
        <f>0.341*1.4</f>
        <v>0.47699999999999998</v>
      </c>
      <c r="AZ13" s="147">
        <f>0.426*1.4</f>
        <v>0.59599999999999997</v>
      </c>
      <c r="BA13" s="147">
        <f>1.186*1.4</f>
        <v>1.66</v>
      </c>
      <c r="BB13" s="147">
        <f>0.592*1.4</f>
        <v>0.82899999999999996</v>
      </c>
      <c r="BC13" s="147">
        <f>0.42*1.4</f>
        <v>0.58799999999999997</v>
      </c>
      <c r="BD13" s="147">
        <f>0.519*1.4</f>
        <v>0.72699999999999998</v>
      </c>
      <c r="BE13" s="147">
        <f>0.474*1.4</f>
        <v>0.66400000000000003</v>
      </c>
      <c r="BF13" s="147">
        <f>0.339*1.4</f>
        <v>0.47499999999999998</v>
      </c>
      <c r="BG13" s="147">
        <f>0.666*1.4</f>
        <v>0.93200000000000005</v>
      </c>
      <c r="BH13" s="147">
        <f>0.826*1.4</f>
        <v>1.1559999999999999</v>
      </c>
      <c r="BI13" s="147">
        <f>0.666*1.4</f>
        <v>0.93200000000000005</v>
      </c>
      <c r="BJ13" s="147">
        <f>0.42*1.4</f>
        <v>0.58799999999999997</v>
      </c>
      <c r="BK13" s="147">
        <f>0.743*1.4</f>
        <v>1.04</v>
      </c>
      <c r="BL13" s="147">
        <f>0.487*1.4</f>
        <v>0.68200000000000005</v>
      </c>
      <c r="BM13" s="147">
        <f>0.578*1.4</f>
        <v>0.80900000000000005</v>
      </c>
      <c r="BN13" s="147">
        <f>0.345*1.4</f>
        <v>0.48299999999999998</v>
      </c>
      <c r="BO13" s="147">
        <f>0.119*1.4</f>
        <v>0.16700000000000001</v>
      </c>
      <c r="BP13" s="147">
        <f>0.729*1.4</f>
        <v>1.0209999999999999</v>
      </c>
      <c r="BQ13" s="147">
        <f>0.667*1.4</f>
        <v>0.93400000000000005</v>
      </c>
      <c r="BR13" s="147">
        <f>0.379*1.4</f>
        <v>0.53100000000000003</v>
      </c>
      <c r="BS13" s="147">
        <f>0.395*1.4</f>
        <v>0.55300000000000005</v>
      </c>
      <c r="BT13" s="147">
        <f>0.33*1.4</f>
        <v>0.46200000000000002</v>
      </c>
      <c r="BU13" s="147">
        <f>0.4*1.4</f>
        <v>0.56000000000000005</v>
      </c>
      <c r="BV13" s="147">
        <f>0.282*1.4</f>
        <v>0.39500000000000002</v>
      </c>
      <c r="BW13" s="147">
        <f>0.36*1.4</f>
        <v>0.504</v>
      </c>
      <c r="BX13" s="147">
        <f>0.412*1.4</f>
        <v>0.57699999999999996</v>
      </c>
      <c r="BY13" s="147">
        <f>0.61*1.4</f>
        <v>0.85399999999999998</v>
      </c>
      <c r="BZ13" s="147">
        <f>0.454*1.4</f>
        <v>0.63600000000000001</v>
      </c>
      <c r="CA13" s="147">
        <f>0.493*1.4</f>
        <v>0.69</v>
      </c>
      <c r="CB13" s="147">
        <f>0.5*1.4</f>
        <v>0.7</v>
      </c>
      <c r="CC13" s="147">
        <f>0.459*1.4</f>
        <v>0.64300000000000002</v>
      </c>
      <c r="CD13" s="147">
        <f>0.516*1.4</f>
        <v>0.72199999999999998</v>
      </c>
      <c r="CE13" s="147">
        <v>0</v>
      </c>
      <c r="CF13" s="147">
        <f>0.459*1.4</f>
        <v>0.64300000000000002</v>
      </c>
      <c r="CG13" s="147">
        <f>0.679*1.4</f>
        <v>0.95099999999999996</v>
      </c>
      <c r="CH13" s="147">
        <f>0.627*1.4</f>
        <v>0.878</v>
      </c>
      <c r="CI13" s="147">
        <f>0.316*1.4</f>
        <v>0.442</v>
      </c>
      <c r="CJ13" s="147">
        <f>0.427*1.4</f>
        <v>0.59799999999999998</v>
      </c>
      <c r="CK13" s="147">
        <f>1.06*1.4</f>
        <v>1.484</v>
      </c>
      <c r="CL13" s="147">
        <f>0.598*1.4</f>
        <v>0.83699999999999997</v>
      </c>
      <c r="CM13" s="147">
        <f>1.279*1.4</f>
        <v>1.7909999999999999</v>
      </c>
      <c r="CN13" s="47">
        <v>0</v>
      </c>
      <c r="CO13" s="147">
        <f>0.036*1.4</f>
        <v>0.05</v>
      </c>
      <c r="CP13" s="147">
        <f>0.037*1.4</f>
        <v>5.1999999999999998E-2</v>
      </c>
      <c r="CQ13" s="147">
        <f>0.036*1.4</f>
        <v>0.05</v>
      </c>
      <c r="CR13" s="147">
        <f>0.036*1.4</f>
        <v>0.05</v>
      </c>
      <c r="CS13" s="147">
        <f>0.036*1.4</f>
        <v>0.05</v>
      </c>
      <c r="CT13" s="147">
        <f>0.035*1.4</f>
        <v>4.9000000000000002E-2</v>
      </c>
    </row>
    <row r="14" spans="1:99" ht="19.5" thickBot="1">
      <c r="A14" s="7" t="s">
        <v>9</v>
      </c>
      <c r="B14" s="10" t="s">
        <v>10</v>
      </c>
      <c r="C14" s="9"/>
      <c r="D14" s="47">
        <f>0.091*1.4</f>
        <v>0.127</v>
      </c>
      <c r="E14" s="47">
        <f>0.317*1.4</f>
        <v>0.44400000000000001</v>
      </c>
      <c r="F14" s="47">
        <f>0.149*1.4</f>
        <v>0.20899999999999999</v>
      </c>
      <c r="G14" s="47">
        <f>0.168*1.4</f>
        <v>0.23499999999999999</v>
      </c>
      <c r="H14" s="47">
        <f>0.072*1.4</f>
        <v>0.10100000000000001</v>
      </c>
      <c r="I14" s="47">
        <f>0.168*1.4</f>
        <v>0.23499999999999999</v>
      </c>
      <c r="J14" s="47">
        <f>0.096*1.4</f>
        <v>0.13400000000000001</v>
      </c>
      <c r="K14" s="47">
        <f>0.165*1.4</f>
        <v>0.23100000000000001</v>
      </c>
      <c r="L14" s="47">
        <f>0.219*1.4</f>
        <v>0.307</v>
      </c>
      <c r="M14" s="47">
        <f>0.189*1.4</f>
        <v>0.26500000000000001</v>
      </c>
      <c r="N14" s="47">
        <f>0.197*1.4</f>
        <v>0.27600000000000002</v>
      </c>
      <c r="O14" s="47">
        <f>0.097*1.4</f>
        <v>0.13600000000000001</v>
      </c>
      <c r="P14" s="47">
        <f>0.14*1.4</f>
        <v>0.19600000000000001</v>
      </c>
      <c r="Q14" s="47">
        <f>0.16*1.4</f>
        <v>0.224</v>
      </c>
      <c r="R14" s="47">
        <f>0.319*1.4</f>
        <v>0.44700000000000001</v>
      </c>
      <c r="S14" s="47">
        <f>0.136*1.4</f>
        <v>0.19</v>
      </c>
      <c r="T14" s="47">
        <f>0.174*1.4</f>
        <v>0.24399999999999999</v>
      </c>
      <c r="U14" s="47">
        <f>0.124*1.4</f>
        <v>0.17399999999999999</v>
      </c>
      <c r="V14" s="147">
        <f>0.237*1.4</f>
        <v>0.33200000000000002</v>
      </c>
      <c r="W14" s="147">
        <f>0.265*1.4</f>
        <v>0.371</v>
      </c>
      <c r="X14" s="147">
        <f>0.246*1.4</f>
        <v>0.34399999999999997</v>
      </c>
      <c r="Y14" s="147">
        <f>0.293*1.4</f>
        <v>0.41</v>
      </c>
      <c r="Z14" s="147">
        <f>0.283*1.4</f>
        <v>0.39600000000000002</v>
      </c>
      <c r="AA14" s="147">
        <f>0.254*1.4</f>
        <v>0.35599999999999998</v>
      </c>
      <c r="AB14" s="147">
        <f>0.277*1.4</f>
        <v>0.38800000000000001</v>
      </c>
      <c r="AC14" s="147">
        <f>0.298*1.4</f>
        <v>0.41699999999999998</v>
      </c>
      <c r="AD14" s="147">
        <v>0</v>
      </c>
      <c r="AE14" s="147">
        <v>0</v>
      </c>
      <c r="AF14" s="147">
        <v>0</v>
      </c>
      <c r="AG14" s="147">
        <v>0</v>
      </c>
      <c r="AH14" s="147">
        <f>0.172*1.4</f>
        <v>0.24099999999999999</v>
      </c>
      <c r="AI14" s="147">
        <f>0.095*1.4</f>
        <v>0.13300000000000001</v>
      </c>
      <c r="AJ14" s="147">
        <f>0.077*1.4</f>
        <v>0.108</v>
      </c>
      <c r="AK14" s="147">
        <f>0.15*1.4</f>
        <v>0.21</v>
      </c>
      <c r="AL14" s="147">
        <f>0.162*1.4</f>
        <v>0.22700000000000001</v>
      </c>
      <c r="AM14" s="147">
        <v>0</v>
      </c>
      <c r="AN14" s="147">
        <v>0</v>
      </c>
      <c r="AO14" s="147">
        <f>0.064*1.4</f>
        <v>0.09</v>
      </c>
      <c r="AP14" s="147">
        <v>0</v>
      </c>
      <c r="AQ14" s="147">
        <v>0</v>
      </c>
      <c r="AR14" s="147">
        <v>0</v>
      </c>
      <c r="AS14" s="147">
        <f>0.197*1.4</f>
        <v>0.27600000000000002</v>
      </c>
      <c r="AT14" s="147">
        <f>0.215*1.4</f>
        <v>0.30099999999999999</v>
      </c>
      <c r="AU14" s="147">
        <f>0.238*1.4</f>
        <v>0.33300000000000002</v>
      </c>
      <c r="AV14" s="147">
        <f>0.22*1.4</f>
        <v>0.308</v>
      </c>
      <c r="AW14" s="147">
        <f>0.304*1.4</f>
        <v>0.42599999999999999</v>
      </c>
      <c r="AX14" s="147">
        <f>0.292*1.4</f>
        <v>0.40899999999999997</v>
      </c>
      <c r="AY14" s="147">
        <f>0.111*1.4</f>
        <v>0.155</v>
      </c>
      <c r="AZ14" s="147">
        <f>0.152*1.4</f>
        <v>0.21299999999999999</v>
      </c>
      <c r="BA14" s="147">
        <f>0.184*1.4</f>
        <v>0.25800000000000001</v>
      </c>
      <c r="BB14" s="147">
        <f>0.474*1.4</f>
        <v>0.66400000000000003</v>
      </c>
      <c r="BC14" s="147">
        <f>0.416*1.4</f>
        <v>0.58199999999999996</v>
      </c>
      <c r="BD14" s="147">
        <f>0.196*1.4</f>
        <v>0.27400000000000002</v>
      </c>
      <c r="BE14" s="147">
        <f>0.16*1.4</f>
        <v>0.224</v>
      </c>
      <c r="BF14" s="147">
        <f>0.23*1.4</f>
        <v>0.32200000000000001</v>
      </c>
      <c r="BG14" s="147">
        <f>0.178*1.4</f>
        <v>0.249</v>
      </c>
      <c r="BH14" s="147">
        <f>0.156*1.4</f>
        <v>0.218</v>
      </c>
      <c r="BI14" s="147">
        <f>0.174*1.4</f>
        <v>0.24399999999999999</v>
      </c>
      <c r="BJ14" s="147">
        <f>0.198*1.4</f>
        <v>0.27700000000000002</v>
      </c>
      <c r="BK14" s="147">
        <f>0.228*1.4</f>
        <v>0.31900000000000001</v>
      </c>
      <c r="BL14" s="147">
        <f>0.114*1.4</f>
        <v>0.16</v>
      </c>
      <c r="BM14" s="147">
        <f>0.295*1.4</f>
        <v>0.41299999999999998</v>
      </c>
      <c r="BN14" s="147">
        <f>0.086*1.4</f>
        <v>0.12</v>
      </c>
      <c r="BO14" s="147">
        <f>0.065*1.4</f>
        <v>9.0999999999999998E-2</v>
      </c>
      <c r="BP14" s="147">
        <f>0.17*1.4</f>
        <v>0.23799999999999999</v>
      </c>
      <c r="BQ14" s="147">
        <f>0.179*1.4</f>
        <v>0.251</v>
      </c>
      <c r="BR14" s="147">
        <f>0.109*1.4</f>
        <v>0.153</v>
      </c>
      <c r="BS14" s="147">
        <f>0.152*1.4</f>
        <v>0.21299999999999999</v>
      </c>
      <c r="BT14" s="147">
        <f>0.176*1.4</f>
        <v>0.246</v>
      </c>
      <c r="BU14" s="147">
        <f>0.107*1.4</f>
        <v>0.15</v>
      </c>
      <c r="BV14" s="147">
        <f>0.127*1.4</f>
        <v>0.17799999999999999</v>
      </c>
      <c r="BW14" s="147">
        <f>0.11*1.4</f>
        <v>0.154</v>
      </c>
      <c r="BX14" s="147">
        <f>0.292*1.4</f>
        <v>0.40899999999999997</v>
      </c>
      <c r="BY14" s="147">
        <f>0.285*1.4</f>
        <v>0.39900000000000002</v>
      </c>
      <c r="BZ14" s="147">
        <f>0.266*1.4</f>
        <v>0.372</v>
      </c>
      <c r="CA14" s="147">
        <f>0.223*1.4</f>
        <v>0.312</v>
      </c>
      <c r="CB14" s="147">
        <f>0.231*1.4</f>
        <v>0.32300000000000001</v>
      </c>
      <c r="CC14" s="147">
        <f>0.245*1.4</f>
        <v>0.34300000000000003</v>
      </c>
      <c r="CD14" s="147">
        <f>0.219*1.4</f>
        <v>0.307</v>
      </c>
      <c r="CE14" s="147">
        <v>0</v>
      </c>
      <c r="CF14" s="147">
        <f>0.168*1.4</f>
        <v>0.23499999999999999</v>
      </c>
      <c r="CG14" s="147">
        <f>0.343*1.4</f>
        <v>0.48</v>
      </c>
      <c r="CH14" s="147">
        <f>0.343*1.4</f>
        <v>0.48</v>
      </c>
      <c r="CI14" s="147">
        <f>0.204*1.4</f>
        <v>0.28599999999999998</v>
      </c>
      <c r="CJ14" s="147">
        <f>0.206*1.4</f>
        <v>0.28799999999999998</v>
      </c>
      <c r="CK14" s="147">
        <f>0.18*1.4</f>
        <v>0.252</v>
      </c>
      <c r="CL14" s="147">
        <f>0.15*1.4</f>
        <v>0.21</v>
      </c>
      <c r="CM14" s="147">
        <f>0.207*1.4</f>
        <v>0.28999999999999998</v>
      </c>
      <c r="CN14" s="47">
        <v>0</v>
      </c>
      <c r="CO14" s="147">
        <v>0</v>
      </c>
      <c r="CP14" s="147">
        <v>0</v>
      </c>
      <c r="CQ14" s="147">
        <v>0</v>
      </c>
      <c r="CR14" s="147">
        <v>0</v>
      </c>
      <c r="CS14" s="147">
        <v>0</v>
      </c>
      <c r="CT14" s="147">
        <v>0</v>
      </c>
    </row>
    <row r="15" spans="1:99" ht="38.25" thickBot="1">
      <c r="A15" s="7" t="s">
        <v>11</v>
      </c>
      <c r="B15" s="10" t="s">
        <v>143</v>
      </c>
      <c r="C15" s="9"/>
      <c r="D15" s="47">
        <f>0.659*1.55</f>
        <v>1.0209999999999999</v>
      </c>
      <c r="E15" s="47">
        <f>0.311*1.55</f>
        <v>0.48199999999999998</v>
      </c>
      <c r="F15" s="47">
        <f>0.271*1.55</f>
        <v>0.42</v>
      </c>
      <c r="G15" s="47">
        <f>0.317*1.55</f>
        <v>0.49099999999999999</v>
      </c>
      <c r="H15" s="47">
        <f>0.509*1.55</f>
        <v>0.78900000000000003</v>
      </c>
      <c r="I15" s="47">
        <f>0.376*1.55</f>
        <v>0.58299999999999996</v>
      </c>
      <c r="J15" s="47">
        <f>0.725*1.55</f>
        <v>1.1240000000000001</v>
      </c>
      <c r="K15" s="47">
        <f>0.323*1.55</f>
        <v>0.501</v>
      </c>
      <c r="L15" s="47">
        <f>0.325*1.55</f>
        <v>0.504</v>
      </c>
      <c r="M15" s="47">
        <f>0.299*1.55</f>
        <v>0.46300000000000002</v>
      </c>
      <c r="N15" s="47">
        <f>0.343*1.55</f>
        <v>0.53200000000000003</v>
      </c>
      <c r="O15" s="47">
        <f>0.713*1.55</f>
        <v>1.105</v>
      </c>
      <c r="P15" s="47">
        <f>0.368*1.55</f>
        <v>0.56999999999999995</v>
      </c>
      <c r="Q15" s="47">
        <f>0.741*1.55</f>
        <v>1.149</v>
      </c>
      <c r="R15" s="47">
        <f>0.33*1.55</f>
        <v>0.51200000000000001</v>
      </c>
      <c r="S15" s="47">
        <f>0.428*1.55</f>
        <v>0.66300000000000003</v>
      </c>
      <c r="T15" s="47">
        <f>0.403*1.55</f>
        <v>0.625</v>
      </c>
      <c r="U15" s="47">
        <f>0.443*1.55</f>
        <v>0.68700000000000006</v>
      </c>
      <c r="V15" s="147">
        <f>0.28*1.55</f>
        <v>0.434</v>
      </c>
      <c r="W15" s="147">
        <f>0.302*1.55</f>
        <v>0.46800000000000003</v>
      </c>
      <c r="X15" s="147">
        <f>0.31*1.55</f>
        <v>0.48099999999999998</v>
      </c>
      <c r="Y15" s="147">
        <f>0.299*1.55</f>
        <v>0.46300000000000002</v>
      </c>
      <c r="Z15" s="147">
        <f>0.319*1.55</f>
        <v>0.49399999999999999</v>
      </c>
      <c r="AA15" s="147">
        <f>0.34*1.55</f>
        <v>0.52700000000000002</v>
      </c>
      <c r="AB15" s="147">
        <f>0.328*1.55</f>
        <v>0.50800000000000001</v>
      </c>
      <c r="AC15" s="147">
        <f>0.338*1.55</f>
        <v>0.52400000000000002</v>
      </c>
      <c r="AD15" s="147">
        <f>0.301*1.55</f>
        <v>0.46700000000000003</v>
      </c>
      <c r="AE15" s="147">
        <f>0.404*1.55</f>
        <v>0.626</v>
      </c>
      <c r="AF15" s="147">
        <f>0.287*1.55</f>
        <v>0.44500000000000001</v>
      </c>
      <c r="AG15" s="147">
        <f>0.353*1.55</f>
        <v>0.54700000000000004</v>
      </c>
      <c r="AH15" s="147">
        <f>0.687*1.55</f>
        <v>1.0649999999999999</v>
      </c>
      <c r="AI15" s="147">
        <f>0.605*1.55</f>
        <v>0.93799999999999994</v>
      </c>
      <c r="AJ15" s="147">
        <f>0.648*1.55</f>
        <v>1.004</v>
      </c>
      <c r="AK15" s="147">
        <f>0.622*1.55</f>
        <v>0.96399999999999997</v>
      </c>
      <c r="AL15" s="147">
        <f>0.766*1.55</f>
        <v>1.1870000000000001</v>
      </c>
      <c r="AM15" s="147">
        <f>0.452*1.55</f>
        <v>0.70099999999999996</v>
      </c>
      <c r="AN15" s="147">
        <f>0.593*1.55</f>
        <v>0.91900000000000004</v>
      </c>
      <c r="AO15" s="147">
        <f>0.527*1.55</f>
        <v>0.81699999999999995</v>
      </c>
      <c r="AP15" s="147">
        <f>0.314*1.55</f>
        <v>0.48699999999999999</v>
      </c>
      <c r="AQ15" s="147">
        <f>0.215*1.55</f>
        <v>0.33300000000000002</v>
      </c>
      <c r="AR15" s="147">
        <f>0.448*1.55</f>
        <v>0.69399999999999995</v>
      </c>
      <c r="AS15" s="147">
        <f>0.395*1.55</f>
        <v>0.61199999999999999</v>
      </c>
      <c r="AT15" s="147">
        <f>0.22*1.55</f>
        <v>0.34100000000000003</v>
      </c>
      <c r="AU15" s="147">
        <f>0.22*1.55</f>
        <v>0.34100000000000003</v>
      </c>
      <c r="AV15" s="147">
        <f>0.22*1.55</f>
        <v>0.34100000000000003</v>
      </c>
      <c r="AW15" s="147">
        <f>0.446*1.55</f>
        <v>0.69099999999999995</v>
      </c>
      <c r="AX15" s="147">
        <f>0.325*1.55</f>
        <v>0.504</v>
      </c>
      <c r="AY15" s="147">
        <f>0.837*1.55</f>
        <v>1.2969999999999999</v>
      </c>
      <c r="AZ15" s="147">
        <f>0.359*1.55</f>
        <v>0.55600000000000005</v>
      </c>
      <c r="BA15" s="147">
        <f>0.4*1.55</f>
        <v>0.62</v>
      </c>
      <c r="BB15" s="147">
        <f>0.261*1.55</f>
        <v>0.40500000000000003</v>
      </c>
      <c r="BC15" s="147">
        <f>0.379*1.55</f>
        <v>0.58699999999999997</v>
      </c>
      <c r="BD15" s="147">
        <f>0.314*1.55</f>
        <v>0.48699999999999999</v>
      </c>
      <c r="BE15" s="147">
        <f>0.39*1.55</f>
        <v>0.60499999999999998</v>
      </c>
      <c r="BF15" s="147">
        <f>0.308*1.55</f>
        <v>0.47699999999999998</v>
      </c>
      <c r="BG15" s="147">
        <f>0.35*1.55</f>
        <v>0.54300000000000004</v>
      </c>
      <c r="BH15" s="147">
        <f>0.504*1.55</f>
        <v>0.78100000000000003</v>
      </c>
      <c r="BI15" s="147">
        <f>0.348*1.55</f>
        <v>0.53900000000000003</v>
      </c>
      <c r="BJ15" s="147">
        <f>0.358*1.55</f>
        <v>0.55500000000000005</v>
      </c>
      <c r="BK15" s="147">
        <f>0.41*1.55</f>
        <v>0.63600000000000001</v>
      </c>
      <c r="BL15" s="147">
        <f>0.445*1.55</f>
        <v>0.69</v>
      </c>
      <c r="BM15" s="147">
        <f>0.295*1.55</f>
        <v>0.45700000000000002</v>
      </c>
      <c r="BN15" s="147">
        <f>0.32*1.55</f>
        <v>0.496</v>
      </c>
      <c r="BO15" s="147">
        <f>0.475*1.55</f>
        <v>0.73599999999999999</v>
      </c>
      <c r="BP15" s="147">
        <f>0.29*1.55</f>
        <v>0.45</v>
      </c>
      <c r="BQ15" s="147">
        <f>0.362*1.55</f>
        <v>0.56100000000000005</v>
      </c>
      <c r="BR15" s="147">
        <f>0.67*1.55</f>
        <v>1.0389999999999999</v>
      </c>
      <c r="BS15" s="147">
        <f>0.365*1.55</f>
        <v>0.56599999999999995</v>
      </c>
      <c r="BT15" s="147">
        <f>0.351*1.55</f>
        <v>0.54400000000000004</v>
      </c>
      <c r="BU15" s="147">
        <f>0.305*1.55</f>
        <v>0.47299999999999998</v>
      </c>
      <c r="BV15" s="147">
        <f>0.315*1.55</f>
        <v>0.48799999999999999</v>
      </c>
      <c r="BW15" s="147">
        <f>0.82*1.55</f>
        <v>1.2709999999999999</v>
      </c>
      <c r="BX15" s="147">
        <f>0.313*1.55</f>
        <v>0.48499999999999999</v>
      </c>
      <c r="BY15" s="147">
        <f>0.35*1.55</f>
        <v>0.54300000000000004</v>
      </c>
      <c r="BZ15" s="147">
        <f>0.362*1.55</f>
        <v>0.56100000000000005</v>
      </c>
      <c r="CA15" s="147">
        <f>0.342*1.55</f>
        <v>0.53</v>
      </c>
      <c r="CB15" s="147">
        <f>0.28*1.55</f>
        <v>0.434</v>
      </c>
      <c r="CC15" s="147">
        <f>0.569*1.55</f>
        <v>0.88200000000000001</v>
      </c>
      <c r="CD15" s="147">
        <f>0.519*1.55</f>
        <v>0.80400000000000005</v>
      </c>
      <c r="CE15" s="147">
        <f>0.5*1.55</f>
        <v>0.77500000000000002</v>
      </c>
      <c r="CF15" s="147">
        <f>0.377*1.55</f>
        <v>0.58399999999999996</v>
      </c>
      <c r="CG15" s="147">
        <f>0.493*1.55</f>
        <v>0.76400000000000001</v>
      </c>
      <c r="CH15" s="147">
        <f>0.491*1.55</f>
        <v>0.76100000000000001</v>
      </c>
      <c r="CI15" s="147">
        <f>0.501*1.55</f>
        <v>0.77700000000000002</v>
      </c>
      <c r="CJ15" s="147">
        <f>0.394*1.55</f>
        <v>0.61099999999999999</v>
      </c>
      <c r="CK15" s="147">
        <f>0.314*1.55</f>
        <v>0.48699999999999999</v>
      </c>
      <c r="CL15" s="147">
        <f>0.384*1.55</f>
        <v>0.59499999999999997</v>
      </c>
      <c r="CM15" s="147">
        <f>0.341*1.55</f>
        <v>0.52900000000000003</v>
      </c>
      <c r="CN15" s="47">
        <f>0.38*1.55</f>
        <v>0.58899999999999997</v>
      </c>
      <c r="CO15" s="147">
        <f>0.296*1.55</f>
        <v>0.45900000000000002</v>
      </c>
      <c r="CP15" s="147">
        <f>0.484*1.55</f>
        <v>0.75</v>
      </c>
      <c r="CQ15" s="147">
        <f>0.497*1.55</f>
        <v>0.77</v>
      </c>
      <c r="CR15" s="147">
        <f>0.594*1.55</f>
        <v>0.92100000000000004</v>
      </c>
      <c r="CS15" s="147">
        <f>0.345*1.55</f>
        <v>0.53500000000000003</v>
      </c>
      <c r="CT15" s="147">
        <f>0.519*1.55</f>
        <v>0.80400000000000005</v>
      </c>
    </row>
    <row r="16" spans="1:99" ht="19.5" thickBot="1">
      <c r="A16" s="7" t="s">
        <v>13</v>
      </c>
      <c r="B16" s="8" t="s">
        <v>14</v>
      </c>
      <c r="C16" s="9"/>
      <c r="D16" s="47">
        <f>0.01*1.45</f>
        <v>1.4999999999999999E-2</v>
      </c>
      <c r="E16" s="47">
        <f>0.009*1.45</f>
        <v>1.2999999999999999E-2</v>
      </c>
      <c r="F16" s="47">
        <f>0.007*1.45</f>
        <v>0.01</v>
      </c>
      <c r="G16" s="47">
        <f>0.016*1.45</f>
        <v>2.3E-2</v>
      </c>
      <c r="H16" s="47">
        <f>0.01*1.45</f>
        <v>1.4999999999999999E-2</v>
      </c>
      <c r="I16" s="47">
        <f>0.016*1.45</f>
        <v>2.3E-2</v>
      </c>
      <c r="J16" s="47">
        <f>0.017*1.45</f>
        <v>2.5000000000000001E-2</v>
      </c>
      <c r="K16" s="47">
        <f>0.015*1.45</f>
        <v>2.1999999999999999E-2</v>
      </c>
      <c r="L16" s="47">
        <f>0.019*1.45</f>
        <v>2.8000000000000001E-2</v>
      </c>
      <c r="M16" s="47">
        <f>0.018*1.45</f>
        <v>2.5999999999999999E-2</v>
      </c>
      <c r="N16" s="47">
        <f>0.014*1.45</f>
        <v>0.02</v>
      </c>
      <c r="O16" s="47">
        <f>0.012*1.45</f>
        <v>1.7000000000000001E-2</v>
      </c>
      <c r="P16" s="47">
        <f>0.015*1.45</f>
        <v>2.1999999999999999E-2</v>
      </c>
      <c r="Q16" s="47">
        <f>0.018*1.45</f>
        <v>2.5999999999999999E-2</v>
      </c>
      <c r="R16" s="47">
        <f>0.016*1.45</f>
        <v>2.3E-2</v>
      </c>
      <c r="S16" s="47">
        <f>0.025*1.45</f>
        <v>3.5999999999999997E-2</v>
      </c>
      <c r="T16" s="47">
        <f>0.017*1.45</f>
        <v>2.5000000000000001E-2</v>
      </c>
      <c r="U16" s="47">
        <f>0.01*1.45</f>
        <v>1.4999999999999999E-2</v>
      </c>
      <c r="V16" s="147">
        <f>0.013*1.45</f>
        <v>1.9E-2</v>
      </c>
      <c r="W16" s="147">
        <f>0.012*1.45</f>
        <v>1.7000000000000001E-2</v>
      </c>
      <c r="X16" s="147">
        <f>0.013*1.45</f>
        <v>1.9E-2</v>
      </c>
      <c r="Y16" s="147">
        <f>0.012*1.45</f>
        <v>1.7000000000000001E-2</v>
      </c>
      <c r="Z16" s="147">
        <f>0.014*1.45</f>
        <v>0.02</v>
      </c>
      <c r="AA16" s="147">
        <f>0.015*1.45</f>
        <v>2.1999999999999999E-2</v>
      </c>
      <c r="AB16" s="147">
        <f>0.013*1.45</f>
        <v>1.9E-2</v>
      </c>
      <c r="AC16" s="147">
        <f>0.012*1.45</f>
        <v>1.7000000000000001E-2</v>
      </c>
      <c r="AD16" s="147">
        <v>0</v>
      </c>
      <c r="AE16" s="147">
        <v>0</v>
      </c>
      <c r="AF16" s="147">
        <v>0</v>
      </c>
      <c r="AG16" s="147">
        <v>0</v>
      </c>
      <c r="AH16" s="147">
        <v>0</v>
      </c>
      <c r="AI16" s="147">
        <f>0.001*1.45</f>
        <v>1E-3</v>
      </c>
      <c r="AJ16" s="147">
        <f>0.001*1.45</f>
        <v>1E-3</v>
      </c>
      <c r="AK16" s="147">
        <f>0.012*1.45</f>
        <v>1.7000000000000001E-2</v>
      </c>
      <c r="AL16" s="147">
        <f>0.007*1.45</f>
        <v>0.01</v>
      </c>
      <c r="AM16" s="147">
        <v>0</v>
      </c>
      <c r="AN16" s="147">
        <f>0.004*1.45</f>
        <v>6.0000000000000001E-3</v>
      </c>
      <c r="AO16" s="147">
        <f>0.02*1.45</f>
        <v>2.9000000000000001E-2</v>
      </c>
      <c r="AP16" s="147">
        <v>0</v>
      </c>
      <c r="AQ16" s="147">
        <v>0</v>
      </c>
      <c r="AR16" s="147">
        <v>0</v>
      </c>
      <c r="AS16" s="147">
        <f>0.008*1.45</f>
        <v>1.2E-2</v>
      </c>
      <c r="AT16" s="147">
        <f>0.006*1.45</f>
        <v>8.9999999999999993E-3</v>
      </c>
      <c r="AU16" s="147">
        <f>0.006*1.45</f>
        <v>8.9999999999999993E-3</v>
      </c>
      <c r="AV16" s="147">
        <f>0.005*1.45</f>
        <v>7.0000000000000001E-3</v>
      </c>
      <c r="AW16" s="147">
        <f>0.01*1.45</f>
        <v>1.4999999999999999E-2</v>
      </c>
      <c r="AX16" s="147">
        <f>0.016*1.45</f>
        <v>2.3E-2</v>
      </c>
      <c r="AY16" s="147">
        <v>0</v>
      </c>
      <c r="AZ16" s="147">
        <f>0.007*1.45</f>
        <v>0.01</v>
      </c>
      <c r="BA16" s="147">
        <v>0</v>
      </c>
      <c r="BB16" s="147">
        <f>0.008*1.45</f>
        <v>1.2E-2</v>
      </c>
      <c r="BC16" s="147">
        <f>0.007*1.45</f>
        <v>0.01</v>
      </c>
      <c r="BD16" s="147">
        <v>0</v>
      </c>
      <c r="BE16" s="147">
        <v>0</v>
      </c>
      <c r="BF16" s="147">
        <f>0.002*1.45</f>
        <v>3.0000000000000001E-3</v>
      </c>
      <c r="BG16" s="147">
        <v>0</v>
      </c>
      <c r="BH16" s="147">
        <f>0.012*1.45</f>
        <v>1.7000000000000001E-2</v>
      </c>
      <c r="BI16" s="147">
        <v>0</v>
      </c>
      <c r="BJ16" s="147">
        <f>0.013*1.45</f>
        <v>1.9E-2</v>
      </c>
      <c r="BK16" s="147">
        <f>0.009*1.45</f>
        <v>1.2999999999999999E-2</v>
      </c>
      <c r="BL16" s="147">
        <f>0.016*1.45</f>
        <v>2.3E-2</v>
      </c>
      <c r="BM16" s="147">
        <f>0.015*1.45</f>
        <v>2.1999999999999999E-2</v>
      </c>
      <c r="BN16" s="147">
        <f>0.008*1.45</f>
        <v>1.2E-2</v>
      </c>
      <c r="BO16" s="147">
        <v>0</v>
      </c>
      <c r="BP16" s="147">
        <v>0</v>
      </c>
      <c r="BQ16" s="147">
        <v>0</v>
      </c>
      <c r="BR16" s="147">
        <v>0</v>
      </c>
      <c r="BS16" s="147">
        <f>0.004*1.45</f>
        <v>6.0000000000000001E-3</v>
      </c>
      <c r="BT16" s="147">
        <f>0.015*1.45</f>
        <v>2.1999999999999999E-2</v>
      </c>
      <c r="BU16" s="147">
        <f>0.005*1.45</f>
        <v>7.0000000000000001E-3</v>
      </c>
      <c r="BV16" s="147">
        <f>0.009*1.45</f>
        <v>1.2999999999999999E-2</v>
      </c>
      <c r="BW16" s="147">
        <v>0</v>
      </c>
      <c r="BX16" s="147">
        <f>0.015*1.45</f>
        <v>2.1999999999999999E-2</v>
      </c>
      <c r="BY16" s="147">
        <f>0.016*1.45</f>
        <v>2.3E-2</v>
      </c>
      <c r="BZ16" s="147">
        <f>0.011*1.45</f>
        <v>1.6E-2</v>
      </c>
      <c r="CA16" s="147">
        <f>0.012*1.45</f>
        <v>1.7000000000000001E-2</v>
      </c>
      <c r="CB16" s="147">
        <f>0.011*1.45</f>
        <v>1.6E-2</v>
      </c>
      <c r="CC16" s="147">
        <f>0.008*1.45</f>
        <v>1.2E-2</v>
      </c>
      <c r="CD16" s="147">
        <f>0.008*1.45</f>
        <v>1.2E-2</v>
      </c>
      <c r="CE16" s="147">
        <v>0</v>
      </c>
      <c r="CF16" s="147">
        <f>0.016*1.45</f>
        <v>2.3E-2</v>
      </c>
      <c r="CG16" s="147">
        <f>0.011*1.45</f>
        <v>1.6E-2</v>
      </c>
      <c r="CH16" s="147">
        <f>0.011*1.45</f>
        <v>1.6E-2</v>
      </c>
      <c r="CI16" s="147">
        <v>0</v>
      </c>
      <c r="CJ16" s="147">
        <v>0</v>
      </c>
      <c r="CK16" s="147">
        <v>0</v>
      </c>
      <c r="CL16" s="147">
        <f>0.023*1.45</f>
        <v>3.3000000000000002E-2</v>
      </c>
      <c r="CM16" s="147">
        <f>0.013*1.45</f>
        <v>1.9E-2</v>
      </c>
      <c r="CN16" s="47">
        <v>0</v>
      </c>
      <c r="CO16" s="147">
        <v>0</v>
      </c>
      <c r="CP16" s="147">
        <v>0</v>
      </c>
      <c r="CQ16" s="147">
        <v>0</v>
      </c>
      <c r="CR16" s="147">
        <v>0</v>
      </c>
      <c r="CS16" s="147">
        <v>0</v>
      </c>
      <c r="CT16" s="147">
        <v>0</v>
      </c>
    </row>
    <row r="17" spans="1:98" ht="19.5" thickBot="1">
      <c r="A17" s="7" t="s">
        <v>15</v>
      </c>
      <c r="B17" s="10" t="s">
        <v>16</v>
      </c>
      <c r="C17" s="9"/>
      <c r="D17" s="47">
        <v>0</v>
      </c>
      <c r="E17" s="47">
        <f>0.823</f>
        <v>0.82299999999999995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f>0.524</f>
        <v>0.52400000000000002</v>
      </c>
      <c r="S17" s="47">
        <v>0</v>
      </c>
      <c r="T17" s="47">
        <f>0.245</f>
        <v>0.245</v>
      </c>
      <c r="U17" s="47">
        <v>0</v>
      </c>
      <c r="V17" s="147">
        <f>0.308</f>
        <v>0.308</v>
      </c>
      <c r="W17" s="147">
        <f>0.446</f>
        <v>0.44600000000000001</v>
      </c>
      <c r="X17" s="147">
        <f>0.517</f>
        <v>0.51700000000000002</v>
      </c>
      <c r="Y17" s="147">
        <f>0.313</f>
        <v>0.313</v>
      </c>
      <c r="Z17" s="147">
        <f>0.467</f>
        <v>0.46700000000000003</v>
      </c>
      <c r="AA17" s="147">
        <f>0.317</f>
        <v>0.317</v>
      </c>
      <c r="AB17" s="147">
        <f>0.548</f>
        <v>0.54800000000000004</v>
      </c>
      <c r="AC17" s="147">
        <f>0.437</f>
        <v>0.437</v>
      </c>
      <c r="AD17" s="147">
        <v>0</v>
      </c>
      <c r="AE17" s="147">
        <v>0</v>
      </c>
      <c r="AF17" s="147">
        <v>0</v>
      </c>
      <c r="AG17" s="147">
        <v>0</v>
      </c>
      <c r="AH17" s="147">
        <v>0</v>
      </c>
      <c r="AI17" s="147">
        <v>0</v>
      </c>
      <c r="AJ17" s="147">
        <v>0</v>
      </c>
      <c r="AK17" s="147">
        <f>0.75</f>
        <v>0.75</v>
      </c>
      <c r="AL17" s="147">
        <v>0</v>
      </c>
      <c r="AM17" s="147">
        <v>0</v>
      </c>
      <c r="AN17" s="147">
        <v>0</v>
      </c>
      <c r="AO17" s="147"/>
      <c r="AP17" s="147">
        <v>0</v>
      </c>
      <c r="AQ17" s="147">
        <v>0</v>
      </c>
      <c r="AR17" s="147">
        <v>0</v>
      </c>
      <c r="AS17" s="147">
        <v>0</v>
      </c>
      <c r="AT17" s="147">
        <f>0.268</f>
        <v>0.26800000000000002</v>
      </c>
      <c r="AU17" s="147">
        <f>0.358</f>
        <v>0.35799999999999998</v>
      </c>
      <c r="AV17" s="147">
        <f>0.312</f>
        <v>0.312</v>
      </c>
      <c r="AW17" s="147">
        <f>0.815</f>
        <v>0.81499999999999995</v>
      </c>
      <c r="AX17" s="147">
        <f>0.721</f>
        <v>0.72099999999999997</v>
      </c>
      <c r="AY17" s="147">
        <v>0</v>
      </c>
      <c r="AZ17" s="147">
        <v>0</v>
      </c>
      <c r="BA17" s="147">
        <v>0</v>
      </c>
      <c r="BB17" s="147">
        <f>0.409</f>
        <v>0.40899999999999997</v>
      </c>
      <c r="BC17" s="147">
        <f>0.638</f>
        <v>0.63800000000000001</v>
      </c>
      <c r="BD17" s="147">
        <v>0</v>
      </c>
      <c r="BE17" s="147">
        <v>0</v>
      </c>
      <c r="BF17" s="147">
        <v>0</v>
      </c>
      <c r="BG17" s="147">
        <v>0</v>
      </c>
      <c r="BH17" s="147">
        <v>0</v>
      </c>
      <c r="BI17" s="147">
        <v>0</v>
      </c>
      <c r="BJ17" s="147">
        <v>0</v>
      </c>
      <c r="BK17" s="147">
        <v>0</v>
      </c>
      <c r="BL17" s="147">
        <v>0</v>
      </c>
      <c r="BM17" s="147">
        <f>0.359</f>
        <v>0.35899999999999999</v>
      </c>
      <c r="BN17" s="147"/>
      <c r="BO17" s="147">
        <v>0</v>
      </c>
      <c r="BP17" s="147">
        <v>0</v>
      </c>
      <c r="BQ17" s="147">
        <v>0</v>
      </c>
      <c r="BR17" s="147">
        <v>0</v>
      </c>
      <c r="BS17" s="147">
        <v>0</v>
      </c>
      <c r="BT17" s="147">
        <v>0</v>
      </c>
      <c r="BU17" s="147">
        <v>0</v>
      </c>
      <c r="BV17" s="147">
        <v>0</v>
      </c>
      <c r="BW17" s="147">
        <v>0</v>
      </c>
      <c r="BX17" s="147">
        <f>0.538</f>
        <v>0.53800000000000003</v>
      </c>
      <c r="BY17" s="147">
        <f>0.324</f>
        <v>0.32400000000000001</v>
      </c>
      <c r="BZ17" s="147">
        <f>0.31</f>
        <v>0.31</v>
      </c>
      <c r="CA17" s="147">
        <f>0.363</f>
        <v>0.36299999999999999</v>
      </c>
      <c r="CB17" s="147">
        <f>0.35</f>
        <v>0.35</v>
      </c>
      <c r="CC17" s="147">
        <f>0.46</f>
        <v>0.46</v>
      </c>
      <c r="CD17" s="147">
        <f>0.46</f>
        <v>0.46</v>
      </c>
      <c r="CE17" s="147"/>
      <c r="CF17" s="147">
        <v>0</v>
      </c>
      <c r="CG17" s="147">
        <f>0.46</f>
        <v>0.46</v>
      </c>
      <c r="CH17" s="147">
        <f>0.46</f>
        <v>0.46</v>
      </c>
      <c r="CI17" s="147">
        <v>0</v>
      </c>
      <c r="CJ17" s="147">
        <v>0</v>
      </c>
      <c r="CK17" s="147">
        <v>0</v>
      </c>
      <c r="CL17" s="147">
        <v>0</v>
      </c>
      <c r="CM17" s="147">
        <v>0</v>
      </c>
      <c r="CN17" s="47">
        <v>0</v>
      </c>
      <c r="CO17" s="147">
        <v>0</v>
      </c>
      <c r="CP17" s="147">
        <v>0</v>
      </c>
      <c r="CQ17" s="147">
        <v>0</v>
      </c>
      <c r="CR17" s="147">
        <v>0</v>
      </c>
      <c r="CS17" s="147">
        <v>0</v>
      </c>
      <c r="CT17" s="147">
        <v>0</v>
      </c>
    </row>
    <row r="18" spans="1:98" ht="19.5" thickBot="1">
      <c r="A18" s="7" t="s">
        <v>17</v>
      </c>
      <c r="B18" s="10" t="s">
        <v>18</v>
      </c>
      <c r="C18" s="9"/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f>0.02</f>
        <v>0.02</v>
      </c>
      <c r="U18" s="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f>0.039</f>
        <v>3.9E-2</v>
      </c>
      <c r="AB18" s="147">
        <v>0</v>
      </c>
      <c r="AC18" s="147">
        <v>0</v>
      </c>
      <c r="AD18" s="147">
        <v>0</v>
      </c>
      <c r="AE18" s="147">
        <v>0</v>
      </c>
      <c r="AF18" s="147">
        <v>0</v>
      </c>
      <c r="AG18" s="147">
        <v>0</v>
      </c>
      <c r="AH18" s="147">
        <v>0</v>
      </c>
      <c r="AI18" s="147">
        <v>0</v>
      </c>
      <c r="AJ18" s="147">
        <v>0</v>
      </c>
      <c r="AK18" s="147">
        <v>0</v>
      </c>
      <c r="AL18" s="147">
        <v>0</v>
      </c>
      <c r="AM18" s="147">
        <v>0</v>
      </c>
      <c r="AN18" s="147">
        <v>0</v>
      </c>
      <c r="AO18" s="147">
        <v>0</v>
      </c>
      <c r="AP18" s="147">
        <v>0</v>
      </c>
      <c r="AQ18" s="147">
        <v>0</v>
      </c>
      <c r="AR18" s="147">
        <v>0</v>
      </c>
      <c r="AS18" s="147">
        <v>0</v>
      </c>
      <c r="AT18" s="147">
        <v>3.9E-2</v>
      </c>
      <c r="AU18" s="147">
        <v>4.4999999999999998E-2</v>
      </c>
      <c r="AV18" s="147">
        <v>3.9E-2</v>
      </c>
      <c r="AW18" s="147">
        <v>0</v>
      </c>
      <c r="AX18" s="147">
        <v>0</v>
      </c>
      <c r="AY18" s="147">
        <v>0</v>
      </c>
      <c r="AZ18" s="147">
        <v>0</v>
      </c>
      <c r="BA18" s="147">
        <v>0</v>
      </c>
      <c r="BB18" s="147">
        <v>0</v>
      </c>
      <c r="BC18" s="147">
        <v>0</v>
      </c>
      <c r="BD18" s="147">
        <v>0</v>
      </c>
      <c r="BE18" s="147">
        <v>0</v>
      </c>
      <c r="BF18" s="147">
        <v>0</v>
      </c>
      <c r="BG18" s="147">
        <v>0</v>
      </c>
      <c r="BH18" s="147">
        <v>0</v>
      </c>
      <c r="BI18" s="147">
        <v>0</v>
      </c>
      <c r="BJ18" s="147">
        <v>0</v>
      </c>
      <c r="BK18" s="147">
        <v>0</v>
      </c>
      <c r="BL18" s="147">
        <v>0</v>
      </c>
      <c r="BM18" s="147">
        <v>0</v>
      </c>
      <c r="BN18" s="147">
        <v>0</v>
      </c>
      <c r="BO18" s="147">
        <v>0</v>
      </c>
      <c r="BP18" s="147">
        <v>0</v>
      </c>
      <c r="BQ18" s="147">
        <v>0</v>
      </c>
      <c r="BR18" s="147">
        <v>0</v>
      </c>
      <c r="BS18" s="147">
        <v>0</v>
      </c>
      <c r="BT18" s="147">
        <v>0</v>
      </c>
      <c r="BU18" s="147">
        <v>0</v>
      </c>
      <c r="BV18" s="147">
        <v>0</v>
      </c>
      <c r="BW18" s="147">
        <v>0</v>
      </c>
      <c r="BX18" s="147">
        <v>0</v>
      </c>
      <c r="BY18" s="147">
        <f>0.039</f>
        <v>3.9E-2</v>
      </c>
      <c r="BZ18" s="147">
        <f>0.035</f>
        <v>3.5000000000000003E-2</v>
      </c>
      <c r="CA18" s="147">
        <f>0.039</f>
        <v>3.9E-2</v>
      </c>
      <c r="CB18" s="147">
        <f>0.042</f>
        <v>4.2000000000000003E-2</v>
      </c>
      <c r="CC18" s="147">
        <f>0.042</f>
        <v>4.2000000000000003E-2</v>
      </c>
      <c r="CD18" s="147">
        <f>0.042</f>
        <v>4.2000000000000003E-2</v>
      </c>
      <c r="CE18" s="147">
        <v>0</v>
      </c>
      <c r="CF18" s="147">
        <v>0</v>
      </c>
      <c r="CG18" s="147">
        <f>0.042</f>
        <v>4.2000000000000003E-2</v>
      </c>
      <c r="CH18" s="147">
        <f>0.042</f>
        <v>4.2000000000000003E-2</v>
      </c>
      <c r="CI18" s="147">
        <v>0</v>
      </c>
      <c r="CJ18" s="147">
        <v>0</v>
      </c>
      <c r="CK18" s="147">
        <v>0</v>
      </c>
      <c r="CL18" s="147">
        <v>0</v>
      </c>
      <c r="CM18" s="147">
        <v>0</v>
      </c>
      <c r="CN18" s="47">
        <v>0</v>
      </c>
      <c r="CO18" s="147">
        <v>0</v>
      </c>
      <c r="CP18" s="147">
        <v>0</v>
      </c>
      <c r="CQ18" s="147">
        <v>0</v>
      </c>
      <c r="CR18" s="147">
        <v>0</v>
      </c>
      <c r="CS18" s="147">
        <v>0</v>
      </c>
      <c r="CT18" s="147">
        <v>0</v>
      </c>
    </row>
    <row r="19" spans="1:98" ht="18.75">
      <c r="A19" s="176" t="s">
        <v>19</v>
      </c>
      <c r="B19" s="11" t="s">
        <v>20</v>
      </c>
      <c r="C19" s="176"/>
      <c r="D19" s="47">
        <f>0.393*1.6</f>
        <v>0.629</v>
      </c>
      <c r="E19" s="47">
        <f>0.342*1.6</f>
        <v>0.54700000000000004</v>
      </c>
      <c r="F19" s="47">
        <f>0.366*1.6</f>
        <v>0.58599999999999997</v>
      </c>
      <c r="G19" s="47">
        <f>0.372*1.6</f>
        <v>0.59499999999999997</v>
      </c>
      <c r="H19" s="47">
        <f>0.401*1.6</f>
        <v>0.64200000000000002</v>
      </c>
      <c r="I19" s="47">
        <f>0.373*1.6</f>
        <v>0.59699999999999998</v>
      </c>
      <c r="J19" s="47">
        <f>0.254*1.6</f>
        <v>0.40600000000000003</v>
      </c>
      <c r="K19" s="47">
        <f>0.374*1.6</f>
        <v>0.59799999999999998</v>
      </c>
      <c r="L19" s="47">
        <f>0.373*1.6</f>
        <v>0.59699999999999998</v>
      </c>
      <c r="M19" s="47">
        <f>0.364*1.6</f>
        <v>0.58199999999999996</v>
      </c>
      <c r="N19" s="47">
        <f>0.358*1.6</f>
        <v>0.57299999999999995</v>
      </c>
      <c r="O19" s="47">
        <f>0.406*1.6</f>
        <v>0.65</v>
      </c>
      <c r="P19" s="47">
        <f>0.361*1.6</f>
        <v>0.57799999999999996</v>
      </c>
      <c r="Q19" s="47">
        <f>0.237*1.6</f>
        <v>0.379</v>
      </c>
      <c r="R19" s="47">
        <f>0.344*1.6</f>
        <v>0.55000000000000004</v>
      </c>
      <c r="S19" s="47">
        <f>0.382*1.6</f>
        <v>0.61099999999999999</v>
      </c>
      <c r="T19" s="47">
        <f>0.369*1.6</f>
        <v>0.59</v>
      </c>
      <c r="U19" s="47">
        <f>0.437*1.6</f>
        <v>0.69899999999999995</v>
      </c>
      <c r="V19" s="147">
        <f>0.354*1.6</f>
        <v>0.56599999999999995</v>
      </c>
      <c r="W19" s="147">
        <f>0.324*1.6</f>
        <v>0.51800000000000002</v>
      </c>
      <c r="X19" s="147">
        <f>0.335*1.6</f>
        <v>0.53600000000000003</v>
      </c>
      <c r="Y19" s="147">
        <f>0.35*1.6</f>
        <v>0.56000000000000005</v>
      </c>
      <c r="Z19" s="147">
        <f>0.357*1.6</f>
        <v>0.57099999999999995</v>
      </c>
      <c r="AA19" s="147">
        <f>0.383*1.6</f>
        <v>0.61299999999999999</v>
      </c>
      <c r="AB19" s="147">
        <f>0.37*1.6</f>
        <v>0.59199999999999997</v>
      </c>
      <c r="AC19" s="147">
        <f>0.372*1.6</f>
        <v>0.59499999999999997</v>
      </c>
      <c r="AD19" s="147">
        <f>0.288*1.6</f>
        <v>0.46100000000000002</v>
      </c>
      <c r="AE19" s="147">
        <f>0.001*1.6</f>
        <v>2E-3</v>
      </c>
      <c r="AF19" s="147">
        <f>0.002*1.6</f>
        <v>3.0000000000000001E-3</v>
      </c>
      <c r="AG19" s="147">
        <f>0.001*1.6</f>
        <v>2E-3</v>
      </c>
      <c r="AH19" s="147">
        <f>0.304*1.6</f>
        <v>0.48599999999999999</v>
      </c>
      <c r="AI19" s="147">
        <f>0.299*1.6</f>
        <v>0.47799999999999998</v>
      </c>
      <c r="AJ19" s="147">
        <f>0.307*1.6</f>
        <v>0.49099999999999999</v>
      </c>
      <c r="AK19" s="147">
        <f>0.168*1.6</f>
        <v>0.26900000000000002</v>
      </c>
      <c r="AL19" s="147">
        <f>0.294*1.6</f>
        <v>0.47</v>
      </c>
      <c r="AM19" s="147">
        <f>0.002*1.6</f>
        <v>3.0000000000000001E-3</v>
      </c>
      <c r="AN19" s="147">
        <f>0.297*1.6</f>
        <v>0.47499999999999998</v>
      </c>
      <c r="AO19" s="147">
        <f>0.394*1.6</f>
        <v>0.63</v>
      </c>
      <c r="AP19" s="147">
        <f>0.339*1.6</f>
        <v>0.54200000000000004</v>
      </c>
      <c r="AQ19" s="147">
        <f>0.092*1.6</f>
        <v>0.14699999999999999</v>
      </c>
      <c r="AR19" s="147">
        <f>0.001*1.6</f>
        <v>2E-3</v>
      </c>
      <c r="AS19" s="147">
        <f>0.274*1.6</f>
        <v>0.438</v>
      </c>
      <c r="AT19" s="147">
        <f>0.254*1.6</f>
        <v>0.40600000000000003</v>
      </c>
      <c r="AU19" s="147">
        <f>0.272*1.6</f>
        <v>0.435</v>
      </c>
      <c r="AV19" s="147">
        <f>0.232*1.6</f>
        <v>0.371</v>
      </c>
      <c r="AW19" s="147">
        <f>0.341*1.6</f>
        <v>0.54600000000000004</v>
      </c>
      <c r="AX19" s="147">
        <f>0.344*1.6</f>
        <v>0.55000000000000004</v>
      </c>
      <c r="AY19" s="147">
        <f>0.29*1.6</f>
        <v>0.46400000000000002</v>
      </c>
      <c r="AZ19" s="147">
        <f>0.371*1.6</f>
        <v>0.59399999999999997</v>
      </c>
      <c r="BA19" s="147">
        <f>0.272*1.6</f>
        <v>0.435</v>
      </c>
      <c r="BB19" s="147">
        <f>0.31*1.6</f>
        <v>0.496</v>
      </c>
      <c r="BC19" s="147">
        <f>0.242*1.6</f>
        <v>0.38700000000000001</v>
      </c>
      <c r="BD19" s="147">
        <f>0.348*1.6</f>
        <v>0.55700000000000005</v>
      </c>
      <c r="BE19" s="147">
        <f>0.405*1.6</f>
        <v>0.64800000000000002</v>
      </c>
      <c r="BF19" s="147">
        <f>0.35*1.6</f>
        <v>0.56000000000000005</v>
      </c>
      <c r="BG19" s="147">
        <f>0.34*1.6</f>
        <v>0.54400000000000004</v>
      </c>
      <c r="BH19" s="147">
        <f>0.3*1.6</f>
        <v>0.48</v>
      </c>
      <c r="BI19" s="147">
        <f>0.361*1.6</f>
        <v>0.57799999999999996</v>
      </c>
      <c r="BJ19" s="147">
        <f>0.375*1.6</f>
        <v>0.6</v>
      </c>
      <c r="BK19" s="147">
        <f>0.326*1.6</f>
        <v>0.52200000000000002</v>
      </c>
      <c r="BL19" s="147">
        <f>0.375*1.6</f>
        <v>0.6</v>
      </c>
      <c r="BM19" s="147">
        <f>0.325*1.6</f>
        <v>0.52</v>
      </c>
      <c r="BN19" s="147">
        <f>0.386*1.6</f>
        <v>0.61799999999999999</v>
      </c>
      <c r="BO19" s="147">
        <f>0.351*1.6</f>
        <v>0.56200000000000006</v>
      </c>
      <c r="BP19" s="147">
        <f>0.349*1.6</f>
        <v>0.55800000000000005</v>
      </c>
      <c r="BQ19" s="147">
        <f>0.355*1.6</f>
        <v>0.56799999999999995</v>
      </c>
      <c r="BR19" s="147">
        <f>0.28*1.6</f>
        <v>0.44800000000000001</v>
      </c>
      <c r="BS19" s="147">
        <f>0.37*1.6</f>
        <v>0.59199999999999997</v>
      </c>
      <c r="BT19" s="147">
        <f>0.369*1.6</f>
        <v>0.59</v>
      </c>
      <c r="BU19" s="147">
        <f>0.351*1.6</f>
        <v>0.56200000000000006</v>
      </c>
      <c r="BV19" s="147">
        <f>0.431*1.6</f>
        <v>0.69</v>
      </c>
      <c r="BW19" s="147">
        <f>0.29*1.6</f>
        <v>0.46400000000000002</v>
      </c>
      <c r="BX19" s="147">
        <f>0.374*1.6</f>
        <v>0.59799999999999998</v>
      </c>
      <c r="BY19" s="147">
        <f>0.332*1.6</f>
        <v>0.53100000000000003</v>
      </c>
      <c r="BZ19" s="147">
        <f>0.344*1.6</f>
        <v>0.55000000000000004</v>
      </c>
      <c r="CA19" s="147">
        <f>0.392*1.6</f>
        <v>0.627</v>
      </c>
      <c r="CB19" s="147">
        <f>0.389*1.6</f>
        <v>0.622</v>
      </c>
      <c r="CC19" s="147">
        <f>0.362*1.6</f>
        <v>0.57899999999999996</v>
      </c>
      <c r="CD19" s="147">
        <f>0.388*1.6</f>
        <v>0.621</v>
      </c>
      <c r="CE19" s="147">
        <f>0.092*1.6</f>
        <v>0.14699999999999999</v>
      </c>
      <c r="CF19" s="147">
        <f>0.375*1.6</f>
        <v>0.6</v>
      </c>
      <c r="CG19" s="147">
        <f>0.26*1.6</f>
        <v>0.41599999999999998</v>
      </c>
      <c r="CH19" s="147">
        <f>0.257*1.6</f>
        <v>0.41099999999999998</v>
      </c>
      <c r="CI19" s="147">
        <f>0.509*1.6</f>
        <v>0.81399999999999995</v>
      </c>
      <c r="CJ19" s="147">
        <f>0.517*1.6</f>
        <v>0.82699999999999996</v>
      </c>
      <c r="CK19" s="147">
        <f>0.217*1.6</f>
        <v>0.34699999999999998</v>
      </c>
      <c r="CL19" s="147">
        <f>0.352*1.6</f>
        <v>0.56299999999999994</v>
      </c>
      <c r="CM19" s="147">
        <f>0.19*1.6</f>
        <v>0.30399999999999999</v>
      </c>
      <c r="CN19" s="47">
        <f>0.001*1.6</f>
        <v>2E-3</v>
      </c>
      <c r="CO19" s="147">
        <f>0.092*1.6</f>
        <v>0.14699999999999999</v>
      </c>
      <c r="CP19" s="147">
        <f>0.092*1.6</f>
        <v>0.14699999999999999</v>
      </c>
      <c r="CQ19" s="147">
        <f>0.092*1.6</f>
        <v>0.14699999999999999</v>
      </c>
      <c r="CR19" s="147">
        <f>0.092*1.6</f>
        <v>0.14699999999999999</v>
      </c>
      <c r="CS19" s="147">
        <f>0.092*1.6</f>
        <v>0.14699999999999999</v>
      </c>
      <c r="CT19" s="147">
        <f>0.104*1.6</f>
        <v>0.16600000000000001</v>
      </c>
    </row>
    <row r="20" spans="1:98" ht="18.75">
      <c r="A20" s="177"/>
      <c r="B20" s="12" t="s">
        <v>21</v>
      </c>
      <c r="C20" s="177"/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0</v>
      </c>
      <c r="AA20" s="147">
        <v>0</v>
      </c>
      <c r="AB20" s="147">
        <v>0</v>
      </c>
      <c r="AC20" s="147">
        <v>0</v>
      </c>
      <c r="AD20" s="147">
        <v>0</v>
      </c>
      <c r="AE20" s="147">
        <v>0</v>
      </c>
      <c r="AF20" s="147">
        <v>0</v>
      </c>
      <c r="AG20" s="147">
        <v>0</v>
      </c>
      <c r="AH20" s="147">
        <v>0</v>
      </c>
      <c r="AI20" s="147">
        <v>0</v>
      </c>
      <c r="AJ20" s="147">
        <v>0</v>
      </c>
      <c r="AK20" s="147">
        <v>0</v>
      </c>
      <c r="AL20" s="147">
        <v>0</v>
      </c>
      <c r="AM20" s="147">
        <v>0</v>
      </c>
      <c r="AN20" s="147">
        <v>0</v>
      </c>
      <c r="AO20" s="147">
        <v>0</v>
      </c>
      <c r="AP20" s="147">
        <v>0</v>
      </c>
      <c r="AQ20" s="147">
        <v>0</v>
      </c>
      <c r="AR20" s="147">
        <v>0</v>
      </c>
      <c r="AS20" s="147">
        <v>0</v>
      </c>
      <c r="AT20" s="147">
        <v>0</v>
      </c>
      <c r="AU20" s="147">
        <v>0</v>
      </c>
      <c r="AV20" s="147">
        <v>0</v>
      </c>
      <c r="AW20" s="147">
        <v>0</v>
      </c>
      <c r="AX20" s="147">
        <v>0</v>
      </c>
      <c r="AY20" s="147">
        <v>0</v>
      </c>
      <c r="AZ20" s="147">
        <v>0</v>
      </c>
      <c r="BA20" s="147">
        <v>0</v>
      </c>
      <c r="BB20" s="147">
        <v>0</v>
      </c>
      <c r="BC20" s="147">
        <v>0</v>
      </c>
      <c r="BD20" s="147">
        <v>0</v>
      </c>
      <c r="BE20" s="147">
        <v>0</v>
      </c>
      <c r="BF20" s="147">
        <v>0</v>
      </c>
      <c r="BG20" s="147">
        <v>0</v>
      </c>
      <c r="BH20" s="147">
        <v>0</v>
      </c>
      <c r="BI20" s="147">
        <v>0</v>
      </c>
      <c r="BJ20" s="147">
        <v>0</v>
      </c>
      <c r="BK20" s="147">
        <v>0</v>
      </c>
      <c r="BL20" s="147">
        <v>0</v>
      </c>
      <c r="BM20" s="147">
        <v>0</v>
      </c>
      <c r="BN20" s="147">
        <v>0</v>
      </c>
      <c r="BO20" s="147"/>
      <c r="BP20" s="147">
        <v>0</v>
      </c>
      <c r="BQ20" s="147">
        <v>0</v>
      </c>
      <c r="BR20" s="147">
        <v>0</v>
      </c>
      <c r="BS20" s="147">
        <v>0</v>
      </c>
      <c r="BT20" s="147">
        <v>0</v>
      </c>
      <c r="BU20" s="147">
        <v>0</v>
      </c>
      <c r="BV20" s="147">
        <v>0</v>
      </c>
      <c r="BW20" s="147">
        <v>0</v>
      </c>
      <c r="BX20" s="147">
        <v>0</v>
      </c>
      <c r="BY20" s="147">
        <v>0</v>
      </c>
      <c r="BZ20" s="147">
        <v>0</v>
      </c>
      <c r="CA20" s="147">
        <v>0</v>
      </c>
      <c r="CB20" s="147">
        <v>0</v>
      </c>
      <c r="CC20" s="147">
        <v>0</v>
      </c>
      <c r="CD20" s="147">
        <v>0</v>
      </c>
      <c r="CE20" s="147">
        <v>0</v>
      </c>
      <c r="CF20" s="147">
        <v>0</v>
      </c>
      <c r="CG20" s="147">
        <v>0</v>
      </c>
      <c r="CH20" s="147">
        <v>0</v>
      </c>
      <c r="CI20" s="147">
        <v>0</v>
      </c>
      <c r="CJ20" s="147">
        <v>0</v>
      </c>
      <c r="CK20" s="147">
        <v>0</v>
      </c>
      <c r="CL20" s="147">
        <v>0</v>
      </c>
      <c r="CM20" s="147">
        <v>0</v>
      </c>
      <c r="CN20" s="47">
        <v>0</v>
      </c>
      <c r="CO20" s="147">
        <v>0</v>
      </c>
      <c r="CP20" s="147">
        <v>0</v>
      </c>
      <c r="CQ20" s="147">
        <v>0</v>
      </c>
      <c r="CR20" s="147">
        <v>0</v>
      </c>
      <c r="CS20" s="147">
        <v>0</v>
      </c>
      <c r="CT20" s="147">
        <v>0</v>
      </c>
    </row>
    <row r="21" spans="1:98" ht="18.75">
      <c r="A21" s="177"/>
      <c r="B21" s="12" t="s">
        <v>22</v>
      </c>
      <c r="C21" s="177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0</v>
      </c>
      <c r="AD21" s="147">
        <v>0</v>
      </c>
      <c r="AE21" s="147">
        <v>0</v>
      </c>
      <c r="AF21" s="147">
        <v>0</v>
      </c>
      <c r="AG21" s="147">
        <v>0</v>
      </c>
      <c r="AH21" s="147">
        <v>0</v>
      </c>
      <c r="AI21" s="147">
        <v>0</v>
      </c>
      <c r="AJ21" s="147">
        <v>0</v>
      </c>
      <c r="AK21" s="147">
        <v>0</v>
      </c>
      <c r="AL21" s="147">
        <v>0</v>
      </c>
      <c r="AM21" s="147">
        <v>0</v>
      </c>
      <c r="AN21" s="147">
        <v>0</v>
      </c>
      <c r="AO21" s="147">
        <v>0</v>
      </c>
      <c r="AP21" s="147">
        <v>0</v>
      </c>
      <c r="AQ21" s="147">
        <v>0</v>
      </c>
      <c r="AR21" s="147">
        <v>0</v>
      </c>
      <c r="AS21" s="147">
        <v>0</v>
      </c>
      <c r="AT21" s="147">
        <v>0</v>
      </c>
      <c r="AU21" s="147">
        <v>0</v>
      </c>
      <c r="AV21" s="147">
        <v>0</v>
      </c>
      <c r="AW21" s="147">
        <v>0</v>
      </c>
      <c r="AX21" s="147">
        <v>0</v>
      </c>
      <c r="AY21" s="147">
        <v>0</v>
      </c>
      <c r="AZ21" s="147">
        <v>0</v>
      </c>
      <c r="BA21" s="147">
        <v>0</v>
      </c>
      <c r="BB21" s="147">
        <v>0</v>
      </c>
      <c r="BC21" s="147">
        <v>0</v>
      </c>
      <c r="BD21" s="147">
        <v>0</v>
      </c>
      <c r="BE21" s="147">
        <v>0</v>
      </c>
      <c r="BF21" s="147">
        <v>0</v>
      </c>
      <c r="BG21" s="147">
        <v>0</v>
      </c>
      <c r="BH21" s="147">
        <v>0</v>
      </c>
      <c r="BI21" s="147">
        <v>0</v>
      </c>
      <c r="BJ21" s="147">
        <v>0</v>
      </c>
      <c r="BK21" s="147">
        <v>0</v>
      </c>
      <c r="BL21" s="147">
        <v>0</v>
      </c>
      <c r="BM21" s="147">
        <v>0</v>
      </c>
      <c r="BN21" s="147">
        <v>0</v>
      </c>
      <c r="BO21" s="147">
        <v>0</v>
      </c>
      <c r="BP21" s="147">
        <v>0</v>
      </c>
      <c r="BQ21" s="147">
        <v>0</v>
      </c>
      <c r="BR21" s="147">
        <v>0</v>
      </c>
      <c r="BS21" s="147">
        <v>0</v>
      </c>
      <c r="BT21" s="147">
        <v>0</v>
      </c>
      <c r="BU21" s="147">
        <v>0</v>
      </c>
      <c r="BV21" s="147">
        <v>0</v>
      </c>
      <c r="BW21" s="147">
        <v>0</v>
      </c>
      <c r="BX21" s="147">
        <v>0</v>
      </c>
      <c r="BY21" s="147">
        <v>0</v>
      </c>
      <c r="BZ21" s="147">
        <v>0</v>
      </c>
      <c r="CA21" s="147">
        <v>0</v>
      </c>
      <c r="CB21" s="147">
        <v>0</v>
      </c>
      <c r="CC21" s="147">
        <v>0</v>
      </c>
      <c r="CD21" s="147">
        <v>0</v>
      </c>
      <c r="CE21" s="147">
        <v>0</v>
      </c>
      <c r="CF21" s="147">
        <v>0</v>
      </c>
      <c r="CG21" s="147">
        <v>0</v>
      </c>
      <c r="CH21" s="147">
        <v>0</v>
      </c>
      <c r="CI21" s="147">
        <v>0</v>
      </c>
      <c r="CJ21" s="147">
        <v>0</v>
      </c>
      <c r="CK21" s="147">
        <v>0</v>
      </c>
      <c r="CL21" s="147">
        <v>0</v>
      </c>
      <c r="CM21" s="147">
        <v>0</v>
      </c>
      <c r="CN21" s="47">
        <v>0</v>
      </c>
      <c r="CO21" s="147">
        <v>0</v>
      </c>
      <c r="CP21" s="147">
        <v>0</v>
      </c>
      <c r="CQ21" s="147">
        <v>0</v>
      </c>
      <c r="CR21" s="147">
        <v>0</v>
      </c>
      <c r="CS21" s="147">
        <v>0</v>
      </c>
      <c r="CT21" s="147">
        <v>0</v>
      </c>
    </row>
    <row r="22" spans="1:98" ht="18.75">
      <c r="A22" s="177"/>
      <c r="B22" s="12" t="s">
        <v>23</v>
      </c>
      <c r="C22" s="177"/>
      <c r="D22" s="47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7">
        <v>0</v>
      </c>
      <c r="AF22" s="147">
        <v>0</v>
      </c>
      <c r="AG22" s="147">
        <v>0</v>
      </c>
      <c r="AH22" s="147">
        <v>0</v>
      </c>
      <c r="AI22" s="147">
        <v>0</v>
      </c>
      <c r="AJ22" s="147">
        <v>0</v>
      </c>
      <c r="AK22" s="147">
        <v>0</v>
      </c>
      <c r="AL22" s="147">
        <v>0</v>
      </c>
      <c r="AM22" s="147">
        <v>0</v>
      </c>
      <c r="AN22" s="147">
        <v>0</v>
      </c>
      <c r="AO22" s="147">
        <v>0</v>
      </c>
      <c r="AP22" s="147">
        <v>0</v>
      </c>
      <c r="AQ22" s="147">
        <v>0</v>
      </c>
      <c r="AR22" s="147">
        <v>0</v>
      </c>
      <c r="AS22" s="147">
        <v>0</v>
      </c>
      <c r="AT22" s="147">
        <v>0</v>
      </c>
      <c r="AU22" s="147">
        <v>0</v>
      </c>
      <c r="AV22" s="147">
        <v>0</v>
      </c>
      <c r="AW22" s="147">
        <v>0</v>
      </c>
      <c r="AX22" s="147">
        <v>0</v>
      </c>
      <c r="AY22" s="147">
        <v>0</v>
      </c>
      <c r="AZ22" s="147">
        <v>0</v>
      </c>
      <c r="BA22" s="147">
        <v>0</v>
      </c>
      <c r="BB22" s="147">
        <v>0</v>
      </c>
      <c r="BC22" s="147">
        <v>0</v>
      </c>
      <c r="BD22" s="147">
        <v>0</v>
      </c>
      <c r="BE22" s="147">
        <v>0</v>
      </c>
      <c r="BF22" s="147">
        <v>0</v>
      </c>
      <c r="BG22" s="147">
        <v>0</v>
      </c>
      <c r="BH22" s="147">
        <v>0</v>
      </c>
      <c r="BI22" s="147">
        <v>0</v>
      </c>
      <c r="BJ22" s="147">
        <v>0</v>
      </c>
      <c r="BK22" s="147">
        <v>0</v>
      </c>
      <c r="BL22" s="147">
        <v>0</v>
      </c>
      <c r="BM22" s="147">
        <v>0</v>
      </c>
      <c r="BN22" s="147">
        <v>0</v>
      </c>
      <c r="BO22" s="147">
        <v>0</v>
      </c>
      <c r="BP22" s="147">
        <v>0</v>
      </c>
      <c r="BQ22" s="147">
        <v>0</v>
      </c>
      <c r="BR22" s="147">
        <v>0</v>
      </c>
      <c r="BS22" s="147">
        <v>0</v>
      </c>
      <c r="BT22" s="147">
        <v>0</v>
      </c>
      <c r="BU22" s="147">
        <v>0</v>
      </c>
      <c r="BV22" s="147">
        <v>0</v>
      </c>
      <c r="BW22" s="147">
        <v>0</v>
      </c>
      <c r="BX22" s="147">
        <v>0</v>
      </c>
      <c r="BY22" s="147">
        <v>0</v>
      </c>
      <c r="BZ22" s="147">
        <v>0</v>
      </c>
      <c r="CA22" s="147">
        <v>0</v>
      </c>
      <c r="CB22" s="147">
        <v>0</v>
      </c>
      <c r="CC22" s="147">
        <v>0</v>
      </c>
      <c r="CD22" s="147">
        <v>0</v>
      </c>
      <c r="CE22" s="147">
        <v>0</v>
      </c>
      <c r="CF22" s="147">
        <v>0</v>
      </c>
      <c r="CG22" s="147">
        <v>0</v>
      </c>
      <c r="CH22" s="147">
        <v>0</v>
      </c>
      <c r="CI22" s="147">
        <v>0</v>
      </c>
      <c r="CJ22" s="147">
        <v>0</v>
      </c>
      <c r="CK22" s="147">
        <v>0</v>
      </c>
      <c r="CL22" s="147">
        <v>0</v>
      </c>
      <c r="CM22" s="147">
        <v>0</v>
      </c>
      <c r="CN22" s="47">
        <v>0</v>
      </c>
      <c r="CO22" s="147">
        <v>0</v>
      </c>
      <c r="CP22" s="147">
        <v>0</v>
      </c>
      <c r="CQ22" s="147">
        <v>0</v>
      </c>
      <c r="CR22" s="147">
        <v>0</v>
      </c>
      <c r="CS22" s="147">
        <v>0</v>
      </c>
      <c r="CT22" s="147">
        <v>0</v>
      </c>
    </row>
    <row r="23" spans="1:98" ht="18.75">
      <c r="A23" s="177"/>
      <c r="B23" s="12" t="s">
        <v>24</v>
      </c>
      <c r="C23" s="177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7">
        <v>0</v>
      </c>
      <c r="AE23" s="147">
        <v>0</v>
      </c>
      <c r="AF23" s="147">
        <v>0</v>
      </c>
      <c r="AG23" s="147">
        <v>0</v>
      </c>
      <c r="AH23" s="147">
        <v>0</v>
      </c>
      <c r="AI23" s="147">
        <v>0</v>
      </c>
      <c r="AJ23" s="147">
        <v>0</v>
      </c>
      <c r="AK23" s="147">
        <v>0</v>
      </c>
      <c r="AL23" s="147">
        <v>0</v>
      </c>
      <c r="AM23" s="147">
        <v>0</v>
      </c>
      <c r="AN23" s="147">
        <v>0</v>
      </c>
      <c r="AO23" s="147">
        <v>0</v>
      </c>
      <c r="AP23" s="147">
        <v>0</v>
      </c>
      <c r="AQ23" s="147">
        <v>0</v>
      </c>
      <c r="AR23" s="147">
        <v>0</v>
      </c>
      <c r="AS23" s="147">
        <v>0</v>
      </c>
      <c r="AT23" s="147">
        <v>0</v>
      </c>
      <c r="AU23" s="147">
        <v>0</v>
      </c>
      <c r="AV23" s="147">
        <v>0</v>
      </c>
      <c r="AW23" s="147">
        <v>0</v>
      </c>
      <c r="AX23" s="147">
        <v>0</v>
      </c>
      <c r="AY23" s="147">
        <v>0</v>
      </c>
      <c r="AZ23" s="147">
        <v>0</v>
      </c>
      <c r="BA23" s="147">
        <v>0</v>
      </c>
      <c r="BB23" s="147">
        <v>0</v>
      </c>
      <c r="BC23" s="147">
        <v>0</v>
      </c>
      <c r="BD23" s="147">
        <v>0</v>
      </c>
      <c r="BE23" s="147">
        <v>0</v>
      </c>
      <c r="BF23" s="147">
        <v>0</v>
      </c>
      <c r="BG23" s="147">
        <v>0</v>
      </c>
      <c r="BH23" s="147">
        <v>0</v>
      </c>
      <c r="BI23" s="147">
        <v>0</v>
      </c>
      <c r="BJ23" s="147">
        <v>0</v>
      </c>
      <c r="BK23" s="147">
        <v>0</v>
      </c>
      <c r="BL23" s="147">
        <v>0</v>
      </c>
      <c r="BM23" s="147">
        <v>0</v>
      </c>
      <c r="BN23" s="147">
        <v>0</v>
      </c>
      <c r="BO23" s="147">
        <v>0</v>
      </c>
      <c r="BP23" s="147">
        <v>0</v>
      </c>
      <c r="BQ23" s="147">
        <v>0</v>
      </c>
      <c r="BR23" s="147">
        <v>0</v>
      </c>
      <c r="BS23" s="147">
        <v>0</v>
      </c>
      <c r="BT23" s="147">
        <v>0</v>
      </c>
      <c r="BU23" s="147">
        <v>0</v>
      </c>
      <c r="BV23" s="147">
        <v>0</v>
      </c>
      <c r="BW23" s="147">
        <v>0</v>
      </c>
      <c r="BX23" s="147">
        <v>0</v>
      </c>
      <c r="BY23" s="147">
        <v>0</v>
      </c>
      <c r="BZ23" s="147">
        <v>0</v>
      </c>
      <c r="CA23" s="147">
        <v>0</v>
      </c>
      <c r="CB23" s="147">
        <v>0</v>
      </c>
      <c r="CC23" s="147">
        <v>0</v>
      </c>
      <c r="CD23" s="147">
        <v>0</v>
      </c>
      <c r="CE23" s="147">
        <v>0</v>
      </c>
      <c r="CF23" s="147">
        <v>0</v>
      </c>
      <c r="CG23" s="147">
        <v>0</v>
      </c>
      <c r="CH23" s="147">
        <v>0</v>
      </c>
      <c r="CI23" s="147">
        <v>0</v>
      </c>
      <c r="CJ23" s="147">
        <v>0</v>
      </c>
      <c r="CK23" s="147">
        <v>0</v>
      </c>
      <c r="CL23" s="147">
        <v>0</v>
      </c>
      <c r="CM23" s="147">
        <v>0</v>
      </c>
      <c r="CN23" s="47">
        <v>0</v>
      </c>
      <c r="CO23" s="147">
        <v>0</v>
      </c>
      <c r="CP23" s="147">
        <v>0</v>
      </c>
      <c r="CQ23" s="147">
        <v>0</v>
      </c>
      <c r="CR23" s="147">
        <v>0</v>
      </c>
      <c r="CS23" s="147">
        <v>0</v>
      </c>
      <c r="CT23" s="147">
        <v>0</v>
      </c>
    </row>
    <row r="24" spans="1:98" ht="18.75">
      <c r="A24" s="177"/>
      <c r="B24" s="12" t="s">
        <v>25</v>
      </c>
      <c r="C24" s="177"/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0</v>
      </c>
      <c r="AC24" s="147">
        <v>0</v>
      </c>
      <c r="AD24" s="147">
        <v>0</v>
      </c>
      <c r="AE24" s="147">
        <v>0</v>
      </c>
      <c r="AF24" s="147">
        <v>0</v>
      </c>
      <c r="AG24" s="147">
        <v>0</v>
      </c>
      <c r="AH24" s="147">
        <v>0</v>
      </c>
      <c r="AI24" s="147">
        <v>0</v>
      </c>
      <c r="AJ24" s="147">
        <v>0</v>
      </c>
      <c r="AK24" s="147">
        <v>0</v>
      </c>
      <c r="AL24" s="147">
        <v>0</v>
      </c>
      <c r="AM24" s="147">
        <v>0</v>
      </c>
      <c r="AN24" s="147">
        <v>0</v>
      </c>
      <c r="AO24" s="147">
        <v>0</v>
      </c>
      <c r="AP24" s="147">
        <v>0</v>
      </c>
      <c r="AQ24" s="147">
        <v>0</v>
      </c>
      <c r="AR24" s="147">
        <v>0</v>
      </c>
      <c r="AS24" s="147">
        <v>0</v>
      </c>
      <c r="AT24" s="147">
        <v>0</v>
      </c>
      <c r="AU24" s="147">
        <v>0</v>
      </c>
      <c r="AV24" s="147">
        <v>0</v>
      </c>
      <c r="AW24" s="147">
        <v>0</v>
      </c>
      <c r="AX24" s="147">
        <v>0</v>
      </c>
      <c r="AY24" s="147">
        <v>0</v>
      </c>
      <c r="AZ24" s="147">
        <v>0</v>
      </c>
      <c r="BA24" s="147">
        <v>0</v>
      </c>
      <c r="BB24" s="147">
        <v>0</v>
      </c>
      <c r="BC24" s="147">
        <v>0</v>
      </c>
      <c r="BD24" s="147">
        <v>0</v>
      </c>
      <c r="BE24" s="147">
        <v>0</v>
      </c>
      <c r="BF24" s="147">
        <v>0</v>
      </c>
      <c r="BG24" s="147">
        <v>0</v>
      </c>
      <c r="BH24" s="147">
        <v>0</v>
      </c>
      <c r="BI24" s="147">
        <v>0</v>
      </c>
      <c r="BJ24" s="147">
        <v>0</v>
      </c>
      <c r="BK24" s="147">
        <v>0</v>
      </c>
      <c r="BL24" s="147">
        <v>0</v>
      </c>
      <c r="BM24" s="147">
        <v>0</v>
      </c>
      <c r="BN24" s="147">
        <v>0</v>
      </c>
      <c r="BO24" s="147">
        <v>0</v>
      </c>
      <c r="BP24" s="147">
        <v>0</v>
      </c>
      <c r="BQ24" s="147">
        <v>0</v>
      </c>
      <c r="BR24" s="147">
        <v>0</v>
      </c>
      <c r="BS24" s="147">
        <v>0</v>
      </c>
      <c r="BT24" s="147">
        <v>0</v>
      </c>
      <c r="BU24" s="147">
        <v>0</v>
      </c>
      <c r="BV24" s="147">
        <v>0</v>
      </c>
      <c r="BW24" s="147">
        <v>0</v>
      </c>
      <c r="BX24" s="147">
        <v>0</v>
      </c>
      <c r="BY24" s="147">
        <v>0</v>
      </c>
      <c r="BZ24" s="147">
        <v>0</v>
      </c>
      <c r="CA24" s="147">
        <v>0</v>
      </c>
      <c r="CB24" s="147">
        <v>0</v>
      </c>
      <c r="CC24" s="147">
        <v>0</v>
      </c>
      <c r="CD24" s="147">
        <v>0</v>
      </c>
      <c r="CE24" s="147">
        <v>0</v>
      </c>
      <c r="CF24" s="147">
        <v>0</v>
      </c>
      <c r="CG24" s="147">
        <v>0</v>
      </c>
      <c r="CH24" s="147">
        <v>0</v>
      </c>
      <c r="CI24" s="147">
        <v>0</v>
      </c>
      <c r="CJ24" s="147">
        <v>0</v>
      </c>
      <c r="CK24" s="147">
        <v>0</v>
      </c>
      <c r="CL24" s="147">
        <v>0</v>
      </c>
      <c r="CM24" s="147">
        <v>0</v>
      </c>
      <c r="CN24" s="47">
        <v>0</v>
      </c>
      <c r="CO24" s="147">
        <v>0</v>
      </c>
      <c r="CP24" s="147">
        <v>0</v>
      </c>
      <c r="CQ24" s="147">
        <v>0</v>
      </c>
      <c r="CR24" s="147">
        <v>0</v>
      </c>
      <c r="CS24" s="147">
        <v>0</v>
      </c>
      <c r="CT24" s="147">
        <v>0</v>
      </c>
    </row>
    <row r="25" spans="1:98" ht="19.5" thickBot="1">
      <c r="A25" s="178"/>
      <c r="B25" s="10" t="s">
        <v>26</v>
      </c>
      <c r="C25" s="178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7">
        <v>0</v>
      </c>
      <c r="AF25" s="147">
        <v>0</v>
      </c>
      <c r="AG25" s="147">
        <v>0</v>
      </c>
      <c r="AH25" s="147">
        <v>0</v>
      </c>
      <c r="AI25" s="147">
        <v>0</v>
      </c>
      <c r="AJ25" s="147">
        <v>0</v>
      </c>
      <c r="AK25" s="147">
        <v>0</v>
      </c>
      <c r="AL25" s="147">
        <v>0</v>
      </c>
      <c r="AM25" s="147">
        <v>0</v>
      </c>
      <c r="AN25" s="147">
        <v>0</v>
      </c>
      <c r="AO25" s="147">
        <v>0</v>
      </c>
      <c r="AP25" s="147">
        <v>0</v>
      </c>
      <c r="AQ25" s="147">
        <v>0</v>
      </c>
      <c r="AR25" s="147">
        <v>0</v>
      </c>
      <c r="AS25" s="147">
        <v>0</v>
      </c>
      <c r="AT25" s="147">
        <v>0</v>
      </c>
      <c r="AU25" s="147">
        <v>0</v>
      </c>
      <c r="AV25" s="147">
        <v>0</v>
      </c>
      <c r="AW25" s="147">
        <v>0</v>
      </c>
      <c r="AX25" s="147">
        <v>0</v>
      </c>
      <c r="AY25" s="147">
        <v>0</v>
      </c>
      <c r="AZ25" s="147">
        <v>0</v>
      </c>
      <c r="BA25" s="147">
        <v>0</v>
      </c>
      <c r="BB25" s="147">
        <v>0</v>
      </c>
      <c r="BC25" s="147">
        <v>0</v>
      </c>
      <c r="BD25" s="147">
        <v>0</v>
      </c>
      <c r="BE25" s="147">
        <v>0</v>
      </c>
      <c r="BF25" s="147">
        <v>0</v>
      </c>
      <c r="BG25" s="147">
        <v>0</v>
      </c>
      <c r="BH25" s="147">
        <v>0</v>
      </c>
      <c r="BI25" s="147">
        <v>0</v>
      </c>
      <c r="BJ25" s="147">
        <v>0</v>
      </c>
      <c r="BK25" s="147">
        <v>0</v>
      </c>
      <c r="BL25" s="147">
        <v>0</v>
      </c>
      <c r="BM25" s="147">
        <v>0</v>
      </c>
      <c r="BN25" s="147">
        <v>0</v>
      </c>
      <c r="BO25" s="147">
        <v>0</v>
      </c>
      <c r="BP25" s="147">
        <v>0</v>
      </c>
      <c r="BQ25" s="147">
        <v>0</v>
      </c>
      <c r="BR25" s="147">
        <v>0</v>
      </c>
      <c r="BS25" s="147">
        <v>0</v>
      </c>
      <c r="BT25" s="147">
        <v>0</v>
      </c>
      <c r="BU25" s="147">
        <v>0</v>
      </c>
      <c r="BV25" s="147">
        <v>0</v>
      </c>
      <c r="BW25" s="147">
        <v>0</v>
      </c>
      <c r="BX25" s="147">
        <v>0</v>
      </c>
      <c r="BY25" s="147">
        <v>0</v>
      </c>
      <c r="BZ25" s="147">
        <v>0</v>
      </c>
      <c r="CA25" s="147">
        <v>0</v>
      </c>
      <c r="CB25" s="147">
        <v>0</v>
      </c>
      <c r="CC25" s="147">
        <v>0</v>
      </c>
      <c r="CD25" s="147">
        <v>0</v>
      </c>
      <c r="CE25" s="147">
        <v>0</v>
      </c>
      <c r="CF25" s="147">
        <v>0</v>
      </c>
      <c r="CG25" s="147">
        <v>0</v>
      </c>
      <c r="CH25" s="147">
        <v>0</v>
      </c>
      <c r="CI25" s="147">
        <v>0</v>
      </c>
      <c r="CJ25" s="147">
        <v>0</v>
      </c>
      <c r="CK25" s="147">
        <v>0</v>
      </c>
      <c r="CL25" s="147">
        <v>0</v>
      </c>
      <c r="CM25" s="147">
        <v>0</v>
      </c>
      <c r="CN25" s="47">
        <v>0</v>
      </c>
      <c r="CO25" s="147">
        <v>0</v>
      </c>
      <c r="CP25" s="147">
        <v>0</v>
      </c>
      <c r="CQ25" s="147">
        <v>0</v>
      </c>
      <c r="CR25" s="147">
        <v>0</v>
      </c>
      <c r="CS25" s="147">
        <v>0</v>
      </c>
      <c r="CT25" s="147">
        <v>0</v>
      </c>
    </row>
    <row r="26" spans="1:98" s="144" customFormat="1" ht="19.5" thickBot="1">
      <c r="A26" s="148" t="s">
        <v>27</v>
      </c>
      <c r="B26" s="149" t="s">
        <v>28</v>
      </c>
      <c r="C26" s="150"/>
      <c r="D26" s="147">
        <f>0.044</f>
        <v>4.3999999999999997E-2</v>
      </c>
      <c r="E26" s="147">
        <v>0.02</v>
      </c>
      <c r="F26" s="147">
        <v>3.3000000000000002E-2</v>
      </c>
      <c r="G26" s="147">
        <v>3.6999999999999998E-2</v>
      </c>
      <c r="H26" s="147">
        <v>4.4999999999999998E-2</v>
      </c>
      <c r="I26" s="147">
        <v>3.5999999999999997E-2</v>
      </c>
      <c r="J26" s="147">
        <v>0.04</v>
      </c>
      <c r="K26" s="147">
        <v>3.3000000000000002E-2</v>
      </c>
      <c r="L26" s="147">
        <v>3.7999999999999999E-2</v>
      </c>
      <c r="M26" s="147">
        <v>4.1000000000000002E-2</v>
      </c>
      <c r="N26" s="147">
        <v>2.1999999999999999E-2</v>
      </c>
      <c r="O26" s="147">
        <v>4.7E-2</v>
      </c>
      <c r="P26" s="147">
        <v>3.2000000000000001E-2</v>
      </c>
      <c r="Q26" s="147">
        <v>7.9000000000000001E-2</v>
      </c>
      <c r="R26" s="147">
        <v>2.5999999999999999E-2</v>
      </c>
      <c r="S26" s="147">
        <v>0.04</v>
      </c>
      <c r="T26" s="147">
        <v>2.5999999999999999E-2</v>
      </c>
      <c r="U26" s="147">
        <v>4.2000000000000003E-2</v>
      </c>
      <c r="V26" s="147">
        <v>1.6E-2</v>
      </c>
      <c r="W26" s="147">
        <v>1.9E-2</v>
      </c>
      <c r="X26" s="147">
        <v>0.02</v>
      </c>
      <c r="Y26" s="147">
        <v>1.9E-2</v>
      </c>
      <c r="Z26" s="147">
        <v>1.7999999999999999E-2</v>
      </c>
      <c r="AA26" s="147">
        <v>1.7000000000000001E-2</v>
      </c>
      <c r="AB26" s="147">
        <v>1.4999999999999999E-2</v>
      </c>
      <c r="AC26" s="147">
        <v>1.7000000000000001E-2</v>
      </c>
      <c r="AD26" s="147">
        <v>0</v>
      </c>
      <c r="AE26" s="147">
        <v>0</v>
      </c>
      <c r="AF26" s="147">
        <v>0</v>
      </c>
      <c r="AG26" s="147">
        <v>0</v>
      </c>
      <c r="AH26" s="147">
        <v>0</v>
      </c>
      <c r="AI26" s="147">
        <v>6.0000000000000001E-3</v>
      </c>
      <c r="AJ26" s="147">
        <v>1.4999999999999999E-2</v>
      </c>
      <c r="AK26" s="147">
        <v>2.8000000000000001E-2</v>
      </c>
      <c r="AL26" s="147">
        <v>3.1E-2</v>
      </c>
      <c r="AM26" s="147">
        <v>0</v>
      </c>
      <c r="AN26" s="147">
        <v>0</v>
      </c>
      <c r="AO26" s="147">
        <v>4.3999999999999997E-2</v>
      </c>
      <c r="AP26" s="147">
        <v>0</v>
      </c>
      <c r="AQ26" s="147">
        <v>0</v>
      </c>
      <c r="AR26" s="147">
        <v>0</v>
      </c>
      <c r="AS26" s="147">
        <v>0</v>
      </c>
      <c r="AT26" s="147">
        <v>7.0000000000000001E-3</v>
      </c>
      <c r="AU26" s="147">
        <v>7.0000000000000001E-3</v>
      </c>
      <c r="AV26" s="147">
        <v>5.0000000000000001E-3</v>
      </c>
      <c r="AW26" s="147">
        <v>2.1999999999999999E-2</v>
      </c>
      <c r="AX26" s="147">
        <v>2.4E-2</v>
      </c>
      <c r="AY26" s="147">
        <v>0</v>
      </c>
      <c r="AZ26" s="147">
        <v>3.3000000000000002E-2</v>
      </c>
      <c r="BA26" s="147">
        <v>0</v>
      </c>
      <c r="BB26" s="147">
        <v>3.4000000000000002E-2</v>
      </c>
      <c r="BC26" s="147">
        <v>1.4E-2</v>
      </c>
      <c r="BD26" s="147">
        <v>0</v>
      </c>
      <c r="BE26" s="147">
        <v>0</v>
      </c>
      <c r="BF26" s="147">
        <v>1.0999999999999999E-2</v>
      </c>
      <c r="BG26" s="147">
        <v>0</v>
      </c>
      <c r="BH26" s="147">
        <v>4.8000000000000001E-2</v>
      </c>
      <c r="BI26" s="147">
        <v>0</v>
      </c>
      <c r="BJ26" s="147">
        <v>5.7000000000000002E-2</v>
      </c>
      <c r="BK26" s="147">
        <v>4.1000000000000002E-2</v>
      </c>
      <c r="BL26" s="147">
        <v>3.4000000000000002E-2</v>
      </c>
      <c r="BM26" s="147">
        <v>2.3E-2</v>
      </c>
      <c r="BN26" s="147">
        <v>3.4000000000000002E-2</v>
      </c>
      <c r="BO26" s="147">
        <v>0</v>
      </c>
      <c r="BP26" s="147">
        <v>0</v>
      </c>
      <c r="BQ26" s="147">
        <v>0</v>
      </c>
      <c r="BR26" s="147">
        <v>0</v>
      </c>
      <c r="BS26" s="147">
        <v>1.6E-2</v>
      </c>
      <c r="BT26" s="147">
        <v>3.2000000000000001E-2</v>
      </c>
      <c r="BU26" s="147">
        <v>2.3E-2</v>
      </c>
      <c r="BV26" s="147">
        <v>3.9E-2</v>
      </c>
      <c r="BW26" s="147">
        <v>0</v>
      </c>
      <c r="BX26" s="147">
        <v>2.1999999999999999E-2</v>
      </c>
      <c r="BY26" s="147">
        <v>2.4E-2</v>
      </c>
      <c r="BZ26" s="147">
        <v>1.2E-2</v>
      </c>
      <c r="CA26" s="147">
        <v>1.2999999999999999E-2</v>
      </c>
      <c r="CB26" s="147">
        <v>1.4E-2</v>
      </c>
      <c r="CC26" s="147">
        <v>1.4999999999999999E-2</v>
      </c>
      <c r="CD26" s="147">
        <v>1.4999999999999999E-2</v>
      </c>
      <c r="CE26" s="147">
        <v>0</v>
      </c>
      <c r="CF26" s="147">
        <v>3.6999999999999998E-2</v>
      </c>
      <c r="CG26" s="147">
        <v>2.1000000000000001E-2</v>
      </c>
      <c r="CH26" s="147">
        <v>2.1000000000000001E-2</v>
      </c>
      <c r="CI26" s="147">
        <v>0</v>
      </c>
      <c r="CJ26" s="147">
        <v>0</v>
      </c>
      <c r="CK26" s="147">
        <v>0</v>
      </c>
      <c r="CL26" s="147">
        <f>0.103</f>
        <v>0.10299999999999999</v>
      </c>
      <c r="CM26" s="147">
        <f>0.057</f>
        <v>5.7000000000000002E-2</v>
      </c>
      <c r="CN26" s="147">
        <v>0</v>
      </c>
      <c r="CO26" s="147">
        <v>0</v>
      </c>
      <c r="CP26" s="147">
        <v>0</v>
      </c>
      <c r="CQ26" s="147">
        <v>0</v>
      </c>
      <c r="CR26" s="147">
        <v>0</v>
      </c>
      <c r="CS26" s="147">
        <v>0</v>
      </c>
      <c r="CT26" s="147">
        <v>0</v>
      </c>
    </row>
    <row r="27" spans="1:98" ht="19.5" thickBot="1">
      <c r="A27" s="7" t="s">
        <v>29</v>
      </c>
      <c r="B27" s="10" t="s">
        <v>30</v>
      </c>
      <c r="C27" s="9"/>
      <c r="D27" s="47">
        <f>0.002*1.1</f>
        <v>2E-3</v>
      </c>
      <c r="E27" s="47">
        <f>0.001*1.1</f>
        <v>1E-3</v>
      </c>
      <c r="F27" s="47">
        <f>0.002*1.1</f>
        <v>2E-3</v>
      </c>
      <c r="G27" s="47">
        <f>0.002*1.1</f>
        <v>2E-3</v>
      </c>
      <c r="H27" s="47">
        <f>0.002*1.1</f>
        <v>2E-3</v>
      </c>
      <c r="I27" s="47">
        <f>0.001*1.1</f>
        <v>1E-3</v>
      </c>
      <c r="J27" s="47">
        <f t="shared" ref="J27:Q27" si="0">0.002*1.1</f>
        <v>2E-3</v>
      </c>
      <c r="K27" s="47">
        <f t="shared" si="0"/>
        <v>2E-3</v>
      </c>
      <c r="L27" s="47">
        <f t="shared" si="0"/>
        <v>2E-3</v>
      </c>
      <c r="M27" s="47">
        <f t="shared" si="0"/>
        <v>2E-3</v>
      </c>
      <c r="N27" s="47">
        <f t="shared" si="0"/>
        <v>2E-3</v>
      </c>
      <c r="O27" s="47">
        <f t="shared" si="0"/>
        <v>2E-3</v>
      </c>
      <c r="P27" s="47">
        <f t="shared" si="0"/>
        <v>2E-3</v>
      </c>
      <c r="Q27" s="47">
        <f t="shared" si="0"/>
        <v>2E-3</v>
      </c>
      <c r="R27" s="47">
        <f>0.001*1.1</f>
        <v>1E-3</v>
      </c>
      <c r="S27" s="47">
        <f>0.002*1.1</f>
        <v>2E-3</v>
      </c>
      <c r="T27" s="47">
        <f>0.001*1.1</f>
        <v>1E-3</v>
      </c>
      <c r="U27" s="47">
        <f>0.002*1.1</f>
        <v>2E-3</v>
      </c>
      <c r="V27" s="147">
        <f>0.001*1.1</f>
        <v>1E-3</v>
      </c>
      <c r="W27" s="147">
        <f>0.001*1.1</f>
        <v>1E-3</v>
      </c>
      <c r="X27" s="147">
        <f>0.001*1.1</f>
        <v>1E-3</v>
      </c>
      <c r="Y27" s="147">
        <f>0.002*1.1</f>
        <v>2E-3</v>
      </c>
      <c r="Z27" s="147">
        <f>0.001*1.1</f>
        <v>1E-3</v>
      </c>
      <c r="AA27" s="147">
        <f>0.001*1.1</f>
        <v>1E-3</v>
      </c>
      <c r="AB27" s="147">
        <f>0.001*1.1</f>
        <v>1E-3</v>
      </c>
      <c r="AC27" s="147">
        <f>0.001*1.1</f>
        <v>1E-3</v>
      </c>
      <c r="AD27" s="147"/>
      <c r="AE27" s="147"/>
      <c r="AF27" s="147"/>
      <c r="AG27" s="147"/>
      <c r="AH27" s="147"/>
      <c r="AI27" s="147">
        <f>0.001*1.1</f>
        <v>1E-3</v>
      </c>
      <c r="AJ27" s="147">
        <f>0.001*1.1</f>
        <v>1E-3</v>
      </c>
      <c r="AK27" s="147">
        <f>0.001*1.1</f>
        <v>1E-3</v>
      </c>
      <c r="AL27" s="147">
        <f>0.002*1.1</f>
        <v>2E-3</v>
      </c>
      <c r="AM27" s="147">
        <v>0</v>
      </c>
      <c r="AN27" s="147">
        <v>0</v>
      </c>
      <c r="AO27" s="147">
        <f>0.002*1.1</f>
        <v>2E-3</v>
      </c>
      <c r="AP27" s="147">
        <v>0</v>
      </c>
      <c r="AQ27" s="147">
        <v>0</v>
      </c>
      <c r="AR27" s="147">
        <v>0</v>
      </c>
      <c r="AS27" s="147">
        <f>0.003*1.1</f>
        <v>3.0000000000000001E-3</v>
      </c>
      <c r="AT27" s="147">
        <v>0</v>
      </c>
      <c r="AU27" s="147">
        <v>0</v>
      </c>
      <c r="AV27" s="147">
        <v>0</v>
      </c>
      <c r="AW27" s="147">
        <f>0.001*1.1</f>
        <v>1E-3</v>
      </c>
      <c r="AX27" s="147">
        <f>0.001*1.1</f>
        <v>1E-3</v>
      </c>
      <c r="AY27" s="147">
        <v>0</v>
      </c>
      <c r="AZ27" s="147">
        <f>0.002*1.1</f>
        <v>2E-3</v>
      </c>
      <c r="BA27" s="147">
        <v>0</v>
      </c>
      <c r="BB27" s="147">
        <f>0.001*1.1</f>
        <v>1E-3</v>
      </c>
      <c r="BC27" s="147">
        <f>0.001*1.1</f>
        <v>1E-3</v>
      </c>
      <c r="BD27" s="147">
        <v>0</v>
      </c>
      <c r="BE27" s="147">
        <v>0</v>
      </c>
      <c r="BF27" s="147">
        <f>0.001*1.1</f>
        <v>1E-3</v>
      </c>
      <c r="BG27" s="147">
        <v>0</v>
      </c>
      <c r="BH27" s="147">
        <f>0.002*1.1</f>
        <v>2E-3</v>
      </c>
      <c r="BI27" s="147">
        <v>0</v>
      </c>
      <c r="BJ27" s="147">
        <f>0.001*1.1</f>
        <v>1E-3</v>
      </c>
      <c r="BK27" s="147">
        <f>0.002*1.1</f>
        <v>2E-3</v>
      </c>
      <c r="BL27" s="147">
        <f>0.002*1.1</f>
        <v>2E-3</v>
      </c>
      <c r="BM27" s="147">
        <f>0.001*1.1</f>
        <v>1E-3</v>
      </c>
      <c r="BN27" s="147">
        <f>0.002*1.1</f>
        <v>2E-3</v>
      </c>
      <c r="BO27" s="147">
        <v>0</v>
      </c>
      <c r="BP27" s="147">
        <v>0</v>
      </c>
      <c r="BQ27" s="147">
        <v>0</v>
      </c>
      <c r="BR27" s="147">
        <v>0</v>
      </c>
      <c r="BS27" s="147">
        <f>0.001*1.1</f>
        <v>1E-3</v>
      </c>
      <c r="BT27" s="147">
        <f>0.002*1.1</f>
        <v>2E-3</v>
      </c>
      <c r="BU27" s="147">
        <f>0.001*1.1</f>
        <v>1E-3</v>
      </c>
      <c r="BV27" s="147">
        <f>0.002*1.1</f>
        <v>2E-3</v>
      </c>
      <c r="BW27" s="147">
        <v>0</v>
      </c>
      <c r="BX27" s="147">
        <f t="shared" ref="BX27:CD27" si="1">0.001*1.1</f>
        <v>1E-3</v>
      </c>
      <c r="BY27" s="147">
        <f t="shared" si="1"/>
        <v>1E-3</v>
      </c>
      <c r="BZ27" s="147">
        <f t="shared" si="1"/>
        <v>1E-3</v>
      </c>
      <c r="CA27" s="147">
        <f t="shared" si="1"/>
        <v>1E-3</v>
      </c>
      <c r="CB27" s="147">
        <f t="shared" si="1"/>
        <v>1E-3</v>
      </c>
      <c r="CC27" s="147">
        <f t="shared" si="1"/>
        <v>1E-3</v>
      </c>
      <c r="CD27" s="147">
        <f t="shared" si="1"/>
        <v>1E-3</v>
      </c>
      <c r="CE27" s="147">
        <v>0</v>
      </c>
      <c r="CF27" s="147">
        <f>0.001*1.1</f>
        <v>1E-3</v>
      </c>
      <c r="CG27" s="147">
        <f>0.001*1.1</f>
        <v>1E-3</v>
      </c>
      <c r="CH27" s="147">
        <f>0.001*1.1</f>
        <v>1E-3</v>
      </c>
      <c r="CI27" s="147"/>
      <c r="CJ27" s="147"/>
      <c r="CK27" s="147"/>
      <c r="CL27" s="147"/>
      <c r="CM27" s="147">
        <f>0.003*1.1</f>
        <v>3.0000000000000001E-3</v>
      </c>
      <c r="CN27" s="47">
        <v>0</v>
      </c>
      <c r="CO27" s="147">
        <v>0</v>
      </c>
      <c r="CP27" s="147">
        <v>0</v>
      </c>
      <c r="CQ27" s="147">
        <v>0</v>
      </c>
      <c r="CR27" s="147">
        <v>0</v>
      </c>
      <c r="CS27" s="147">
        <v>0</v>
      </c>
      <c r="CT27" s="147">
        <v>0</v>
      </c>
    </row>
    <row r="28" spans="1:98" ht="19.5" thickBot="1">
      <c r="A28" s="7" t="s">
        <v>31</v>
      </c>
      <c r="B28" s="10" t="s">
        <v>32</v>
      </c>
      <c r="C28" s="9"/>
      <c r="D28" s="47">
        <f>0.064*1.1</f>
        <v>7.0000000000000007E-2</v>
      </c>
      <c r="E28" s="47">
        <f>0.03*1.1</f>
        <v>3.3000000000000002E-2</v>
      </c>
      <c r="F28" s="47">
        <f>0.043*1.1</f>
        <v>4.7E-2</v>
      </c>
      <c r="G28" s="47">
        <f>0.028*1.1</f>
        <v>3.1E-2</v>
      </c>
      <c r="H28" s="47">
        <f>0.057*1.1</f>
        <v>6.3E-2</v>
      </c>
      <c r="I28" s="47">
        <f>0.026*1.1</f>
        <v>2.9000000000000001E-2</v>
      </c>
      <c r="J28" s="47">
        <f>0.059*1.1</f>
        <v>6.5000000000000002E-2</v>
      </c>
      <c r="K28" s="47">
        <f>0.026*1.1</f>
        <v>2.9000000000000001E-2</v>
      </c>
      <c r="L28" s="47">
        <f>0.041*1.1</f>
        <v>4.4999999999999998E-2</v>
      </c>
      <c r="M28" s="47">
        <f>0.039*1.1</f>
        <v>4.2999999999999997E-2</v>
      </c>
      <c r="N28" s="47">
        <f>0.038*1.1</f>
        <v>4.2000000000000003E-2</v>
      </c>
      <c r="O28" s="47">
        <f>0.069*1.1</f>
        <v>7.5999999999999998E-2</v>
      </c>
      <c r="P28" s="47">
        <f>0.03*1.1</f>
        <v>3.3000000000000002E-2</v>
      </c>
      <c r="Q28" s="47">
        <f>0.024*1.1</f>
        <v>2.5999999999999999E-2</v>
      </c>
      <c r="R28" s="47">
        <f>0.028*1.1</f>
        <v>3.1E-2</v>
      </c>
      <c r="S28" s="47">
        <f>0.037*1.1</f>
        <v>4.1000000000000002E-2</v>
      </c>
      <c r="T28" s="47">
        <f>0.039*1.1</f>
        <v>4.2999999999999997E-2</v>
      </c>
      <c r="U28" s="47">
        <f>0.065*1.1</f>
        <v>7.1999999999999995E-2</v>
      </c>
      <c r="V28" s="147">
        <f>0.032*1.1</f>
        <v>3.5000000000000003E-2</v>
      </c>
      <c r="W28" s="147">
        <f>0.023*1.1</f>
        <v>2.5000000000000001E-2</v>
      </c>
      <c r="X28" s="147">
        <f>0.025*1.1</f>
        <v>2.8000000000000001E-2</v>
      </c>
      <c r="Y28" s="147">
        <f>0.025*1.1</f>
        <v>2.8000000000000001E-2</v>
      </c>
      <c r="Z28" s="147">
        <f>0.033*1.1</f>
        <v>3.5999999999999997E-2</v>
      </c>
      <c r="AA28" s="147">
        <f>0.033*1.1</f>
        <v>3.5999999999999997E-2</v>
      </c>
      <c r="AB28" s="147">
        <f>0.038*1.1</f>
        <v>4.2000000000000003E-2</v>
      </c>
      <c r="AC28" s="147">
        <f>0.035*1.1</f>
        <v>3.9E-2</v>
      </c>
      <c r="AD28" s="147">
        <f>0.102*1.1</f>
        <v>0.112</v>
      </c>
      <c r="AE28" s="147">
        <f>0.08*1.1</f>
        <v>8.7999999999999995E-2</v>
      </c>
      <c r="AF28" s="147">
        <f>0.069*1.1</f>
        <v>7.5999999999999998E-2</v>
      </c>
      <c r="AG28" s="147">
        <f>0.088*1.1</f>
        <v>9.7000000000000003E-2</v>
      </c>
      <c r="AH28" s="147">
        <f>0.019*1.1</f>
        <v>2.1000000000000001E-2</v>
      </c>
      <c r="AI28" s="147">
        <f>0.027*1.1</f>
        <v>0.03</v>
      </c>
      <c r="AJ28" s="147">
        <f>0.027*1.1</f>
        <v>0.03</v>
      </c>
      <c r="AK28" s="147">
        <f>0.031*1.1</f>
        <v>3.4000000000000002E-2</v>
      </c>
      <c r="AL28" s="147">
        <f>0.019*1.1</f>
        <v>2.1000000000000001E-2</v>
      </c>
      <c r="AM28" s="147">
        <f>0.036*1.1</f>
        <v>0.04</v>
      </c>
      <c r="AN28" s="147">
        <f>0.017*1.1</f>
        <v>1.9E-2</v>
      </c>
      <c r="AO28" s="147">
        <f>0.152*1.1</f>
        <v>0.16700000000000001</v>
      </c>
      <c r="AP28" s="147">
        <f>0.072*1.1</f>
        <v>7.9000000000000001E-2</v>
      </c>
      <c r="AQ28" s="147">
        <f>0.062*1.1</f>
        <v>6.8000000000000005E-2</v>
      </c>
      <c r="AR28" s="147">
        <f>0.03*1.1</f>
        <v>3.3000000000000002E-2</v>
      </c>
      <c r="AS28" s="147">
        <f>0.043*1.1</f>
        <v>4.7E-2</v>
      </c>
      <c r="AT28" s="147">
        <f>0.046*1.1</f>
        <v>5.0999999999999997E-2</v>
      </c>
      <c r="AU28" s="147">
        <f>0.048*1.1</f>
        <v>5.2999999999999999E-2</v>
      </c>
      <c r="AV28" s="147">
        <f>0.044*1.1</f>
        <v>4.8000000000000001E-2</v>
      </c>
      <c r="AW28" s="147">
        <f>0.029*1.1</f>
        <v>3.2000000000000001E-2</v>
      </c>
      <c r="AX28" s="147">
        <f>0.028*1.1</f>
        <v>3.1E-2</v>
      </c>
      <c r="AY28" s="147">
        <f>0.031*1.1</f>
        <v>3.4000000000000002E-2</v>
      </c>
      <c r="AZ28" s="147">
        <f>0.044*1.1</f>
        <v>4.8000000000000001E-2</v>
      </c>
      <c r="BA28" s="147">
        <f>0.045*1.1</f>
        <v>0.05</v>
      </c>
      <c r="BB28" s="147">
        <f>0.032*1.1</f>
        <v>3.5000000000000003E-2</v>
      </c>
      <c r="BC28" s="147">
        <f>0.031*1.1</f>
        <v>3.4000000000000002E-2</v>
      </c>
      <c r="BD28" s="147">
        <f>0.265*1.1</f>
        <v>0.29199999999999998</v>
      </c>
      <c r="BE28" s="147">
        <f>0.061*1.1</f>
        <v>6.7000000000000004E-2</v>
      </c>
      <c r="BF28" s="147">
        <f>0.025*1.1</f>
        <v>2.8000000000000001E-2</v>
      </c>
      <c r="BG28" s="147">
        <f>0.169*1.1</f>
        <v>0.186</v>
      </c>
      <c r="BH28" s="147">
        <f>0.062*1.1</f>
        <v>6.8000000000000005E-2</v>
      </c>
      <c r="BI28" s="147">
        <f>0.168*1.1</f>
        <v>0.185</v>
      </c>
      <c r="BJ28" s="147">
        <f>0.033*1.1</f>
        <v>3.5999999999999997E-2</v>
      </c>
      <c r="BK28" s="147">
        <f>0.014*1.1</f>
        <v>1.4999999999999999E-2</v>
      </c>
      <c r="BL28" s="147">
        <f>0.053*1.1</f>
        <v>5.8000000000000003E-2</v>
      </c>
      <c r="BM28" s="147">
        <f>0.024*1.1</f>
        <v>2.5999999999999999E-2</v>
      </c>
      <c r="BN28" s="147">
        <f>0.027*1.1</f>
        <v>0.03</v>
      </c>
      <c r="BO28" s="147">
        <f>0.008*1.1</f>
        <v>8.9999999999999993E-3</v>
      </c>
      <c r="BP28" s="147">
        <f>0.171*1.1</f>
        <v>0.188</v>
      </c>
      <c r="BQ28" s="147">
        <f>0.175*1.1</f>
        <v>0.193</v>
      </c>
      <c r="BR28" s="147">
        <f>0.025*1.1</f>
        <v>2.8000000000000001E-2</v>
      </c>
      <c r="BS28" s="147">
        <f>0.043*1.1</f>
        <v>4.7E-2</v>
      </c>
      <c r="BT28" s="147">
        <f>0.154*1.1</f>
        <v>0.16900000000000001</v>
      </c>
      <c r="BU28" s="147">
        <f>0.032*1.1</f>
        <v>3.5000000000000003E-2</v>
      </c>
      <c r="BV28" s="147">
        <f>0.063*1.1</f>
        <v>6.9000000000000006E-2</v>
      </c>
      <c r="BW28" s="147">
        <f>0.031*1.1</f>
        <v>3.4000000000000002E-2</v>
      </c>
      <c r="BX28" s="147">
        <f>0.028*1.1</f>
        <v>3.1E-2</v>
      </c>
      <c r="BY28" s="147">
        <f>0.028*1.1</f>
        <v>3.1E-2</v>
      </c>
      <c r="BZ28" s="147">
        <f>0.034*1.1</f>
        <v>3.6999999999999998E-2</v>
      </c>
      <c r="CA28" s="147">
        <f>0.033*1.1</f>
        <v>3.5999999999999997E-2</v>
      </c>
      <c r="CB28" s="147">
        <f>0.055*1.1</f>
        <v>6.0999999999999999E-2</v>
      </c>
      <c r="CC28" s="147">
        <f>0.055*1.1</f>
        <v>6.0999999999999999E-2</v>
      </c>
      <c r="CD28" s="147">
        <f>0.053*1.1</f>
        <v>5.8000000000000003E-2</v>
      </c>
      <c r="CE28" s="147">
        <f>0.221*1.1</f>
        <v>0.24299999999999999</v>
      </c>
      <c r="CF28" s="147">
        <f>0.025*1.1</f>
        <v>2.8000000000000001E-2</v>
      </c>
      <c r="CG28" s="147">
        <f>0.054*1.1</f>
        <v>5.8999999999999997E-2</v>
      </c>
      <c r="CH28" s="147">
        <f>0.054*1.1</f>
        <v>5.8999999999999997E-2</v>
      </c>
      <c r="CI28" s="147">
        <f>0.086*1.1</f>
        <v>9.5000000000000001E-2</v>
      </c>
      <c r="CJ28" s="147">
        <f>0.087*1.1</f>
        <v>9.6000000000000002E-2</v>
      </c>
      <c r="CK28" s="147">
        <f>0.053*1.1</f>
        <v>5.8000000000000003E-2</v>
      </c>
      <c r="CL28" s="147">
        <f>0.064*1.1</f>
        <v>7.0000000000000007E-2</v>
      </c>
      <c r="CM28" s="147">
        <f>0.057*1.1</f>
        <v>6.3E-2</v>
      </c>
      <c r="CN28" s="47">
        <f>0.121*1.1</f>
        <v>0.13300000000000001</v>
      </c>
      <c r="CO28" s="147">
        <f>0.241*1.1</f>
        <v>0.26500000000000001</v>
      </c>
      <c r="CP28" s="147">
        <f>0.245*1.1</f>
        <v>0.27</v>
      </c>
      <c r="CQ28" s="147">
        <f>0.243*1.1</f>
        <v>0.26700000000000002</v>
      </c>
      <c r="CR28" s="147">
        <f>0.242*1.1</f>
        <v>0.26600000000000001</v>
      </c>
      <c r="CS28" s="147">
        <f>0.261*1.1</f>
        <v>0.28699999999999998</v>
      </c>
      <c r="CT28" s="147">
        <f>0.022*1.1</f>
        <v>2.4E-2</v>
      </c>
    </row>
    <row r="29" spans="1:98" ht="38.25" thickBot="1">
      <c r="A29" s="7" t="s">
        <v>33</v>
      </c>
      <c r="B29" s="10" t="s">
        <v>34</v>
      </c>
      <c r="C29" s="9"/>
      <c r="D29" s="47">
        <f>0.069*1.3</f>
        <v>0.09</v>
      </c>
      <c r="E29" s="47">
        <f>0.034*1.3</f>
        <v>4.3999999999999997E-2</v>
      </c>
      <c r="F29" s="47">
        <f>0.082*1.3</f>
        <v>0.107</v>
      </c>
      <c r="G29" s="47">
        <f>0.096*1.3</f>
        <v>0.125</v>
      </c>
      <c r="H29" s="47">
        <f>0.087*1.3</f>
        <v>0.113</v>
      </c>
      <c r="I29" s="47">
        <f>0.104*1.3</f>
        <v>0.13500000000000001</v>
      </c>
      <c r="J29" s="47">
        <f>0.097*1.3</f>
        <v>0.126</v>
      </c>
      <c r="K29" s="47">
        <f>0.104*1.3</f>
        <v>0.13500000000000001</v>
      </c>
      <c r="L29" s="47">
        <f>0.131*1.3</f>
        <v>0.17</v>
      </c>
      <c r="M29" s="47">
        <f>0.137*1.3</f>
        <v>0.17799999999999999</v>
      </c>
      <c r="N29" s="47">
        <f>0.127*1.3</f>
        <v>0.16500000000000001</v>
      </c>
      <c r="O29" s="47">
        <f>0.071*1.3</f>
        <v>9.1999999999999998E-2</v>
      </c>
      <c r="P29" s="47">
        <f>0.08*1.3</f>
        <v>0.104</v>
      </c>
      <c r="Q29" s="47">
        <f>0.109*1.3</f>
        <v>0.14199999999999999</v>
      </c>
      <c r="R29" s="47">
        <f>0.041*1.3</f>
        <v>5.2999999999999999E-2</v>
      </c>
      <c r="S29" s="47">
        <f>0.082*1.3</f>
        <v>0.107</v>
      </c>
      <c r="T29" s="47">
        <f>0.035*1.3</f>
        <v>4.5999999999999999E-2</v>
      </c>
      <c r="U29" s="47">
        <f>0.081*1.3</f>
        <v>0.105</v>
      </c>
      <c r="V29" s="147">
        <f>0.047*1.3</f>
        <v>6.0999999999999999E-2</v>
      </c>
      <c r="W29" s="147">
        <f>0.063*1.3</f>
        <v>8.2000000000000003E-2</v>
      </c>
      <c r="X29" s="147">
        <f>0.088*1.3</f>
        <v>0.114</v>
      </c>
      <c r="Y29" s="147">
        <f>0.084*1.3</f>
        <v>0.109</v>
      </c>
      <c r="Z29" s="147">
        <f>0.118*1.3</f>
        <v>0.153</v>
      </c>
      <c r="AA29" s="147">
        <f>0.044*1.3</f>
        <v>5.7000000000000002E-2</v>
      </c>
      <c r="AB29" s="147">
        <f>0.034*1.3</f>
        <v>4.3999999999999997E-2</v>
      </c>
      <c r="AC29" s="147">
        <f>0.094*1.3</f>
        <v>0.122</v>
      </c>
      <c r="AD29" s="147">
        <v>0</v>
      </c>
      <c r="AE29" s="147">
        <v>0</v>
      </c>
      <c r="AF29" s="147">
        <v>0</v>
      </c>
      <c r="AG29" s="147">
        <v>0</v>
      </c>
      <c r="AH29" s="147">
        <f>0.074*1.3</f>
        <v>9.6000000000000002E-2</v>
      </c>
      <c r="AI29" s="147">
        <f>0.223*1.3</f>
        <v>0.28999999999999998</v>
      </c>
      <c r="AJ29" s="147">
        <f>0.137*1.3</f>
        <v>0.17799999999999999</v>
      </c>
      <c r="AK29" s="147">
        <f>0.215*1.3</f>
        <v>0.28000000000000003</v>
      </c>
      <c r="AL29" s="147">
        <f>0.207*1.3</f>
        <v>0.26900000000000002</v>
      </c>
      <c r="AM29" s="147">
        <v>0</v>
      </c>
      <c r="AN29" s="147">
        <f>0.204*1.3</f>
        <v>0.26500000000000001</v>
      </c>
      <c r="AO29" s="147">
        <f>0.234*1.3</f>
        <v>0.30399999999999999</v>
      </c>
      <c r="AP29" s="147">
        <f>0.141*1.3</f>
        <v>0.183</v>
      </c>
      <c r="AQ29" s="147">
        <v>0</v>
      </c>
      <c r="AR29" s="147">
        <v>0</v>
      </c>
      <c r="AS29" s="147">
        <f>0.266*1.3</f>
        <v>0.34599999999999997</v>
      </c>
      <c r="AT29" s="147">
        <f>0.052*1.3</f>
        <v>6.8000000000000005E-2</v>
      </c>
      <c r="AU29" s="147">
        <f>0.051*1.3</f>
        <v>6.6000000000000003E-2</v>
      </c>
      <c r="AV29" s="147">
        <f>0.059*1.3</f>
        <v>7.6999999999999999E-2</v>
      </c>
      <c r="AW29" s="147">
        <f>0.05*1.3</f>
        <v>6.5000000000000002E-2</v>
      </c>
      <c r="AX29" s="147">
        <f>0.044*1.3</f>
        <v>5.7000000000000002E-2</v>
      </c>
      <c r="AY29" s="147">
        <f>0.09*1.3</f>
        <v>0.11700000000000001</v>
      </c>
      <c r="AZ29" s="147">
        <f>0.087*1.3</f>
        <v>0.113</v>
      </c>
      <c r="BA29" s="147">
        <f>0.079*1.3</f>
        <v>0.10299999999999999</v>
      </c>
      <c r="BB29" s="147">
        <f>0.065*1.3</f>
        <v>8.5000000000000006E-2</v>
      </c>
      <c r="BC29" s="147">
        <f>0.024*1.3</f>
        <v>3.1E-2</v>
      </c>
      <c r="BD29" s="147">
        <f>0.09*1.3</f>
        <v>0.11700000000000001</v>
      </c>
      <c r="BE29" s="147">
        <f>0.108*1.3</f>
        <v>0.14000000000000001</v>
      </c>
      <c r="BF29" s="147">
        <f>0.076*1.3</f>
        <v>9.9000000000000005E-2</v>
      </c>
      <c r="BG29" s="147">
        <f>0.178*1.3</f>
        <v>0.23100000000000001</v>
      </c>
      <c r="BH29" s="147">
        <f>0.081*1.3</f>
        <v>0.105</v>
      </c>
      <c r="BI29" s="147">
        <f>0.176*1.3</f>
        <v>0.22900000000000001</v>
      </c>
      <c r="BJ29" s="147">
        <f>0.104*1.3</f>
        <v>0.13500000000000001</v>
      </c>
      <c r="BK29" s="147">
        <f>0.161*1.3</f>
        <v>0.20899999999999999</v>
      </c>
      <c r="BL29" s="147">
        <f>0.091*1.3</f>
        <v>0.11799999999999999</v>
      </c>
      <c r="BM29" s="147">
        <f>0.028*1.3</f>
        <v>3.5999999999999997E-2</v>
      </c>
      <c r="BN29" s="147">
        <f>0.146*1.3</f>
        <v>0.19</v>
      </c>
      <c r="BO29" s="147">
        <f>0.071*1.3</f>
        <v>9.1999999999999998E-2</v>
      </c>
      <c r="BP29" s="147">
        <f>0.217*1.3</f>
        <v>0.28199999999999997</v>
      </c>
      <c r="BQ29" s="147">
        <f>0.221*1.3</f>
        <v>0.28699999999999998</v>
      </c>
      <c r="BR29" s="147">
        <f>0.12*1.3</f>
        <v>0.156</v>
      </c>
      <c r="BS29" s="147">
        <f>0.092*1.3</f>
        <v>0.12</v>
      </c>
      <c r="BT29" s="147">
        <f>0.1*1.3</f>
        <v>0.13</v>
      </c>
      <c r="BU29" s="147">
        <f>0.084*1.3</f>
        <v>0.109</v>
      </c>
      <c r="BV29" s="147">
        <f>0.076*1.3</f>
        <v>9.9000000000000005E-2</v>
      </c>
      <c r="BW29" s="147">
        <f>0.092*1.3</f>
        <v>0.12</v>
      </c>
      <c r="BX29" s="147">
        <f>0.043*1.3</f>
        <v>5.6000000000000001E-2</v>
      </c>
      <c r="BY29" s="147">
        <f>0.06*1.3</f>
        <v>7.8E-2</v>
      </c>
      <c r="BZ29" s="147">
        <f>0.035*1.3</f>
        <v>4.5999999999999999E-2</v>
      </c>
      <c r="CA29" s="147">
        <f>0.042*1.3</f>
        <v>5.5E-2</v>
      </c>
      <c r="CB29" s="147">
        <f>0.057*1.3</f>
        <v>7.3999999999999996E-2</v>
      </c>
      <c r="CC29" s="147">
        <f>0.093*1.3</f>
        <v>0.121</v>
      </c>
      <c r="CD29" s="147">
        <f>0.066*1.3</f>
        <v>8.5999999999999993E-2</v>
      </c>
      <c r="CE29" s="147">
        <v>0</v>
      </c>
      <c r="CF29" s="147">
        <f>0.103*1.3</f>
        <v>0.13400000000000001</v>
      </c>
      <c r="CG29" s="147">
        <f>0.041*1.3</f>
        <v>5.2999999999999999E-2</v>
      </c>
      <c r="CH29" s="147">
        <f>0.086*1.3</f>
        <v>0.112</v>
      </c>
      <c r="CI29" s="147">
        <f>0.182*1.3</f>
        <v>0.23699999999999999</v>
      </c>
      <c r="CJ29" s="147">
        <f>0.194*1.3</f>
        <v>0.252</v>
      </c>
      <c r="CK29" s="147">
        <f>0.327*1.3</f>
        <v>0.42499999999999999</v>
      </c>
      <c r="CL29" s="147">
        <f>0.294*1.3</f>
        <v>0.38200000000000001</v>
      </c>
      <c r="CM29" s="147">
        <f>0.277*1.3</f>
        <v>0.36</v>
      </c>
      <c r="CN29" s="47">
        <v>0</v>
      </c>
      <c r="CO29" s="147">
        <f>0.032*1.3</f>
        <v>4.2000000000000003E-2</v>
      </c>
      <c r="CP29" s="147">
        <f>0.033*1.3</f>
        <v>4.2999999999999997E-2</v>
      </c>
      <c r="CQ29" s="147">
        <f>0.032*1.3</f>
        <v>4.2000000000000003E-2</v>
      </c>
      <c r="CR29" s="147">
        <f>0.032*1.3</f>
        <v>4.2000000000000003E-2</v>
      </c>
      <c r="CS29" s="147">
        <f>0.032*1.3</f>
        <v>4.2000000000000003E-2</v>
      </c>
      <c r="CT29" s="147">
        <f>0.031*1.3</f>
        <v>0.04</v>
      </c>
    </row>
    <row r="30" spans="1:98" ht="19.5" thickBot="1">
      <c r="A30" s="7" t="s">
        <v>35</v>
      </c>
      <c r="B30" s="179" t="s">
        <v>36</v>
      </c>
      <c r="C30" s="180"/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0</v>
      </c>
      <c r="AA30" s="147">
        <v>0</v>
      </c>
      <c r="AB30" s="147">
        <v>0</v>
      </c>
      <c r="AC30" s="147">
        <v>0</v>
      </c>
      <c r="AD30" s="147">
        <v>0</v>
      </c>
      <c r="AE30" s="147">
        <v>0</v>
      </c>
      <c r="AF30" s="147">
        <v>0</v>
      </c>
      <c r="AG30" s="147">
        <v>0</v>
      </c>
      <c r="AH30" s="147">
        <v>0</v>
      </c>
      <c r="AI30" s="147">
        <v>0</v>
      </c>
      <c r="AJ30" s="147">
        <v>0</v>
      </c>
      <c r="AK30" s="147">
        <v>0</v>
      </c>
      <c r="AL30" s="147">
        <v>0</v>
      </c>
      <c r="AM30" s="147">
        <v>0</v>
      </c>
      <c r="AN30" s="147">
        <v>0</v>
      </c>
      <c r="AO30" s="147">
        <v>0</v>
      </c>
      <c r="AP30" s="147">
        <v>0</v>
      </c>
      <c r="AQ30" s="147">
        <v>0</v>
      </c>
      <c r="AR30" s="147">
        <v>0</v>
      </c>
      <c r="AS30" s="147">
        <v>0</v>
      </c>
      <c r="AT30" s="147">
        <v>0</v>
      </c>
      <c r="AU30" s="147">
        <v>0</v>
      </c>
      <c r="AV30" s="147">
        <v>0</v>
      </c>
      <c r="AW30" s="147">
        <v>0</v>
      </c>
      <c r="AX30" s="147">
        <v>0</v>
      </c>
      <c r="AY30" s="147">
        <v>0</v>
      </c>
      <c r="AZ30" s="147">
        <v>0</v>
      </c>
      <c r="BA30" s="147">
        <f>0</f>
        <v>0</v>
      </c>
      <c r="BB30" s="147">
        <v>0</v>
      </c>
      <c r="BC30" s="147">
        <v>0</v>
      </c>
      <c r="BD30" s="147">
        <v>0</v>
      </c>
      <c r="BE30" s="147">
        <v>0</v>
      </c>
      <c r="BF30" s="147">
        <v>0</v>
      </c>
      <c r="BG30" s="147">
        <v>0</v>
      </c>
      <c r="BH30" s="147">
        <v>0</v>
      </c>
      <c r="BI30" s="147">
        <v>0</v>
      </c>
      <c r="BJ30" s="147">
        <v>0</v>
      </c>
      <c r="BK30" s="147">
        <v>0</v>
      </c>
      <c r="BL30" s="147">
        <v>0</v>
      </c>
      <c r="BM30" s="147">
        <v>0</v>
      </c>
      <c r="BN30" s="147">
        <v>0</v>
      </c>
      <c r="BO30" s="147">
        <v>0</v>
      </c>
      <c r="BP30" s="147">
        <v>0</v>
      </c>
      <c r="BQ30" s="147">
        <v>0</v>
      </c>
      <c r="BR30" s="147">
        <v>0</v>
      </c>
      <c r="BS30" s="147">
        <v>0</v>
      </c>
      <c r="BT30" s="147">
        <v>0</v>
      </c>
      <c r="BU30" s="147">
        <v>0</v>
      </c>
      <c r="BV30" s="147">
        <v>0</v>
      </c>
      <c r="BW30" s="147">
        <v>0</v>
      </c>
      <c r="BX30" s="147">
        <v>0</v>
      </c>
      <c r="BY30" s="147">
        <v>0</v>
      </c>
      <c r="BZ30" s="147">
        <v>0</v>
      </c>
      <c r="CA30" s="147">
        <v>0</v>
      </c>
      <c r="CB30" s="147">
        <v>0</v>
      </c>
      <c r="CC30" s="147">
        <v>0</v>
      </c>
      <c r="CD30" s="147">
        <v>0</v>
      </c>
      <c r="CE30" s="147">
        <v>0</v>
      </c>
      <c r="CF30" s="147">
        <v>0</v>
      </c>
      <c r="CG30" s="147">
        <v>0</v>
      </c>
      <c r="CH30" s="147">
        <v>0</v>
      </c>
      <c r="CI30" s="147">
        <v>0</v>
      </c>
      <c r="CJ30" s="147">
        <v>0</v>
      </c>
      <c r="CK30" s="147">
        <v>0</v>
      </c>
      <c r="CL30" s="147">
        <v>0</v>
      </c>
      <c r="CM30" s="147">
        <v>0</v>
      </c>
      <c r="CN30" s="47">
        <v>0</v>
      </c>
      <c r="CO30" s="147">
        <v>0</v>
      </c>
      <c r="CP30" s="147">
        <v>0</v>
      </c>
      <c r="CQ30" s="147">
        <v>0</v>
      </c>
      <c r="CR30" s="147">
        <v>0</v>
      </c>
      <c r="CS30" s="147">
        <v>0</v>
      </c>
      <c r="CT30" s="147">
        <v>0</v>
      </c>
    </row>
    <row r="31" spans="1:98" ht="38.25" thickBot="1">
      <c r="A31" s="7" t="s">
        <v>37</v>
      </c>
      <c r="B31" s="10" t="s">
        <v>38</v>
      </c>
      <c r="C31" s="9"/>
      <c r="D31" s="147">
        <f>0.01*1.6</f>
        <v>1.6E-2</v>
      </c>
      <c r="E31" s="147">
        <f>0.023*1.8</f>
        <v>4.1000000000000002E-2</v>
      </c>
      <c r="F31" s="47">
        <f>0.04*1.6</f>
        <v>6.4000000000000001E-2</v>
      </c>
      <c r="G31" s="47">
        <f>0.044*1.6</f>
        <v>7.0000000000000007E-2</v>
      </c>
      <c r="H31" s="47">
        <f>0.054*1.6</f>
        <v>8.5999999999999993E-2</v>
      </c>
      <c r="I31" s="47">
        <f>0.063*1.6</f>
        <v>0.10100000000000001</v>
      </c>
      <c r="J31" s="47">
        <f>0.027*1.6</f>
        <v>4.2999999999999997E-2</v>
      </c>
      <c r="K31" s="47">
        <f>0.019*1.6</f>
        <v>0.03</v>
      </c>
      <c r="L31" s="47">
        <f>0.063*1.6</f>
        <v>0.10100000000000001</v>
      </c>
      <c r="M31" s="47">
        <f>0.048*1.6</f>
        <v>7.6999999999999999E-2</v>
      </c>
      <c r="N31" s="47">
        <f>0.048*1.6</f>
        <v>7.6999999999999999E-2</v>
      </c>
      <c r="O31" s="47">
        <f>0.013*1.6</f>
        <v>2.1000000000000001E-2</v>
      </c>
      <c r="P31" s="47">
        <f>0.039*1.6</f>
        <v>6.2E-2</v>
      </c>
      <c r="Q31" s="47">
        <f>0.018*1.6</f>
        <v>2.9000000000000001E-2</v>
      </c>
      <c r="R31" s="47">
        <f>0.011*1.6</f>
        <v>1.7999999999999999E-2</v>
      </c>
      <c r="S31" s="47">
        <f>0.048*1.6</f>
        <v>7.6999999999999999E-2</v>
      </c>
      <c r="T31" s="47">
        <f>0.03*1.6</f>
        <v>4.8000000000000001E-2</v>
      </c>
      <c r="U31" s="47">
        <f>0.057*1.6</f>
        <v>9.0999999999999998E-2</v>
      </c>
      <c r="V31" s="147">
        <f>0.035*1.6</f>
        <v>5.6000000000000001E-2</v>
      </c>
      <c r="W31" s="147">
        <f>0.043*1.6</f>
        <v>6.9000000000000006E-2</v>
      </c>
      <c r="X31" s="147">
        <f>0.046*1.6</f>
        <v>7.3999999999999996E-2</v>
      </c>
      <c r="Y31" s="147">
        <f>0.058*1.6</f>
        <v>9.2999999999999999E-2</v>
      </c>
      <c r="Z31" s="147">
        <f>0.039*1.6</f>
        <v>6.2E-2</v>
      </c>
      <c r="AA31" s="147">
        <f>0.037*1.6</f>
        <v>5.8999999999999997E-2</v>
      </c>
      <c r="AB31" s="147">
        <f>0.039*1.6</f>
        <v>6.2E-2</v>
      </c>
      <c r="AC31" s="147">
        <f>0.037*1.6</f>
        <v>5.8999999999999997E-2</v>
      </c>
      <c r="AD31" s="147">
        <f>0.002*1.6</f>
        <v>3.0000000000000001E-3</v>
      </c>
      <c r="AE31" s="147">
        <v>0</v>
      </c>
      <c r="AF31" s="147">
        <v>0</v>
      </c>
      <c r="AG31" s="147">
        <v>0</v>
      </c>
      <c r="AH31" s="147">
        <f>0.052*1.6</f>
        <v>8.3000000000000004E-2</v>
      </c>
      <c r="AI31" s="147">
        <f>0.045*1.6</f>
        <v>7.1999999999999995E-2</v>
      </c>
      <c r="AJ31" s="147">
        <f>0.045*1.6</f>
        <v>7.1999999999999995E-2</v>
      </c>
      <c r="AK31" s="147">
        <f>0.012*1.6</f>
        <v>1.9E-2</v>
      </c>
      <c r="AL31" s="147">
        <f>0.015*1.6</f>
        <v>2.4E-2</v>
      </c>
      <c r="AM31" s="147">
        <v>0</v>
      </c>
      <c r="AN31" s="147">
        <f>0.027*1.6</f>
        <v>4.2999999999999997E-2</v>
      </c>
      <c r="AO31" s="147">
        <f>0.016*1.6</f>
        <v>2.5999999999999999E-2</v>
      </c>
      <c r="AP31" s="147">
        <f>0.036*1.6</f>
        <v>5.8000000000000003E-2</v>
      </c>
      <c r="AQ31" s="147">
        <v>0</v>
      </c>
      <c r="AR31" s="147">
        <v>0</v>
      </c>
      <c r="AS31" s="147">
        <f>0.061*1.6</f>
        <v>9.8000000000000004E-2</v>
      </c>
      <c r="AT31" s="147">
        <f>0.022*1.6</f>
        <v>3.5000000000000003E-2</v>
      </c>
      <c r="AU31" s="147">
        <f>0.024*1.6</f>
        <v>3.7999999999999999E-2</v>
      </c>
      <c r="AV31" s="147">
        <f>0.02*1.6</f>
        <v>3.2000000000000001E-2</v>
      </c>
      <c r="AW31" s="147">
        <f>0.01*1.6</f>
        <v>1.6E-2</v>
      </c>
      <c r="AX31" s="147">
        <f>0.011*1.6</f>
        <v>1.7999999999999999E-2</v>
      </c>
      <c r="AY31" s="147">
        <f>0.028*1.6</f>
        <v>4.4999999999999998E-2</v>
      </c>
      <c r="AZ31" s="147">
        <f>0.052*1.6</f>
        <v>8.3000000000000004E-2</v>
      </c>
      <c r="BA31" s="147">
        <f>0.026*1.6</f>
        <v>4.2000000000000003E-2</v>
      </c>
      <c r="BB31" s="147">
        <f>0.037*1.6</f>
        <v>5.8999999999999997E-2</v>
      </c>
      <c r="BC31" s="147">
        <f>0.017*1.6</f>
        <v>2.7E-2</v>
      </c>
      <c r="BD31" s="147">
        <f>0.042*1.6</f>
        <v>6.7000000000000004E-2</v>
      </c>
      <c r="BE31" s="147">
        <f>0.043*1.6</f>
        <v>6.9000000000000006E-2</v>
      </c>
      <c r="BF31" s="147">
        <f>0.052*1.6</f>
        <v>8.3000000000000004E-2</v>
      </c>
      <c r="BG31" s="147">
        <f>0.028*1.6</f>
        <v>4.4999999999999998E-2</v>
      </c>
      <c r="BH31" s="147">
        <f>0.011*1.6</f>
        <v>1.7999999999999999E-2</v>
      </c>
      <c r="BI31" s="147">
        <f>0.027*1.6</f>
        <v>4.2999999999999997E-2</v>
      </c>
      <c r="BJ31" s="147">
        <f>0.049*1.6</f>
        <v>7.8E-2</v>
      </c>
      <c r="BK31" s="147">
        <f>0.018*1.6</f>
        <v>2.9000000000000001E-2</v>
      </c>
      <c r="BL31" s="147">
        <f>0.041*1.6</f>
        <v>6.6000000000000003E-2</v>
      </c>
      <c r="BM31" s="147">
        <f>0.009*1.6</f>
        <v>1.4E-2</v>
      </c>
      <c r="BN31" s="147">
        <f>0.083*1.6</f>
        <v>0.13300000000000001</v>
      </c>
      <c r="BO31" s="147">
        <f>0.069*1.6</f>
        <v>0.11</v>
      </c>
      <c r="BP31" s="147">
        <f>0.027*1.6</f>
        <v>4.2999999999999997E-2</v>
      </c>
      <c r="BQ31" s="147">
        <f>0.023*1.6</f>
        <v>3.6999999999999998E-2</v>
      </c>
      <c r="BR31" s="147">
        <f>0.039*1.6</f>
        <v>6.2E-2</v>
      </c>
      <c r="BS31" s="147">
        <f>0.031*1.6</f>
        <v>0.05</v>
      </c>
      <c r="BT31" s="147">
        <f>0.044*1.6</f>
        <v>7.0000000000000007E-2</v>
      </c>
      <c r="BU31" s="147">
        <f>0.045*1.6</f>
        <v>7.1999999999999995E-2</v>
      </c>
      <c r="BV31" s="147">
        <f>0.056*1.6</f>
        <v>0.09</v>
      </c>
      <c r="BW31" s="147">
        <f>0.028*1.6</f>
        <v>4.4999999999999998E-2</v>
      </c>
      <c r="BX31" s="147">
        <f>0.022*1.6</f>
        <v>3.5000000000000003E-2</v>
      </c>
      <c r="BY31" s="147">
        <f>0.011*1.6</f>
        <v>1.7999999999999999E-2</v>
      </c>
      <c r="BZ31" s="147">
        <f>0.029*1.6</f>
        <v>4.5999999999999999E-2</v>
      </c>
      <c r="CA31" s="147">
        <f>0.03*1.6</f>
        <v>4.8000000000000001E-2</v>
      </c>
      <c r="CB31" s="147">
        <f>0.031*1.6</f>
        <v>0.05</v>
      </c>
      <c r="CC31" s="147">
        <f>0.033*1.6</f>
        <v>5.2999999999999999E-2</v>
      </c>
      <c r="CD31" s="147">
        <f>0.032*1.6</f>
        <v>5.0999999999999997E-2</v>
      </c>
      <c r="CE31" s="147">
        <v>0</v>
      </c>
      <c r="CF31" s="147">
        <f>0.02*1.6</f>
        <v>3.2000000000000001E-2</v>
      </c>
      <c r="CG31" s="147">
        <f>0.017*1.6</f>
        <v>2.7E-2</v>
      </c>
      <c r="CH31" s="147">
        <f>0.017*1.6</f>
        <v>2.7E-2</v>
      </c>
      <c r="CI31" s="147">
        <f>0.05*1.6</f>
        <v>0.08</v>
      </c>
      <c r="CJ31" s="147">
        <f>0.042*1.6</f>
        <v>6.7000000000000004E-2</v>
      </c>
      <c r="CK31" s="147">
        <f>0.027*1.6</f>
        <v>4.2999999999999997E-2</v>
      </c>
      <c r="CL31" s="147">
        <f>0.022*1.6</f>
        <v>3.5000000000000003E-2</v>
      </c>
      <c r="CM31" s="147">
        <f>0.028*1.6</f>
        <v>4.4999999999999998E-2</v>
      </c>
      <c r="CN31" s="47">
        <v>0</v>
      </c>
      <c r="CO31" s="147">
        <v>0</v>
      </c>
      <c r="CP31" s="147">
        <v>0</v>
      </c>
      <c r="CQ31" s="147">
        <v>0</v>
      </c>
      <c r="CR31" s="147">
        <v>0</v>
      </c>
      <c r="CS31" s="147">
        <v>0</v>
      </c>
      <c r="CT31" s="147">
        <v>0</v>
      </c>
    </row>
    <row r="32" spans="1:98" ht="18.75">
      <c r="A32" s="176" t="s">
        <v>39</v>
      </c>
      <c r="B32" s="12" t="s">
        <v>40</v>
      </c>
      <c r="C32" s="176"/>
      <c r="D32" s="47">
        <f>0.53*1.55</f>
        <v>0.82199999999999995</v>
      </c>
      <c r="E32" s="47">
        <f>0.484*1.55</f>
        <v>0.75</v>
      </c>
      <c r="F32" s="47">
        <f>0.753*1.55</f>
        <v>1.167</v>
      </c>
      <c r="G32" s="47">
        <f>0.993*1.55</f>
        <v>1.5389999999999999</v>
      </c>
      <c r="H32" s="47">
        <f>0.762*1.55</f>
        <v>1.181</v>
      </c>
      <c r="I32" s="47">
        <f>0.982*1.55</f>
        <v>1.522</v>
      </c>
      <c r="J32" s="47">
        <f>0.476*1.55</f>
        <v>0.73799999999999999</v>
      </c>
      <c r="K32" s="47">
        <f>0.96*1.55</f>
        <v>1.488</v>
      </c>
      <c r="L32" s="47">
        <f>0.842*1.55</f>
        <v>1.3049999999999999</v>
      </c>
      <c r="M32" s="47">
        <f>0.783*1.55</f>
        <v>1.214</v>
      </c>
      <c r="N32" s="47">
        <f>0.793*1.55</f>
        <v>1.2290000000000001</v>
      </c>
      <c r="O32" s="47">
        <f>0.581*1.55</f>
        <v>0.90100000000000002</v>
      </c>
      <c r="P32" s="47">
        <f>0.97*1.55</f>
        <v>1.504</v>
      </c>
      <c r="Q32" s="47">
        <f>0.517*1.55</f>
        <v>0.80100000000000005</v>
      </c>
      <c r="R32" s="47">
        <f>0.533*1.55</f>
        <v>0.82599999999999996</v>
      </c>
      <c r="S32" s="47">
        <f>0.909*1.55</f>
        <v>1.409</v>
      </c>
      <c r="T32" s="47">
        <f>0.826*1.55</f>
        <v>1.28</v>
      </c>
      <c r="U32" s="47">
        <f>0.86*1.55</f>
        <v>1.333</v>
      </c>
      <c r="V32" s="147">
        <f>0.82*1.55</f>
        <v>1.2709999999999999</v>
      </c>
      <c r="W32" s="147">
        <f>0.749*1.55</f>
        <v>1.161</v>
      </c>
      <c r="X32" s="147">
        <f>0.776*1.55</f>
        <v>1.2030000000000001</v>
      </c>
      <c r="Y32" s="147">
        <f>0.683*1.55</f>
        <v>1.0589999999999999</v>
      </c>
      <c r="Z32" s="147">
        <f>0.543*1.55</f>
        <v>0.84199999999999997</v>
      </c>
      <c r="AA32" s="147">
        <f>0.597*1.55</f>
        <v>0.92500000000000004</v>
      </c>
      <c r="AB32" s="147">
        <f>0.6*1.55</f>
        <v>0.93</v>
      </c>
      <c r="AC32" s="147">
        <f>0.557*1.55</f>
        <v>0.86299999999999999</v>
      </c>
      <c r="AD32" s="147">
        <f>0.378*1.55</f>
        <v>0.58599999999999997</v>
      </c>
      <c r="AE32" s="147">
        <f>0.334*1.55</f>
        <v>0.51800000000000002</v>
      </c>
      <c r="AF32" s="147">
        <f>0.357*1.55</f>
        <v>0.55300000000000005</v>
      </c>
      <c r="AG32" s="147">
        <f>0.336*1.55</f>
        <v>0.52100000000000002</v>
      </c>
      <c r="AH32" s="147">
        <f>0.604*1.55</f>
        <v>0.93600000000000005</v>
      </c>
      <c r="AI32" s="147">
        <f>0.565*1.55</f>
        <v>0.876</v>
      </c>
      <c r="AJ32" s="147">
        <f>0.566*1.55</f>
        <v>0.877</v>
      </c>
      <c r="AK32" s="147">
        <f>0.185*1.55</f>
        <v>0.28699999999999998</v>
      </c>
      <c r="AL32" s="147">
        <f>0.545*1.55</f>
        <v>0.84499999999999997</v>
      </c>
      <c r="AM32" s="147">
        <f>0.323*1.55</f>
        <v>0.501</v>
      </c>
      <c r="AN32" s="147">
        <f>0.456*1.55</f>
        <v>0.70699999999999996</v>
      </c>
      <c r="AO32" s="147">
        <f>0.702*1.55</f>
        <v>1.0880000000000001</v>
      </c>
      <c r="AP32" s="147">
        <f>0.797*1.55</f>
        <v>1.2350000000000001</v>
      </c>
      <c r="AQ32" s="147">
        <f>0.314*1.55</f>
        <v>0.48699999999999999</v>
      </c>
      <c r="AR32" s="147">
        <f>0.324*1.55</f>
        <v>0.502</v>
      </c>
      <c r="AS32" s="147">
        <f>0.557*1.55</f>
        <v>0.86299999999999999</v>
      </c>
      <c r="AT32" s="147">
        <f>0.332*1.55</f>
        <v>0.51500000000000001</v>
      </c>
      <c r="AU32" s="147">
        <f>0.369*1.55</f>
        <v>0.57199999999999995</v>
      </c>
      <c r="AV32" s="147">
        <f>0.361*1.55</f>
        <v>0.56000000000000005</v>
      </c>
      <c r="AW32" s="147">
        <f>0.443*1.55</f>
        <v>0.68700000000000006</v>
      </c>
      <c r="AX32" s="147">
        <f>0.501*1.55</f>
        <v>0.77700000000000002</v>
      </c>
      <c r="AY32" s="147">
        <f>0.451*1.55</f>
        <v>0.69899999999999995</v>
      </c>
      <c r="AZ32" s="147">
        <f>0.771*1.55</f>
        <v>1.1950000000000001</v>
      </c>
      <c r="BA32" s="147">
        <f>0.294*1.55</f>
        <v>0.45600000000000002</v>
      </c>
      <c r="BB32" s="147">
        <f>0.55*1.55</f>
        <v>0.85299999999999998</v>
      </c>
      <c r="BC32" s="147">
        <f>0.326*1.55</f>
        <v>0.505</v>
      </c>
      <c r="BD32" s="147">
        <f>0.557*1.55</f>
        <v>0.86299999999999999</v>
      </c>
      <c r="BE32" s="147">
        <f>0.704*1.55</f>
        <v>1.091</v>
      </c>
      <c r="BF32" s="147">
        <f>0.739*1.55</f>
        <v>1.145</v>
      </c>
      <c r="BG32" s="147">
        <f>0.477*1.55</f>
        <v>0.73899999999999999</v>
      </c>
      <c r="BH32" s="147">
        <f>0.483*1.55</f>
        <v>0.749</v>
      </c>
      <c r="BI32" s="147">
        <f>0.501*1.55</f>
        <v>0.77700000000000002</v>
      </c>
      <c r="BJ32" s="147">
        <f>0.637*1.55</f>
        <v>0.98699999999999999</v>
      </c>
      <c r="BK32" s="147">
        <f>0.443*1.55</f>
        <v>0.68700000000000006</v>
      </c>
      <c r="BL32" s="147">
        <f>0.78*1.55</f>
        <v>1.2090000000000001</v>
      </c>
      <c r="BM32" s="147">
        <f>0.747*1.55</f>
        <v>1.1579999999999999</v>
      </c>
      <c r="BN32" s="147">
        <f>1.008*1.55</f>
        <v>1.5620000000000001</v>
      </c>
      <c r="BO32" s="147">
        <f>0.642*1.55</f>
        <v>0.995</v>
      </c>
      <c r="BP32" s="147">
        <f>0.447*1.55</f>
        <v>0.69299999999999995</v>
      </c>
      <c r="BQ32" s="147">
        <f>0.418*1.55</f>
        <v>0.64800000000000002</v>
      </c>
      <c r="BR32" s="147">
        <f>0.712*1.55</f>
        <v>1.1040000000000001</v>
      </c>
      <c r="BS32" s="147">
        <f>0.63*1.55</f>
        <v>0.97699999999999998</v>
      </c>
      <c r="BT32" s="147">
        <f>0.913*1.55</f>
        <v>1.415</v>
      </c>
      <c r="BU32" s="147">
        <f>0.634*1.55</f>
        <v>0.98299999999999998</v>
      </c>
      <c r="BV32" s="147">
        <f>0.824*1.55</f>
        <v>1.2769999999999999</v>
      </c>
      <c r="BW32" s="147">
        <f>0.442*1.55</f>
        <v>0.68500000000000005</v>
      </c>
      <c r="BX32" s="147">
        <f>0.598*1.55</f>
        <v>0.92700000000000005</v>
      </c>
      <c r="BY32" s="147">
        <f>0.531*1.55</f>
        <v>0.82299999999999995</v>
      </c>
      <c r="BZ32" s="147">
        <f>0.585*1.55</f>
        <v>0.90700000000000003</v>
      </c>
      <c r="CA32" s="147">
        <f>0.619*1.55</f>
        <v>0.95899999999999996</v>
      </c>
      <c r="CB32" s="147">
        <f>0.616*1.55</f>
        <v>0.95499999999999996</v>
      </c>
      <c r="CC32" s="147">
        <f>0.515*1.55</f>
        <v>0.79800000000000004</v>
      </c>
      <c r="CD32" s="147">
        <f>0.533*1.55</f>
        <v>0.82599999999999996</v>
      </c>
      <c r="CE32" s="147">
        <f>0.379*1.55</f>
        <v>0.58699999999999997</v>
      </c>
      <c r="CF32" s="147">
        <f>0.901*1.55</f>
        <v>1.397</v>
      </c>
      <c r="CG32" s="147">
        <f>0.201*1.55</f>
        <v>0.312</v>
      </c>
      <c r="CH32" s="147">
        <f>0.201*1.55</f>
        <v>0.312</v>
      </c>
      <c r="CI32" s="147">
        <f>0.546*1.55</f>
        <v>0.84599999999999997</v>
      </c>
      <c r="CJ32" s="147">
        <f>0.523*1.55</f>
        <v>0.81100000000000005</v>
      </c>
      <c r="CK32" s="147">
        <f>0.234*1.55</f>
        <v>0.36299999999999999</v>
      </c>
      <c r="CL32" s="147">
        <f>0.491*1.55</f>
        <v>0.76100000000000001</v>
      </c>
      <c r="CM32" s="147">
        <f>0.06*1.55</f>
        <v>9.2999999999999999E-2</v>
      </c>
      <c r="CN32" s="47">
        <f>0.332*1.55</f>
        <v>0.51500000000000001</v>
      </c>
      <c r="CO32" s="147">
        <f>0.325*1.55</f>
        <v>0.504</v>
      </c>
      <c r="CP32" s="147">
        <f>0.369*1.55</f>
        <v>0.57199999999999995</v>
      </c>
      <c r="CQ32" s="147">
        <f>0.373*1.55</f>
        <v>0.57799999999999996</v>
      </c>
      <c r="CR32" s="147">
        <f>0.349*1.55</f>
        <v>0.54100000000000004</v>
      </c>
      <c r="CS32" s="147">
        <f>0.362*1.55</f>
        <v>0.56100000000000005</v>
      </c>
      <c r="CT32" s="147">
        <f>0.394*1.55</f>
        <v>0.61099999999999999</v>
      </c>
    </row>
    <row r="33" spans="1:98" ht="18.75">
      <c r="A33" s="177"/>
      <c r="B33" s="12" t="s">
        <v>41</v>
      </c>
      <c r="C33" s="177"/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147">
        <v>0</v>
      </c>
      <c r="W33" s="147">
        <v>0</v>
      </c>
      <c r="X33" s="147">
        <v>0</v>
      </c>
      <c r="Y33" s="147">
        <v>0</v>
      </c>
      <c r="Z33" s="147">
        <v>0</v>
      </c>
      <c r="AA33" s="147">
        <v>0</v>
      </c>
      <c r="AB33" s="147">
        <v>0</v>
      </c>
      <c r="AC33" s="147">
        <v>0</v>
      </c>
      <c r="AD33" s="147">
        <v>0</v>
      </c>
      <c r="AE33" s="147">
        <v>0</v>
      </c>
      <c r="AF33" s="147">
        <v>0</v>
      </c>
      <c r="AG33" s="147">
        <v>0</v>
      </c>
      <c r="AH33" s="147">
        <v>0</v>
      </c>
      <c r="AI33" s="147">
        <v>0</v>
      </c>
      <c r="AJ33" s="147">
        <v>0</v>
      </c>
      <c r="AK33" s="147">
        <v>0</v>
      </c>
      <c r="AL33" s="147">
        <v>0</v>
      </c>
      <c r="AM33" s="147">
        <v>0</v>
      </c>
      <c r="AN33" s="147">
        <v>0</v>
      </c>
      <c r="AO33" s="147">
        <v>0</v>
      </c>
      <c r="AP33" s="147">
        <v>0</v>
      </c>
      <c r="AQ33" s="147">
        <v>0</v>
      </c>
      <c r="AR33" s="147">
        <v>0</v>
      </c>
      <c r="AS33" s="147">
        <v>0</v>
      </c>
      <c r="AT33" s="147">
        <v>0</v>
      </c>
      <c r="AU33" s="147">
        <v>0</v>
      </c>
      <c r="AV33" s="147">
        <v>0</v>
      </c>
      <c r="AW33" s="147">
        <v>0</v>
      </c>
      <c r="AX33" s="147">
        <v>0</v>
      </c>
      <c r="AY33" s="147">
        <v>0</v>
      </c>
      <c r="AZ33" s="147">
        <v>0</v>
      </c>
      <c r="BA33" s="147">
        <v>0</v>
      </c>
      <c r="BB33" s="147">
        <v>0</v>
      </c>
      <c r="BC33" s="147">
        <v>0</v>
      </c>
      <c r="BD33" s="147">
        <v>0</v>
      </c>
      <c r="BE33" s="147">
        <v>0</v>
      </c>
      <c r="BF33" s="147">
        <v>0</v>
      </c>
      <c r="BG33" s="147">
        <v>0</v>
      </c>
      <c r="BH33" s="147">
        <v>0</v>
      </c>
      <c r="BI33" s="147">
        <v>0</v>
      </c>
      <c r="BJ33" s="147">
        <v>0</v>
      </c>
      <c r="BK33" s="147">
        <v>0</v>
      </c>
      <c r="BL33" s="147">
        <v>0</v>
      </c>
      <c r="BM33" s="147">
        <v>0</v>
      </c>
      <c r="BN33" s="147">
        <v>0</v>
      </c>
      <c r="BO33" s="147">
        <v>0</v>
      </c>
      <c r="BP33" s="147">
        <v>0</v>
      </c>
      <c r="BQ33" s="147">
        <v>0</v>
      </c>
      <c r="BR33" s="147">
        <v>0</v>
      </c>
      <c r="BS33" s="147">
        <v>0</v>
      </c>
      <c r="BT33" s="147">
        <v>0</v>
      </c>
      <c r="BU33" s="147">
        <v>0</v>
      </c>
      <c r="BV33" s="147"/>
      <c r="BW33" s="147">
        <v>0</v>
      </c>
      <c r="BX33" s="147">
        <v>0</v>
      </c>
      <c r="BY33" s="147">
        <v>0</v>
      </c>
      <c r="BZ33" s="147">
        <v>0</v>
      </c>
      <c r="CA33" s="147">
        <v>0</v>
      </c>
      <c r="CB33" s="147">
        <v>0</v>
      </c>
      <c r="CC33" s="147">
        <v>0</v>
      </c>
      <c r="CD33" s="147">
        <v>0</v>
      </c>
      <c r="CE33" s="147">
        <v>0</v>
      </c>
      <c r="CF33" s="147">
        <v>0</v>
      </c>
      <c r="CG33" s="147">
        <v>0</v>
      </c>
      <c r="CH33" s="147">
        <v>0</v>
      </c>
      <c r="CI33" s="147">
        <v>0</v>
      </c>
      <c r="CJ33" s="147">
        <v>0</v>
      </c>
      <c r="CK33" s="147">
        <v>0</v>
      </c>
      <c r="CL33" s="147">
        <v>0</v>
      </c>
      <c r="CM33" s="147">
        <v>0</v>
      </c>
      <c r="CN33" s="47">
        <v>0</v>
      </c>
      <c r="CO33" s="147">
        <v>0</v>
      </c>
      <c r="CP33" s="147">
        <v>0</v>
      </c>
      <c r="CQ33" s="147">
        <v>0</v>
      </c>
      <c r="CR33" s="147">
        <v>0</v>
      </c>
      <c r="CS33" s="147">
        <v>0</v>
      </c>
      <c r="CT33" s="147">
        <v>0</v>
      </c>
    </row>
    <row r="34" spans="1:98" ht="18.75">
      <c r="A34" s="177"/>
      <c r="B34" s="12" t="s">
        <v>42</v>
      </c>
      <c r="C34" s="177"/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147">
        <v>0</v>
      </c>
      <c r="W34" s="147">
        <v>0</v>
      </c>
      <c r="X34" s="147">
        <v>0</v>
      </c>
      <c r="Y34" s="147">
        <v>0</v>
      </c>
      <c r="Z34" s="147">
        <v>0</v>
      </c>
      <c r="AA34" s="147">
        <v>0</v>
      </c>
      <c r="AB34" s="147">
        <v>0</v>
      </c>
      <c r="AC34" s="147">
        <v>0</v>
      </c>
      <c r="AD34" s="147">
        <v>0</v>
      </c>
      <c r="AE34" s="147">
        <v>0</v>
      </c>
      <c r="AF34" s="147">
        <v>0</v>
      </c>
      <c r="AG34" s="147">
        <v>0</v>
      </c>
      <c r="AH34" s="147">
        <v>0</v>
      </c>
      <c r="AI34" s="147">
        <v>0</v>
      </c>
      <c r="AJ34" s="147">
        <v>0</v>
      </c>
      <c r="AK34" s="147">
        <v>0</v>
      </c>
      <c r="AL34" s="147">
        <v>0</v>
      </c>
      <c r="AM34" s="147">
        <v>0</v>
      </c>
      <c r="AN34" s="147">
        <v>0</v>
      </c>
      <c r="AO34" s="147">
        <v>0</v>
      </c>
      <c r="AP34" s="147">
        <v>0</v>
      </c>
      <c r="AQ34" s="147">
        <v>0</v>
      </c>
      <c r="AR34" s="147">
        <v>0</v>
      </c>
      <c r="AS34" s="147">
        <v>0</v>
      </c>
      <c r="AT34" s="147">
        <v>0</v>
      </c>
      <c r="AU34" s="147">
        <v>0</v>
      </c>
      <c r="AV34" s="147">
        <v>0</v>
      </c>
      <c r="AW34" s="147">
        <v>0</v>
      </c>
      <c r="AX34" s="147">
        <v>0</v>
      </c>
      <c r="AY34" s="147">
        <v>0</v>
      </c>
      <c r="AZ34" s="147">
        <v>0</v>
      </c>
      <c r="BA34" s="147">
        <v>0</v>
      </c>
      <c r="BB34" s="147">
        <v>0</v>
      </c>
      <c r="BC34" s="147">
        <v>0</v>
      </c>
      <c r="BD34" s="147">
        <v>0</v>
      </c>
      <c r="BE34" s="147">
        <v>0</v>
      </c>
      <c r="BF34" s="147">
        <v>0</v>
      </c>
      <c r="BG34" s="147">
        <v>0</v>
      </c>
      <c r="BH34" s="147">
        <v>0</v>
      </c>
      <c r="BI34" s="147">
        <v>0</v>
      </c>
      <c r="BJ34" s="147">
        <v>0</v>
      </c>
      <c r="BK34" s="147">
        <v>0</v>
      </c>
      <c r="BL34" s="147">
        <v>0</v>
      </c>
      <c r="BM34" s="147">
        <v>0</v>
      </c>
      <c r="BN34" s="147">
        <v>0</v>
      </c>
      <c r="BO34" s="147">
        <v>0</v>
      </c>
      <c r="BP34" s="147">
        <v>0</v>
      </c>
      <c r="BQ34" s="147">
        <v>0</v>
      </c>
      <c r="BR34" s="147">
        <v>0</v>
      </c>
      <c r="BS34" s="147">
        <v>0</v>
      </c>
      <c r="BT34" s="147">
        <v>0</v>
      </c>
      <c r="BU34" s="147">
        <v>0</v>
      </c>
      <c r="BV34" s="147">
        <v>0</v>
      </c>
      <c r="BW34" s="147">
        <v>0</v>
      </c>
      <c r="BX34" s="147">
        <v>0</v>
      </c>
      <c r="BY34" s="147">
        <v>0</v>
      </c>
      <c r="BZ34" s="147">
        <v>0</v>
      </c>
      <c r="CA34" s="147">
        <v>0</v>
      </c>
      <c r="CB34" s="147">
        <v>0</v>
      </c>
      <c r="CC34" s="147">
        <v>0</v>
      </c>
      <c r="CD34" s="147">
        <v>0</v>
      </c>
      <c r="CE34" s="147">
        <v>0</v>
      </c>
      <c r="CF34" s="147">
        <v>0</v>
      </c>
      <c r="CG34" s="147">
        <v>0</v>
      </c>
      <c r="CH34" s="147">
        <v>0</v>
      </c>
      <c r="CI34" s="147">
        <v>0</v>
      </c>
      <c r="CJ34" s="147">
        <v>0</v>
      </c>
      <c r="CK34" s="147">
        <v>0</v>
      </c>
      <c r="CL34" s="147">
        <v>0</v>
      </c>
      <c r="CM34" s="147">
        <v>0</v>
      </c>
      <c r="CN34" s="47">
        <v>0</v>
      </c>
      <c r="CO34" s="147">
        <v>0</v>
      </c>
      <c r="CP34" s="147">
        <v>0</v>
      </c>
      <c r="CQ34" s="147">
        <v>0</v>
      </c>
      <c r="CR34" s="147">
        <v>0</v>
      </c>
      <c r="CS34" s="147">
        <v>0</v>
      </c>
      <c r="CT34" s="147">
        <v>0</v>
      </c>
    </row>
    <row r="35" spans="1:98" ht="18.75">
      <c r="A35" s="177"/>
      <c r="B35" s="12" t="s">
        <v>43</v>
      </c>
      <c r="C35" s="177"/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7">
        <v>0</v>
      </c>
      <c r="AF35" s="147">
        <v>0</v>
      </c>
      <c r="AG35" s="147">
        <v>0</v>
      </c>
      <c r="AH35" s="147">
        <v>0</v>
      </c>
      <c r="AI35" s="147">
        <v>0</v>
      </c>
      <c r="AJ35" s="147">
        <v>0</v>
      </c>
      <c r="AK35" s="147">
        <v>0</v>
      </c>
      <c r="AL35" s="147">
        <v>0</v>
      </c>
      <c r="AM35" s="147">
        <v>0</v>
      </c>
      <c r="AN35" s="147">
        <v>0</v>
      </c>
      <c r="AO35" s="147">
        <v>0</v>
      </c>
      <c r="AP35" s="147">
        <v>0</v>
      </c>
      <c r="AQ35" s="147">
        <v>0</v>
      </c>
      <c r="AR35" s="147">
        <v>0</v>
      </c>
      <c r="AS35" s="147">
        <v>0</v>
      </c>
      <c r="AT35" s="147">
        <v>0</v>
      </c>
      <c r="AU35" s="147">
        <v>0</v>
      </c>
      <c r="AV35" s="147">
        <v>0</v>
      </c>
      <c r="AW35" s="147">
        <v>0</v>
      </c>
      <c r="AX35" s="147">
        <v>0</v>
      </c>
      <c r="AY35" s="147">
        <v>0</v>
      </c>
      <c r="AZ35" s="147">
        <v>0</v>
      </c>
      <c r="BA35" s="147">
        <v>0</v>
      </c>
      <c r="BB35" s="147">
        <v>0</v>
      </c>
      <c r="BC35" s="147">
        <v>0</v>
      </c>
      <c r="BD35" s="147">
        <v>0</v>
      </c>
      <c r="BE35" s="147">
        <v>0</v>
      </c>
      <c r="BF35" s="147">
        <v>0</v>
      </c>
      <c r="BG35" s="147">
        <v>0</v>
      </c>
      <c r="BH35" s="147">
        <v>0</v>
      </c>
      <c r="BI35" s="147">
        <v>0</v>
      </c>
      <c r="BJ35" s="147">
        <v>0</v>
      </c>
      <c r="BK35" s="147">
        <v>0</v>
      </c>
      <c r="BL35" s="147">
        <v>0</v>
      </c>
      <c r="BM35" s="147">
        <v>0</v>
      </c>
      <c r="BN35" s="147">
        <v>0</v>
      </c>
      <c r="BO35" s="147">
        <v>0</v>
      </c>
      <c r="BP35" s="147">
        <v>0</v>
      </c>
      <c r="BQ35" s="147">
        <v>0</v>
      </c>
      <c r="BR35" s="147">
        <v>0</v>
      </c>
      <c r="BS35" s="147">
        <v>0</v>
      </c>
      <c r="BT35" s="147">
        <v>0</v>
      </c>
      <c r="BU35" s="147">
        <v>0</v>
      </c>
      <c r="BV35" s="147">
        <v>0</v>
      </c>
      <c r="BW35" s="147">
        <v>0</v>
      </c>
      <c r="BX35" s="147">
        <v>0</v>
      </c>
      <c r="BY35" s="147">
        <v>0</v>
      </c>
      <c r="BZ35" s="147">
        <v>0</v>
      </c>
      <c r="CA35" s="147">
        <v>0</v>
      </c>
      <c r="CB35" s="147">
        <v>0</v>
      </c>
      <c r="CC35" s="147">
        <v>0</v>
      </c>
      <c r="CD35" s="147">
        <v>0</v>
      </c>
      <c r="CE35" s="147">
        <v>0</v>
      </c>
      <c r="CF35" s="147">
        <v>0</v>
      </c>
      <c r="CG35" s="147">
        <v>0</v>
      </c>
      <c r="CH35" s="147">
        <v>0</v>
      </c>
      <c r="CI35" s="147">
        <v>0</v>
      </c>
      <c r="CJ35" s="147">
        <v>0</v>
      </c>
      <c r="CK35" s="147">
        <v>0</v>
      </c>
      <c r="CL35" s="147">
        <v>0</v>
      </c>
      <c r="CM35" s="147">
        <v>0</v>
      </c>
      <c r="CN35" s="47">
        <v>0</v>
      </c>
      <c r="CO35" s="147">
        <v>0</v>
      </c>
      <c r="CP35" s="147">
        <v>0</v>
      </c>
      <c r="CQ35" s="147">
        <v>0</v>
      </c>
      <c r="CR35" s="147">
        <v>0</v>
      </c>
      <c r="CS35" s="147">
        <v>0</v>
      </c>
      <c r="CT35" s="147">
        <v>0</v>
      </c>
    </row>
    <row r="36" spans="1:98" ht="18.75">
      <c r="A36" s="177"/>
      <c r="B36" s="12" t="s">
        <v>22</v>
      </c>
      <c r="C36" s="177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7">
        <v>0</v>
      </c>
      <c r="AF36" s="147">
        <v>0</v>
      </c>
      <c r="AG36" s="147">
        <v>0</v>
      </c>
      <c r="AH36" s="147">
        <v>0</v>
      </c>
      <c r="AI36" s="147">
        <v>0</v>
      </c>
      <c r="AJ36" s="147">
        <v>0</v>
      </c>
      <c r="AK36" s="147">
        <v>0</v>
      </c>
      <c r="AL36" s="147">
        <v>0</v>
      </c>
      <c r="AM36" s="147">
        <v>0</v>
      </c>
      <c r="AN36" s="147">
        <v>0</v>
      </c>
      <c r="AO36" s="147">
        <v>0</v>
      </c>
      <c r="AP36" s="147">
        <v>0</v>
      </c>
      <c r="AQ36" s="147">
        <v>0</v>
      </c>
      <c r="AR36" s="147">
        <v>0</v>
      </c>
      <c r="AS36" s="147">
        <v>0</v>
      </c>
      <c r="AT36" s="147">
        <v>0</v>
      </c>
      <c r="AU36" s="147">
        <v>0</v>
      </c>
      <c r="AV36" s="147">
        <v>0</v>
      </c>
      <c r="AW36" s="147">
        <v>0</v>
      </c>
      <c r="AX36" s="147">
        <v>0</v>
      </c>
      <c r="AY36" s="147">
        <v>0</v>
      </c>
      <c r="AZ36" s="147">
        <v>0</v>
      </c>
      <c r="BA36" s="147">
        <v>0</v>
      </c>
      <c r="BB36" s="147">
        <v>0</v>
      </c>
      <c r="BC36" s="147">
        <v>0</v>
      </c>
      <c r="BD36" s="147">
        <v>0</v>
      </c>
      <c r="BE36" s="147">
        <v>0</v>
      </c>
      <c r="BF36" s="147">
        <v>0</v>
      </c>
      <c r="BG36" s="147">
        <v>0</v>
      </c>
      <c r="BH36" s="147">
        <v>0</v>
      </c>
      <c r="BI36" s="147">
        <v>0</v>
      </c>
      <c r="BJ36" s="147">
        <v>0</v>
      </c>
      <c r="BK36" s="147">
        <v>0</v>
      </c>
      <c r="BL36" s="147">
        <v>0</v>
      </c>
      <c r="BM36" s="147">
        <v>0</v>
      </c>
      <c r="BN36" s="147">
        <v>0</v>
      </c>
      <c r="BO36" s="147">
        <v>0</v>
      </c>
      <c r="BP36" s="147">
        <v>0</v>
      </c>
      <c r="BQ36" s="147">
        <v>0</v>
      </c>
      <c r="BR36" s="147">
        <v>0</v>
      </c>
      <c r="BS36" s="147">
        <v>0</v>
      </c>
      <c r="BT36" s="147">
        <v>0</v>
      </c>
      <c r="BU36" s="147">
        <v>0</v>
      </c>
      <c r="BV36" s="147">
        <v>0</v>
      </c>
      <c r="BW36" s="147">
        <v>0</v>
      </c>
      <c r="BX36" s="147">
        <v>0</v>
      </c>
      <c r="BY36" s="147">
        <v>0</v>
      </c>
      <c r="BZ36" s="147">
        <v>0</v>
      </c>
      <c r="CA36" s="147">
        <v>0</v>
      </c>
      <c r="CB36" s="147">
        <v>0</v>
      </c>
      <c r="CC36" s="147">
        <v>0</v>
      </c>
      <c r="CD36" s="147">
        <v>0</v>
      </c>
      <c r="CE36" s="147">
        <v>0</v>
      </c>
      <c r="CF36" s="147">
        <v>0</v>
      </c>
      <c r="CG36" s="147">
        <v>0</v>
      </c>
      <c r="CH36" s="147">
        <v>0</v>
      </c>
      <c r="CI36" s="147">
        <v>0</v>
      </c>
      <c r="CJ36" s="147">
        <v>0</v>
      </c>
      <c r="CK36" s="147">
        <v>0</v>
      </c>
      <c r="CL36" s="147">
        <v>0</v>
      </c>
      <c r="CM36" s="147">
        <v>0</v>
      </c>
      <c r="CN36" s="47">
        <v>0</v>
      </c>
      <c r="CO36" s="147">
        <v>0</v>
      </c>
      <c r="CP36" s="147">
        <v>0</v>
      </c>
      <c r="CQ36" s="147">
        <v>0</v>
      </c>
      <c r="CR36" s="147">
        <v>0</v>
      </c>
      <c r="CS36" s="147">
        <v>0</v>
      </c>
      <c r="CT36" s="147">
        <v>0</v>
      </c>
    </row>
    <row r="37" spans="1:98" ht="18.75">
      <c r="A37" s="177"/>
      <c r="B37" s="12" t="s">
        <v>23</v>
      </c>
      <c r="C37" s="177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147">
        <v>0</v>
      </c>
      <c r="W37" s="147">
        <v>0</v>
      </c>
      <c r="X37" s="147">
        <v>0</v>
      </c>
      <c r="Y37" s="147">
        <v>0</v>
      </c>
      <c r="Z37" s="147">
        <v>0</v>
      </c>
      <c r="AA37" s="147">
        <v>0</v>
      </c>
      <c r="AB37" s="147">
        <v>0</v>
      </c>
      <c r="AC37" s="147">
        <v>0</v>
      </c>
      <c r="AD37" s="147">
        <v>0</v>
      </c>
      <c r="AE37" s="147">
        <v>0</v>
      </c>
      <c r="AF37" s="147">
        <v>0</v>
      </c>
      <c r="AG37" s="147">
        <v>0</v>
      </c>
      <c r="AH37" s="147">
        <v>0</v>
      </c>
      <c r="AI37" s="147">
        <v>0</v>
      </c>
      <c r="AJ37" s="147">
        <v>0</v>
      </c>
      <c r="AK37" s="147">
        <v>0</v>
      </c>
      <c r="AL37" s="147">
        <v>0</v>
      </c>
      <c r="AM37" s="147">
        <v>0</v>
      </c>
      <c r="AN37" s="147">
        <v>0</v>
      </c>
      <c r="AO37" s="147">
        <v>0</v>
      </c>
      <c r="AP37" s="147">
        <v>0</v>
      </c>
      <c r="AQ37" s="147">
        <v>0</v>
      </c>
      <c r="AR37" s="147">
        <v>0</v>
      </c>
      <c r="AS37" s="147">
        <v>0</v>
      </c>
      <c r="AT37" s="147">
        <v>0</v>
      </c>
      <c r="AU37" s="147">
        <v>0</v>
      </c>
      <c r="AV37" s="147">
        <v>0</v>
      </c>
      <c r="AW37" s="147">
        <v>0</v>
      </c>
      <c r="AX37" s="147">
        <v>0</v>
      </c>
      <c r="AY37" s="147">
        <v>0</v>
      </c>
      <c r="AZ37" s="147">
        <v>0</v>
      </c>
      <c r="BA37" s="147">
        <v>0</v>
      </c>
      <c r="BB37" s="147">
        <v>0</v>
      </c>
      <c r="BC37" s="147">
        <v>0</v>
      </c>
      <c r="BD37" s="147">
        <v>0</v>
      </c>
      <c r="BE37" s="147">
        <v>0</v>
      </c>
      <c r="BF37" s="147">
        <v>0</v>
      </c>
      <c r="BG37" s="147">
        <v>0</v>
      </c>
      <c r="BH37" s="147">
        <v>0</v>
      </c>
      <c r="BI37" s="147">
        <v>0</v>
      </c>
      <c r="BJ37" s="147">
        <v>0</v>
      </c>
      <c r="BK37" s="147">
        <v>0</v>
      </c>
      <c r="BL37" s="147">
        <v>0</v>
      </c>
      <c r="BM37" s="147">
        <v>0</v>
      </c>
      <c r="BN37" s="147">
        <v>0</v>
      </c>
      <c r="BO37" s="147">
        <v>0</v>
      </c>
      <c r="BP37" s="147">
        <v>0</v>
      </c>
      <c r="BQ37" s="147">
        <v>0</v>
      </c>
      <c r="BR37" s="147">
        <v>0</v>
      </c>
      <c r="BS37" s="147">
        <v>0</v>
      </c>
      <c r="BT37" s="147">
        <v>0</v>
      </c>
      <c r="BU37" s="147">
        <v>0</v>
      </c>
      <c r="BV37" s="147">
        <v>0</v>
      </c>
      <c r="BW37" s="147">
        <v>0</v>
      </c>
      <c r="BX37" s="147">
        <v>0</v>
      </c>
      <c r="BY37" s="147">
        <v>0</v>
      </c>
      <c r="BZ37" s="147">
        <v>0</v>
      </c>
      <c r="CA37" s="147">
        <v>0</v>
      </c>
      <c r="CB37" s="147">
        <v>0</v>
      </c>
      <c r="CC37" s="147">
        <v>0</v>
      </c>
      <c r="CD37" s="147">
        <v>0</v>
      </c>
      <c r="CE37" s="147">
        <v>0</v>
      </c>
      <c r="CF37" s="147">
        <v>0</v>
      </c>
      <c r="CG37" s="147">
        <v>0</v>
      </c>
      <c r="CH37" s="147">
        <v>0</v>
      </c>
      <c r="CI37" s="147">
        <v>0</v>
      </c>
      <c r="CJ37" s="147">
        <v>0</v>
      </c>
      <c r="CK37" s="147">
        <v>0</v>
      </c>
      <c r="CL37" s="147">
        <v>0</v>
      </c>
      <c r="CM37" s="147">
        <v>0</v>
      </c>
      <c r="CN37" s="47">
        <v>0</v>
      </c>
      <c r="CO37" s="147">
        <v>0</v>
      </c>
      <c r="CP37" s="147">
        <v>0</v>
      </c>
      <c r="CQ37" s="147">
        <v>0</v>
      </c>
      <c r="CR37" s="147">
        <v>0</v>
      </c>
      <c r="CS37" s="147">
        <v>0</v>
      </c>
      <c r="CT37" s="147">
        <v>0</v>
      </c>
    </row>
    <row r="38" spans="1:98" ht="18.75">
      <c r="A38" s="177"/>
      <c r="B38" s="12" t="s">
        <v>24</v>
      </c>
      <c r="C38" s="177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0</v>
      </c>
      <c r="AC38" s="147">
        <v>0</v>
      </c>
      <c r="AD38" s="147">
        <v>0</v>
      </c>
      <c r="AE38" s="147">
        <v>0</v>
      </c>
      <c r="AF38" s="147">
        <v>0</v>
      </c>
      <c r="AG38" s="147">
        <v>0</v>
      </c>
      <c r="AH38" s="147">
        <v>0</v>
      </c>
      <c r="AI38" s="147">
        <v>0</v>
      </c>
      <c r="AJ38" s="147">
        <v>0</v>
      </c>
      <c r="AK38" s="147">
        <v>0</v>
      </c>
      <c r="AL38" s="147">
        <v>0</v>
      </c>
      <c r="AM38" s="147">
        <v>0</v>
      </c>
      <c r="AN38" s="147">
        <v>0</v>
      </c>
      <c r="AO38" s="147">
        <v>0</v>
      </c>
      <c r="AP38" s="147">
        <v>0</v>
      </c>
      <c r="AQ38" s="147">
        <v>0</v>
      </c>
      <c r="AR38" s="147">
        <v>0</v>
      </c>
      <c r="AS38" s="147">
        <v>0</v>
      </c>
      <c r="AT38" s="147">
        <v>0</v>
      </c>
      <c r="AU38" s="147">
        <v>0</v>
      </c>
      <c r="AV38" s="147">
        <v>0</v>
      </c>
      <c r="AW38" s="147">
        <v>0</v>
      </c>
      <c r="AX38" s="147">
        <v>0</v>
      </c>
      <c r="AY38" s="147">
        <v>0</v>
      </c>
      <c r="AZ38" s="147">
        <v>0</v>
      </c>
      <c r="BA38" s="147">
        <v>0</v>
      </c>
      <c r="BB38" s="147">
        <v>0</v>
      </c>
      <c r="BC38" s="147">
        <v>0</v>
      </c>
      <c r="BD38" s="147">
        <v>0</v>
      </c>
      <c r="BE38" s="147">
        <v>0</v>
      </c>
      <c r="BF38" s="147">
        <v>0</v>
      </c>
      <c r="BG38" s="147">
        <v>0</v>
      </c>
      <c r="BH38" s="147">
        <v>0</v>
      </c>
      <c r="BI38" s="147">
        <v>0</v>
      </c>
      <c r="BJ38" s="147">
        <v>0</v>
      </c>
      <c r="BK38" s="147">
        <v>0</v>
      </c>
      <c r="BL38" s="147">
        <v>0</v>
      </c>
      <c r="BM38" s="147">
        <v>0</v>
      </c>
      <c r="BN38" s="147">
        <v>0</v>
      </c>
      <c r="BO38" s="147">
        <v>0</v>
      </c>
      <c r="BP38" s="147">
        <v>0</v>
      </c>
      <c r="BQ38" s="147">
        <v>0</v>
      </c>
      <c r="BR38" s="147">
        <v>0</v>
      </c>
      <c r="BS38" s="147">
        <v>0</v>
      </c>
      <c r="BT38" s="147">
        <v>0</v>
      </c>
      <c r="BU38" s="147">
        <v>0</v>
      </c>
      <c r="BV38" s="147">
        <v>0</v>
      </c>
      <c r="BW38" s="147">
        <v>0</v>
      </c>
      <c r="BX38" s="147">
        <v>0</v>
      </c>
      <c r="BY38" s="147">
        <v>0</v>
      </c>
      <c r="BZ38" s="147">
        <v>0</v>
      </c>
      <c r="CA38" s="147">
        <v>0</v>
      </c>
      <c r="CB38" s="147">
        <v>0</v>
      </c>
      <c r="CC38" s="147">
        <v>0</v>
      </c>
      <c r="CD38" s="147">
        <v>0</v>
      </c>
      <c r="CE38" s="147">
        <v>0</v>
      </c>
      <c r="CF38" s="147">
        <v>0</v>
      </c>
      <c r="CG38" s="147">
        <v>0</v>
      </c>
      <c r="CH38" s="147">
        <v>0</v>
      </c>
      <c r="CI38" s="147">
        <v>0</v>
      </c>
      <c r="CJ38" s="147">
        <v>0</v>
      </c>
      <c r="CK38" s="147">
        <v>0</v>
      </c>
      <c r="CL38" s="147">
        <v>0</v>
      </c>
      <c r="CM38" s="147">
        <v>0</v>
      </c>
      <c r="CN38" s="47">
        <v>0</v>
      </c>
      <c r="CO38" s="147">
        <v>0</v>
      </c>
      <c r="CP38" s="147">
        <v>0</v>
      </c>
      <c r="CQ38" s="147">
        <v>0</v>
      </c>
      <c r="CR38" s="147">
        <v>0</v>
      </c>
      <c r="CS38" s="147">
        <v>0</v>
      </c>
      <c r="CT38" s="147">
        <v>0</v>
      </c>
    </row>
    <row r="39" spans="1:98" ht="18.75">
      <c r="A39" s="177"/>
      <c r="B39" s="12" t="s">
        <v>25</v>
      </c>
      <c r="C39" s="177"/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7">
        <v>0</v>
      </c>
      <c r="AF39" s="147">
        <v>0</v>
      </c>
      <c r="AG39" s="147">
        <v>0</v>
      </c>
      <c r="AH39" s="147">
        <v>0</v>
      </c>
      <c r="AI39" s="147">
        <v>0</v>
      </c>
      <c r="AJ39" s="147">
        <v>0</v>
      </c>
      <c r="AK39" s="147">
        <v>0</v>
      </c>
      <c r="AL39" s="147">
        <v>0</v>
      </c>
      <c r="AM39" s="147">
        <v>0</v>
      </c>
      <c r="AN39" s="147">
        <v>0</v>
      </c>
      <c r="AO39" s="147">
        <v>0</v>
      </c>
      <c r="AP39" s="147">
        <v>0</v>
      </c>
      <c r="AQ39" s="147">
        <v>0</v>
      </c>
      <c r="AR39" s="147">
        <v>0</v>
      </c>
      <c r="AS39" s="147">
        <v>0</v>
      </c>
      <c r="AT39" s="147">
        <v>0</v>
      </c>
      <c r="AU39" s="147">
        <v>0</v>
      </c>
      <c r="AV39" s="147">
        <v>0</v>
      </c>
      <c r="AW39" s="147">
        <v>0</v>
      </c>
      <c r="AX39" s="147">
        <v>0</v>
      </c>
      <c r="AY39" s="147">
        <v>0</v>
      </c>
      <c r="AZ39" s="147">
        <v>0</v>
      </c>
      <c r="BA39" s="147">
        <v>0</v>
      </c>
      <c r="BB39" s="147">
        <v>0</v>
      </c>
      <c r="BC39" s="147">
        <v>0</v>
      </c>
      <c r="BD39" s="147">
        <v>0</v>
      </c>
      <c r="BE39" s="147">
        <v>0</v>
      </c>
      <c r="BF39" s="147">
        <v>0</v>
      </c>
      <c r="BG39" s="147">
        <v>0</v>
      </c>
      <c r="BH39" s="147">
        <v>0</v>
      </c>
      <c r="BI39" s="147">
        <v>0</v>
      </c>
      <c r="BJ39" s="147">
        <v>0</v>
      </c>
      <c r="BK39" s="147">
        <v>0</v>
      </c>
      <c r="BL39" s="147">
        <v>0</v>
      </c>
      <c r="BM39" s="147">
        <v>0</v>
      </c>
      <c r="BN39" s="147">
        <v>0</v>
      </c>
      <c r="BO39" s="147">
        <v>0</v>
      </c>
      <c r="BP39" s="147">
        <v>0</v>
      </c>
      <c r="BQ39" s="147">
        <v>0</v>
      </c>
      <c r="BR39" s="147">
        <v>0</v>
      </c>
      <c r="BS39" s="147">
        <v>0</v>
      </c>
      <c r="BT39" s="147">
        <v>0</v>
      </c>
      <c r="BU39" s="147">
        <v>0</v>
      </c>
      <c r="BV39" s="147">
        <v>0</v>
      </c>
      <c r="BW39" s="147">
        <v>0</v>
      </c>
      <c r="BX39" s="147">
        <v>0</v>
      </c>
      <c r="BY39" s="147">
        <v>0</v>
      </c>
      <c r="BZ39" s="147">
        <v>0</v>
      </c>
      <c r="CA39" s="147">
        <v>0</v>
      </c>
      <c r="CB39" s="147">
        <v>0</v>
      </c>
      <c r="CC39" s="147">
        <v>0</v>
      </c>
      <c r="CD39" s="147">
        <v>0</v>
      </c>
      <c r="CE39" s="147">
        <v>0</v>
      </c>
      <c r="CF39" s="147">
        <v>0</v>
      </c>
      <c r="CG39" s="147">
        <v>0</v>
      </c>
      <c r="CH39" s="147">
        <v>0</v>
      </c>
      <c r="CI39" s="147">
        <v>0</v>
      </c>
      <c r="CJ39" s="147">
        <v>0</v>
      </c>
      <c r="CK39" s="147">
        <v>0</v>
      </c>
      <c r="CL39" s="147">
        <v>0</v>
      </c>
      <c r="CM39" s="147">
        <v>0</v>
      </c>
      <c r="CN39" s="47">
        <v>0</v>
      </c>
      <c r="CO39" s="147">
        <v>0</v>
      </c>
      <c r="CP39" s="147">
        <v>0</v>
      </c>
      <c r="CQ39" s="147">
        <v>0</v>
      </c>
      <c r="CR39" s="147">
        <v>0</v>
      </c>
      <c r="CS39" s="147">
        <v>0</v>
      </c>
      <c r="CT39" s="147">
        <v>0</v>
      </c>
    </row>
    <row r="40" spans="1:98" ht="57" thickBot="1">
      <c r="A40" s="178"/>
      <c r="B40" s="8" t="s">
        <v>44</v>
      </c>
      <c r="C40" s="178"/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v>0</v>
      </c>
      <c r="AA40" s="147">
        <v>0</v>
      </c>
      <c r="AB40" s="147">
        <v>0</v>
      </c>
      <c r="AC40" s="147">
        <v>0</v>
      </c>
      <c r="AD40" s="147">
        <v>0</v>
      </c>
      <c r="AE40" s="147">
        <v>0</v>
      </c>
      <c r="AF40" s="147">
        <v>0</v>
      </c>
      <c r="AG40" s="147">
        <v>0</v>
      </c>
      <c r="AH40" s="147">
        <v>0</v>
      </c>
      <c r="AI40" s="147">
        <v>0</v>
      </c>
      <c r="AJ40" s="147">
        <v>0</v>
      </c>
      <c r="AK40" s="147">
        <v>0</v>
      </c>
      <c r="AL40" s="147">
        <v>0</v>
      </c>
      <c r="AM40" s="147">
        <v>0</v>
      </c>
      <c r="AN40" s="147">
        <v>0</v>
      </c>
      <c r="AO40" s="147">
        <v>0</v>
      </c>
      <c r="AP40" s="147">
        <v>0</v>
      </c>
      <c r="AQ40" s="147">
        <v>0</v>
      </c>
      <c r="AR40" s="147">
        <v>0</v>
      </c>
      <c r="AS40" s="147">
        <v>0</v>
      </c>
      <c r="AT40" s="147">
        <v>0</v>
      </c>
      <c r="AU40" s="147">
        <v>0</v>
      </c>
      <c r="AV40" s="147">
        <v>0</v>
      </c>
      <c r="AW40" s="147">
        <v>0</v>
      </c>
      <c r="AX40" s="147">
        <v>0</v>
      </c>
      <c r="AY40" s="147">
        <v>0</v>
      </c>
      <c r="AZ40" s="147">
        <v>0</v>
      </c>
      <c r="BA40" s="147">
        <v>0</v>
      </c>
      <c r="BB40" s="147">
        <v>0</v>
      </c>
      <c r="BC40" s="147">
        <v>0</v>
      </c>
      <c r="BD40" s="147">
        <v>0</v>
      </c>
      <c r="BE40" s="147">
        <v>0</v>
      </c>
      <c r="BF40" s="147">
        <v>0</v>
      </c>
      <c r="BG40" s="147">
        <v>0</v>
      </c>
      <c r="BH40" s="147">
        <v>0</v>
      </c>
      <c r="BI40" s="147">
        <v>0</v>
      </c>
      <c r="BJ40" s="147">
        <v>0</v>
      </c>
      <c r="BK40" s="147">
        <v>0</v>
      </c>
      <c r="BL40" s="147">
        <v>0</v>
      </c>
      <c r="BM40" s="147">
        <v>0</v>
      </c>
      <c r="BN40" s="147">
        <v>0</v>
      </c>
      <c r="BO40" s="147">
        <v>0</v>
      </c>
      <c r="BP40" s="147">
        <v>0</v>
      </c>
      <c r="BQ40" s="147">
        <v>0</v>
      </c>
      <c r="BR40" s="147">
        <v>0</v>
      </c>
      <c r="BS40" s="147">
        <v>0</v>
      </c>
      <c r="BT40" s="147">
        <v>0</v>
      </c>
      <c r="BU40" s="147">
        <v>0</v>
      </c>
      <c r="BV40" s="147">
        <v>0</v>
      </c>
      <c r="BW40" s="147">
        <v>0</v>
      </c>
      <c r="BX40" s="147">
        <v>0</v>
      </c>
      <c r="BY40" s="147">
        <v>0</v>
      </c>
      <c r="BZ40" s="147">
        <v>0</v>
      </c>
      <c r="CA40" s="147">
        <v>0</v>
      </c>
      <c r="CB40" s="147">
        <v>0</v>
      </c>
      <c r="CC40" s="147">
        <v>0</v>
      </c>
      <c r="CD40" s="147">
        <v>0</v>
      </c>
      <c r="CE40" s="147">
        <v>0</v>
      </c>
      <c r="CF40" s="147">
        <v>0</v>
      </c>
      <c r="CG40" s="147">
        <v>0</v>
      </c>
      <c r="CH40" s="147">
        <v>0</v>
      </c>
      <c r="CI40" s="147">
        <v>0</v>
      </c>
      <c r="CJ40" s="147">
        <v>0</v>
      </c>
      <c r="CK40" s="147">
        <v>0</v>
      </c>
      <c r="CL40" s="147">
        <v>0</v>
      </c>
      <c r="CM40" s="147">
        <v>0</v>
      </c>
      <c r="CN40" s="47">
        <v>0</v>
      </c>
      <c r="CO40" s="147">
        <v>0</v>
      </c>
      <c r="CP40" s="147">
        <v>0</v>
      </c>
      <c r="CQ40" s="147">
        <v>0</v>
      </c>
      <c r="CR40" s="147">
        <v>0</v>
      </c>
      <c r="CS40" s="147">
        <v>0</v>
      </c>
      <c r="CT40" s="147">
        <v>0</v>
      </c>
    </row>
    <row r="41" spans="1:98" ht="19.5" thickBot="1">
      <c r="A41" s="7" t="s">
        <v>45</v>
      </c>
      <c r="B41" s="174" t="s">
        <v>46</v>
      </c>
      <c r="C41" s="175"/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147">
        <v>0</v>
      </c>
      <c r="W41" s="147">
        <v>0</v>
      </c>
      <c r="X41" s="147">
        <v>0</v>
      </c>
      <c r="Y41" s="147">
        <v>0</v>
      </c>
      <c r="Z41" s="147">
        <v>0</v>
      </c>
      <c r="AA41" s="147">
        <v>0</v>
      </c>
      <c r="AB41" s="147">
        <v>0</v>
      </c>
      <c r="AC41" s="147">
        <v>0</v>
      </c>
      <c r="AD41" s="147">
        <v>0</v>
      </c>
      <c r="AE41" s="147">
        <v>0</v>
      </c>
      <c r="AF41" s="147">
        <v>0</v>
      </c>
      <c r="AG41" s="147">
        <v>0</v>
      </c>
      <c r="AH41" s="147">
        <v>0</v>
      </c>
      <c r="AI41" s="147">
        <v>0</v>
      </c>
      <c r="AJ41" s="147">
        <v>0</v>
      </c>
      <c r="AK41" s="147">
        <v>0</v>
      </c>
      <c r="AL41" s="147">
        <v>0</v>
      </c>
      <c r="AM41" s="147">
        <v>0</v>
      </c>
      <c r="AN41" s="147">
        <v>0</v>
      </c>
      <c r="AO41" s="147">
        <v>0</v>
      </c>
      <c r="AP41" s="147">
        <v>0</v>
      </c>
      <c r="AQ41" s="147">
        <v>0</v>
      </c>
      <c r="AR41" s="147">
        <v>0</v>
      </c>
      <c r="AS41" s="147">
        <v>0</v>
      </c>
      <c r="AT41" s="147">
        <v>0</v>
      </c>
      <c r="AU41" s="147">
        <v>0</v>
      </c>
      <c r="AV41" s="147">
        <v>0</v>
      </c>
      <c r="AW41" s="147">
        <v>0</v>
      </c>
      <c r="AX41" s="147">
        <v>0</v>
      </c>
      <c r="AY41" s="147">
        <v>0</v>
      </c>
      <c r="AZ41" s="147">
        <v>0</v>
      </c>
      <c r="BA41" s="147">
        <v>0</v>
      </c>
      <c r="BB41" s="147">
        <v>0</v>
      </c>
      <c r="BC41" s="147">
        <v>0</v>
      </c>
      <c r="BD41" s="147">
        <v>0</v>
      </c>
      <c r="BE41" s="147">
        <v>0</v>
      </c>
      <c r="BF41" s="147">
        <v>0</v>
      </c>
      <c r="BG41" s="147">
        <v>0</v>
      </c>
      <c r="BH41" s="147">
        <v>0</v>
      </c>
      <c r="BI41" s="147">
        <v>0</v>
      </c>
      <c r="BJ41" s="147">
        <v>0</v>
      </c>
      <c r="BK41" s="147">
        <v>0</v>
      </c>
      <c r="BL41" s="147">
        <v>0</v>
      </c>
      <c r="BM41" s="147">
        <v>0</v>
      </c>
      <c r="BN41" s="147">
        <v>0</v>
      </c>
      <c r="BO41" s="147">
        <v>0</v>
      </c>
      <c r="BP41" s="147">
        <v>0</v>
      </c>
      <c r="BQ41" s="147">
        <v>0</v>
      </c>
      <c r="BR41" s="147">
        <v>0</v>
      </c>
      <c r="BS41" s="147">
        <v>0</v>
      </c>
      <c r="BT41" s="147">
        <v>0</v>
      </c>
      <c r="BU41" s="147">
        <v>0</v>
      </c>
      <c r="BV41" s="147">
        <v>0</v>
      </c>
      <c r="BW41" s="147">
        <v>0</v>
      </c>
      <c r="BX41" s="147">
        <v>0</v>
      </c>
      <c r="BY41" s="147">
        <v>0</v>
      </c>
      <c r="BZ41" s="147">
        <v>0</v>
      </c>
      <c r="CA41" s="147">
        <v>0</v>
      </c>
      <c r="CB41" s="147">
        <v>0</v>
      </c>
      <c r="CC41" s="147">
        <v>0</v>
      </c>
      <c r="CD41" s="147">
        <v>0</v>
      </c>
      <c r="CE41" s="147">
        <v>0</v>
      </c>
      <c r="CF41" s="147">
        <v>0</v>
      </c>
      <c r="CG41" s="147">
        <v>0</v>
      </c>
      <c r="CH41" s="147">
        <v>0</v>
      </c>
      <c r="CI41" s="147">
        <v>0</v>
      </c>
      <c r="CJ41" s="147">
        <v>0</v>
      </c>
      <c r="CK41" s="147">
        <v>0</v>
      </c>
      <c r="CL41" s="147">
        <v>0</v>
      </c>
      <c r="CM41" s="147">
        <v>0</v>
      </c>
      <c r="CN41" s="47">
        <v>0</v>
      </c>
      <c r="CO41" s="147">
        <v>0</v>
      </c>
      <c r="CP41" s="147">
        <v>0</v>
      </c>
      <c r="CQ41" s="147">
        <v>0</v>
      </c>
      <c r="CR41" s="147">
        <v>0</v>
      </c>
      <c r="CS41" s="147">
        <v>0</v>
      </c>
      <c r="CT41" s="147">
        <v>0</v>
      </c>
    </row>
    <row r="42" spans="1:98" ht="19.5" thickBot="1">
      <c r="A42" s="7" t="s">
        <v>47</v>
      </c>
      <c r="B42" s="8" t="s">
        <v>48</v>
      </c>
      <c r="C42" s="9"/>
      <c r="D42" s="47">
        <f>0.001</f>
        <v>1E-3</v>
      </c>
      <c r="E42" s="47">
        <f>0.001</f>
        <v>1E-3</v>
      </c>
      <c r="F42" s="47">
        <f>0.001</f>
        <v>1E-3</v>
      </c>
      <c r="G42" s="47">
        <f t="shared" ref="G42:AC42" si="2">0.001</f>
        <v>1E-3</v>
      </c>
      <c r="H42" s="47">
        <f t="shared" si="2"/>
        <v>1E-3</v>
      </c>
      <c r="I42" s="47">
        <f t="shared" si="2"/>
        <v>1E-3</v>
      </c>
      <c r="J42" s="47">
        <f t="shared" si="2"/>
        <v>1E-3</v>
      </c>
      <c r="K42" s="47">
        <f t="shared" si="2"/>
        <v>1E-3</v>
      </c>
      <c r="L42" s="47">
        <f t="shared" si="2"/>
        <v>1E-3</v>
      </c>
      <c r="M42" s="47">
        <f t="shared" si="2"/>
        <v>1E-3</v>
      </c>
      <c r="N42" s="47">
        <f t="shared" si="2"/>
        <v>1E-3</v>
      </c>
      <c r="O42" s="47">
        <f t="shared" si="2"/>
        <v>1E-3</v>
      </c>
      <c r="P42" s="47">
        <f t="shared" si="2"/>
        <v>1E-3</v>
      </c>
      <c r="Q42" s="47">
        <f t="shared" si="2"/>
        <v>1E-3</v>
      </c>
      <c r="R42" s="47">
        <f t="shared" si="2"/>
        <v>1E-3</v>
      </c>
      <c r="S42" s="47">
        <f t="shared" si="2"/>
        <v>1E-3</v>
      </c>
      <c r="T42" s="47">
        <f t="shared" si="2"/>
        <v>1E-3</v>
      </c>
      <c r="U42" s="47">
        <f t="shared" si="2"/>
        <v>1E-3</v>
      </c>
      <c r="V42" s="47">
        <f t="shared" si="2"/>
        <v>1E-3</v>
      </c>
      <c r="W42" s="47">
        <f t="shared" si="2"/>
        <v>1E-3</v>
      </c>
      <c r="X42" s="47">
        <f t="shared" si="2"/>
        <v>1E-3</v>
      </c>
      <c r="Y42" s="47">
        <f t="shared" si="2"/>
        <v>1E-3</v>
      </c>
      <c r="Z42" s="47">
        <f t="shared" si="2"/>
        <v>1E-3</v>
      </c>
      <c r="AA42" s="47">
        <f t="shared" si="2"/>
        <v>1E-3</v>
      </c>
      <c r="AB42" s="47">
        <f t="shared" si="2"/>
        <v>1E-3</v>
      </c>
      <c r="AC42" s="47">
        <f t="shared" si="2"/>
        <v>1E-3</v>
      </c>
      <c r="AD42" s="147"/>
      <c r="AE42" s="147"/>
      <c r="AF42" s="147"/>
      <c r="AG42" s="147"/>
      <c r="AH42" s="147">
        <f>0.001*1.4</f>
        <v>1E-3</v>
      </c>
      <c r="AI42" s="147">
        <f>0.001*1.4</f>
        <v>1E-3</v>
      </c>
      <c r="AJ42" s="147">
        <f>0.001*1.4</f>
        <v>1E-3</v>
      </c>
      <c r="AK42" s="147">
        <f>0.001*1.4</f>
        <v>1E-3</v>
      </c>
      <c r="AL42" s="147">
        <f>0.001*1.4</f>
        <v>1E-3</v>
      </c>
      <c r="AM42" s="147">
        <v>0</v>
      </c>
      <c r="AN42" s="147">
        <f>0.001*1.4</f>
        <v>1E-3</v>
      </c>
      <c r="AO42" s="147">
        <f>0.001*1.4</f>
        <v>1E-3</v>
      </c>
      <c r="AP42" s="147">
        <f>0.002*1.4</f>
        <v>3.0000000000000001E-3</v>
      </c>
      <c r="AQ42" s="147">
        <v>0</v>
      </c>
      <c r="AR42" s="147">
        <v>0</v>
      </c>
      <c r="AS42" s="147">
        <f>0.001*1.4</f>
        <v>1E-3</v>
      </c>
      <c r="AT42" s="147">
        <f t="shared" ref="AT42:BF42" si="3">0.001*1.4</f>
        <v>1E-3</v>
      </c>
      <c r="AU42" s="147">
        <f t="shared" si="3"/>
        <v>1E-3</v>
      </c>
      <c r="AV42" s="147">
        <f t="shared" si="3"/>
        <v>1E-3</v>
      </c>
      <c r="AW42" s="147">
        <f t="shared" si="3"/>
        <v>1E-3</v>
      </c>
      <c r="AX42" s="147">
        <f t="shared" si="3"/>
        <v>1E-3</v>
      </c>
      <c r="AY42" s="147">
        <f t="shared" si="3"/>
        <v>1E-3</v>
      </c>
      <c r="AZ42" s="147">
        <f t="shared" si="3"/>
        <v>1E-3</v>
      </c>
      <c r="BA42" s="147">
        <f t="shared" si="3"/>
        <v>1E-3</v>
      </c>
      <c r="BB42" s="147">
        <f t="shared" si="3"/>
        <v>1E-3</v>
      </c>
      <c r="BC42" s="147">
        <f t="shared" si="3"/>
        <v>1E-3</v>
      </c>
      <c r="BD42" s="147">
        <f t="shared" si="3"/>
        <v>1E-3</v>
      </c>
      <c r="BE42" s="147">
        <f t="shared" si="3"/>
        <v>1E-3</v>
      </c>
      <c r="BF42" s="147">
        <f t="shared" si="3"/>
        <v>1E-3</v>
      </c>
      <c r="BG42" s="147">
        <f>0.002*1.4</f>
        <v>3.0000000000000001E-3</v>
      </c>
      <c r="BH42" s="147">
        <f>0.001*1.4</f>
        <v>1E-3</v>
      </c>
      <c r="BI42" s="147">
        <f>0.002*1.4</f>
        <v>3.0000000000000001E-3</v>
      </c>
      <c r="BJ42" s="147">
        <f>0.001*1.4</f>
        <v>1E-3</v>
      </c>
      <c r="BK42" s="147">
        <f t="shared" ref="BK42:BL42" si="4">0.001*1.4</f>
        <v>1E-3</v>
      </c>
      <c r="BL42" s="147">
        <f t="shared" si="4"/>
        <v>1E-3</v>
      </c>
      <c r="BM42" s="147">
        <f>0.001*1.4</f>
        <v>1E-3</v>
      </c>
      <c r="BN42" s="147">
        <f>0.001*1.4</f>
        <v>1E-3</v>
      </c>
      <c r="BO42" s="147">
        <f>0.001*1.4</f>
        <v>1E-3</v>
      </c>
      <c r="BP42" s="147">
        <f>0.002*1.4</f>
        <v>3.0000000000000001E-3</v>
      </c>
      <c r="BQ42" s="147">
        <f>0.002*1.4</f>
        <v>3.0000000000000001E-3</v>
      </c>
      <c r="BR42" s="147">
        <f t="shared" ref="BR42:BZ42" si="5">0.001*1.4</f>
        <v>1E-3</v>
      </c>
      <c r="BS42" s="147">
        <f t="shared" si="5"/>
        <v>1E-3</v>
      </c>
      <c r="BT42" s="147">
        <f t="shared" si="5"/>
        <v>1E-3</v>
      </c>
      <c r="BU42" s="147">
        <f t="shared" si="5"/>
        <v>1E-3</v>
      </c>
      <c r="BV42" s="147">
        <f t="shared" si="5"/>
        <v>1E-3</v>
      </c>
      <c r="BW42" s="147">
        <f t="shared" si="5"/>
        <v>1E-3</v>
      </c>
      <c r="BX42" s="147">
        <f t="shared" si="5"/>
        <v>1E-3</v>
      </c>
      <c r="BY42" s="147">
        <f t="shared" si="5"/>
        <v>1E-3</v>
      </c>
      <c r="BZ42" s="147">
        <f t="shared" si="5"/>
        <v>1E-3</v>
      </c>
      <c r="CA42" s="147">
        <f t="shared" ref="CA42:CD42" si="6">0.001*1.4</f>
        <v>1E-3</v>
      </c>
      <c r="CB42" s="147">
        <f t="shared" si="6"/>
        <v>1E-3</v>
      </c>
      <c r="CC42" s="147">
        <f t="shared" si="6"/>
        <v>1E-3</v>
      </c>
      <c r="CD42" s="147">
        <f t="shared" si="6"/>
        <v>1E-3</v>
      </c>
      <c r="CE42" s="147">
        <v>0</v>
      </c>
      <c r="CF42" s="147">
        <f>0.001*1.4</f>
        <v>1E-3</v>
      </c>
      <c r="CG42" s="147">
        <f t="shared" ref="CG42:CH42" si="7">0.001*1.4</f>
        <v>1E-3</v>
      </c>
      <c r="CH42" s="147">
        <f t="shared" si="7"/>
        <v>1E-3</v>
      </c>
      <c r="CI42" s="147">
        <f>0.003*1.4</f>
        <v>4.0000000000000001E-3</v>
      </c>
      <c r="CJ42" s="147">
        <f>0.003*1.4</f>
        <v>4.0000000000000001E-3</v>
      </c>
      <c r="CK42" s="147">
        <f>0.001*1.4</f>
        <v>1E-3</v>
      </c>
      <c r="CL42" s="147">
        <f t="shared" ref="CL42:CM42" si="8">0.001*1.4</f>
        <v>1E-3</v>
      </c>
      <c r="CM42" s="147">
        <f t="shared" si="8"/>
        <v>1E-3</v>
      </c>
      <c r="CN42" s="47">
        <v>0</v>
      </c>
      <c r="CO42" s="147">
        <v>0</v>
      </c>
      <c r="CP42" s="147">
        <v>0</v>
      </c>
      <c r="CQ42" s="147">
        <v>0</v>
      </c>
      <c r="CR42" s="147">
        <v>0</v>
      </c>
      <c r="CS42" s="147">
        <v>0</v>
      </c>
      <c r="CT42" s="147">
        <v>0</v>
      </c>
    </row>
    <row r="43" spans="1:98" ht="19.5" thickBot="1">
      <c r="A43" s="7" t="s">
        <v>49</v>
      </c>
      <c r="B43" s="8" t="s">
        <v>50</v>
      </c>
      <c r="C43" s="9"/>
      <c r="D43" s="47">
        <f>0.192*1.4*1.2</f>
        <v>0.32300000000000001</v>
      </c>
      <c r="E43" s="47">
        <f>0.198*1.4*1.2</f>
        <v>0.33300000000000002</v>
      </c>
      <c r="F43" s="47">
        <f>0.168*1.4*1.2</f>
        <v>0.28199999999999997</v>
      </c>
      <c r="G43" s="47">
        <f>0.171*1.4*1.2</f>
        <v>0.28699999999999998</v>
      </c>
      <c r="H43" s="47">
        <f>0.149*1.4*1.2</f>
        <v>0.25</v>
      </c>
      <c r="I43" s="47">
        <f>0.174*1.4*1.2</f>
        <v>0.29199999999999998</v>
      </c>
      <c r="J43" s="47">
        <f>0.183*1.4*1.2</f>
        <v>0.307</v>
      </c>
      <c r="K43" s="47">
        <f>0.175*1.4*1.2</f>
        <v>0.29399999999999998</v>
      </c>
      <c r="L43" s="47">
        <f>0.151*1.4*1.2</f>
        <v>0.254</v>
      </c>
      <c r="M43" s="47">
        <f>0.151*1.4*1.2</f>
        <v>0.254</v>
      </c>
      <c r="N43" s="47">
        <f>0.156*1.4*1.2</f>
        <v>0.26200000000000001</v>
      </c>
      <c r="O43" s="47">
        <f>0.195*1.4*1.2</f>
        <v>0.32800000000000001</v>
      </c>
      <c r="P43" s="47">
        <f>0.167*1.4*1.2</f>
        <v>0.28100000000000003</v>
      </c>
      <c r="Q43" s="47">
        <f>0.2*1.4*1.2</f>
        <v>0.33600000000000002</v>
      </c>
      <c r="R43" s="47">
        <f>0.2*1.4*1.2</f>
        <v>0.33600000000000002</v>
      </c>
      <c r="S43" s="47">
        <f>0.157*1.4*1.2</f>
        <v>0.26400000000000001</v>
      </c>
      <c r="T43" s="47">
        <f>0.148*1.4*1.2</f>
        <v>0.249</v>
      </c>
      <c r="U43" s="47">
        <f>0.145*1.4*1.2</f>
        <v>0.24399999999999999</v>
      </c>
      <c r="V43" s="147">
        <f>0.152*1.4*1.2</f>
        <v>0.255</v>
      </c>
      <c r="W43" s="147">
        <f>0.175*1.4*1.2</f>
        <v>0.29399999999999998</v>
      </c>
      <c r="X43" s="147">
        <f>0.17*1.4*1.2</f>
        <v>0.28599999999999998</v>
      </c>
      <c r="Y43" s="147">
        <f>0.168*1.4*1.2</f>
        <v>0.28199999999999997</v>
      </c>
      <c r="Z43" s="147">
        <f>0.167*1.4*1.2</f>
        <v>0.28100000000000003</v>
      </c>
      <c r="AA43" s="147">
        <f>0.173*1.4*1.2</f>
        <v>0.29099999999999998</v>
      </c>
      <c r="AB43" s="147">
        <f>0.18*1.4*1.2</f>
        <v>0.30199999999999999</v>
      </c>
      <c r="AC43" s="147">
        <f>0.172*1.4*1.2</f>
        <v>0.28899999999999998</v>
      </c>
      <c r="AD43" s="147">
        <v>0</v>
      </c>
      <c r="AE43" s="147">
        <v>0</v>
      </c>
      <c r="AF43" s="147">
        <v>0</v>
      </c>
      <c r="AG43" s="147">
        <v>0</v>
      </c>
      <c r="AH43" s="147">
        <f>0.216*1.4*1.2</f>
        <v>0.36299999999999999</v>
      </c>
      <c r="AI43" s="147">
        <f>0.17*1.4*1.2</f>
        <v>0.28599999999999998</v>
      </c>
      <c r="AJ43" s="147">
        <f>0.178*1.4*1.2</f>
        <v>0.29899999999999999</v>
      </c>
      <c r="AK43" s="147">
        <f>0.237*1.4*1.2</f>
        <v>0.39800000000000002</v>
      </c>
      <c r="AL43" s="147">
        <f>0.202*1.4*1.2</f>
        <v>0.33900000000000002</v>
      </c>
      <c r="AM43" s="147">
        <v>0</v>
      </c>
      <c r="AN43" s="147">
        <f>0.134*1.4*1.2</f>
        <v>0.22500000000000001</v>
      </c>
      <c r="AO43" s="147">
        <f>0.156*1.4*1.2</f>
        <v>0.26200000000000001</v>
      </c>
      <c r="AP43" s="147">
        <f>0.13*1.4*1.2</f>
        <v>0.218</v>
      </c>
      <c r="AQ43" s="147">
        <v>0</v>
      </c>
      <c r="AR43" s="147">
        <v>0</v>
      </c>
      <c r="AS43" s="147">
        <f>0.117*1.4*1.2</f>
        <v>0.19700000000000001</v>
      </c>
      <c r="AT43" s="147">
        <f>0.396*1.2</f>
        <v>0.47499999999999998</v>
      </c>
      <c r="AU43" s="147">
        <f>0.206*1.2</f>
        <v>0.247</v>
      </c>
      <c r="AV43" s="147">
        <f>0.351*1.2</f>
        <v>0.42099999999999999</v>
      </c>
      <c r="AW43" s="147">
        <f>0.195*1.4*1.2</f>
        <v>0.32800000000000001</v>
      </c>
      <c r="AX43" s="147">
        <f>0.199*1.4*1.2</f>
        <v>0.33400000000000002</v>
      </c>
      <c r="AY43" s="147">
        <f>0.167*1.1*1.2</f>
        <v>0.22</v>
      </c>
      <c r="AZ43" s="147">
        <f>0.167*1.4*1.2</f>
        <v>0.28100000000000003</v>
      </c>
      <c r="BA43" s="147">
        <f>0.173*1.4*1.2</f>
        <v>0.29099999999999998</v>
      </c>
      <c r="BB43" s="147">
        <f>0.056*1.4*1.2</f>
        <v>9.4E-2</v>
      </c>
      <c r="BC43" s="147">
        <f>0.386*1.4*1.2</f>
        <v>0.64800000000000002</v>
      </c>
      <c r="BD43" s="147">
        <f>0.159*1.4*1.2</f>
        <v>0.26700000000000002</v>
      </c>
      <c r="BE43" s="147">
        <f>0.179*1.4*1.2</f>
        <v>0.30099999999999999</v>
      </c>
      <c r="BF43" s="147">
        <f>0.153*1.4*1.2</f>
        <v>0.25700000000000001</v>
      </c>
      <c r="BG43" s="147">
        <f>0.238*1.4*1.2</f>
        <v>0.4</v>
      </c>
      <c r="BH43" s="147">
        <f>0.193*1.4*1.2</f>
        <v>0.32400000000000001</v>
      </c>
      <c r="BI43" s="147">
        <f>0.237*1.4*1.2</f>
        <v>0.39800000000000002</v>
      </c>
      <c r="BJ43" s="147">
        <f>0.157*1.4*1.2</f>
        <v>0.26400000000000001</v>
      </c>
      <c r="BK43" s="147">
        <f>0.259*1.4*1.2</f>
        <v>0.435</v>
      </c>
      <c r="BL43" s="147">
        <f>0.164*1.4*1.2</f>
        <v>0.27600000000000002</v>
      </c>
      <c r="BM43" s="147">
        <f>0.196*1.4*1.2</f>
        <v>0.32900000000000001</v>
      </c>
      <c r="BN43" s="147">
        <f>0.137*1.4*1.2</f>
        <v>0.23</v>
      </c>
      <c r="BO43" s="147">
        <f>0.229*1.4*1.2</f>
        <v>0.38500000000000001</v>
      </c>
      <c r="BP43" s="147">
        <f>0.243*1.4*1.2</f>
        <v>0.40799999999999997</v>
      </c>
      <c r="BQ43" s="147">
        <f>0.247*1.4*1.2</f>
        <v>0.41499999999999998</v>
      </c>
      <c r="BR43" s="147">
        <f>0.175*1.4*1.2</f>
        <v>0.29399999999999998</v>
      </c>
      <c r="BS43" s="147">
        <f>0.15*1.4*1.2</f>
        <v>0.252</v>
      </c>
      <c r="BT43" s="147">
        <f>0.168*1.4*1.2</f>
        <v>0.28199999999999997</v>
      </c>
      <c r="BU43" s="147">
        <f>0.119*1.4*1.2</f>
        <v>0.2</v>
      </c>
      <c r="BV43" s="147">
        <f>0.142*1.4*1.2</f>
        <v>0.23899999999999999</v>
      </c>
      <c r="BW43" s="147">
        <f>0.171*1.4*1.2</f>
        <v>0.28699999999999998</v>
      </c>
      <c r="BX43" s="147">
        <f>0.204*1.4*1.2</f>
        <v>0.34300000000000003</v>
      </c>
      <c r="BY43" s="147">
        <f>0.199*1.4*1.2</f>
        <v>0.33400000000000002</v>
      </c>
      <c r="BZ43" s="147">
        <f>0.183*1.4*1.2</f>
        <v>0.307</v>
      </c>
      <c r="CA43" s="147">
        <f>0.172*1.4*1.2</f>
        <v>0.28899999999999998</v>
      </c>
      <c r="CB43" s="147">
        <f>0.156*1.4*1.2</f>
        <v>0.26200000000000001</v>
      </c>
      <c r="CC43" s="147">
        <f>0.158*1.4*1.2</f>
        <v>0.26500000000000001</v>
      </c>
      <c r="CD43" s="147">
        <f>0.157*1.4*1.2</f>
        <v>0.26400000000000001</v>
      </c>
      <c r="CE43" s="147">
        <v>0</v>
      </c>
      <c r="CF43" s="147">
        <f>0.175*1.4*1.2</f>
        <v>0.29399999999999998</v>
      </c>
      <c r="CG43" s="147">
        <f>0.179*1.4*1.2</f>
        <v>0.30099999999999999</v>
      </c>
      <c r="CH43" s="147">
        <f>0.178*1.4*1.2</f>
        <v>0.29899999999999999</v>
      </c>
      <c r="CI43" s="147">
        <f>0.244*1.4*1.2</f>
        <v>0.41</v>
      </c>
      <c r="CJ43" s="147">
        <f>0.252*1.4*1.2</f>
        <v>0.42299999999999999</v>
      </c>
      <c r="CK43" s="147">
        <f>0.253*1.4*1.2</f>
        <v>0.42499999999999999</v>
      </c>
      <c r="CL43" s="147">
        <f>0.261*1.4*1.2</f>
        <v>0.438</v>
      </c>
      <c r="CM43" s="147">
        <f>0.157*1.4*1.2</f>
        <v>0.26400000000000001</v>
      </c>
      <c r="CN43" s="47">
        <v>0</v>
      </c>
      <c r="CO43" s="147">
        <f t="shared" ref="CO43:CT43" si="9">1.144*1.2</f>
        <v>1.373</v>
      </c>
      <c r="CP43" s="147">
        <f t="shared" si="9"/>
        <v>1.373</v>
      </c>
      <c r="CQ43" s="147">
        <f t="shared" si="9"/>
        <v>1.373</v>
      </c>
      <c r="CR43" s="147">
        <f t="shared" si="9"/>
        <v>1.373</v>
      </c>
      <c r="CS43" s="147">
        <f t="shared" si="9"/>
        <v>1.373</v>
      </c>
      <c r="CT43" s="147">
        <f t="shared" si="9"/>
        <v>1.373</v>
      </c>
    </row>
    <row r="44" spans="1:98" ht="19.5" thickBot="1">
      <c r="A44" s="7" t="s">
        <v>51</v>
      </c>
      <c r="B44" s="8" t="s">
        <v>52</v>
      </c>
      <c r="C44" s="9"/>
      <c r="D44" s="47">
        <v>0</v>
      </c>
      <c r="E44" s="47">
        <f>0.191*1.4*1.2</f>
        <v>0.32100000000000001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f>0.194*1.4*1.2</f>
        <v>0.32600000000000001</v>
      </c>
      <c r="S44" s="47">
        <v>0</v>
      </c>
      <c r="T44" s="47">
        <f>0.144*1.4*1.2</f>
        <v>0.24199999999999999</v>
      </c>
      <c r="U44" s="47">
        <v>0</v>
      </c>
      <c r="V44" s="147">
        <f>0.168*1.4*1.2</f>
        <v>0.28199999999999997</v>
      </c>
      <c r="W44" s="147">
        <f>0.193*1.4*1.2</f>
        <v>0.32400000000000001</v>
      </c>
      <c r="X44" s="147">
        <f>0.188*1.4*1.2</f>
        <v>0.316</v>
      </c>
      <c r="Y44" s="147">
        <f>0.186*1.4*1.2</f>
        <v>0.312</v>
      </c>
      <c r="Z44" s="147">
        <f>0.182*1.4*1.2</f>
        <v>0.30599999999999999</v>
      </c>
      <c r="AA44" s="147">
        <f>0.187*1.4*1.2</f>
        <v>0.314</v>
      </c>
      <c r="AB44" s="147">
        <f>0.277*1.4*1.2</f>
        <v>0.46500000000000002</v>
      </c>
      <c r="AC44" s="147">
        <f>0.261*1.4*1.2</f>
        <v>0.438</v>
      </c>
      <c r="AD44" s="147">
        <v>0</v>
      </c>
      <c r="AE44" s="147">
        <v>0</v>
      </c>
      <c r="AF44" s="147">
        <v>0</v>
      </c>
      <c r="AG44" s="147">
        <v>0</v>
      </c>
      <c r="AH44" s="147">
        <v>0</v>
      </c>
      <c r="AI44" s="147">
        <v>0</v>
      </c>
      <c r="AJ44" s="147">
        <v>0</v>
      </c>
      <c r="AK44" s="147">
        <f>0.227*1.4*1.2</f>
        <v>0.38100000000000001</v>
      </c>
      <c r="AL44" s="147">
        <v>0</v>
      </c>
      <c r="AM44" s="147">
        <v>0</v>
      </c>
      <c r="AN44" s="147">
        <v>0</v>
      </c>
      <c r="AO44" s="147">
        <v>0</v>
      </c>
      <c r="AP44" s="147">
        <v>0</v>
      </c>
      <c r="AQ44" s="147">
        <v>0</v>
      </c>
      <c r="AR44" s="147">
        <v>0</v>
      </c>
      <c r="AS44" s="147">
        <v>0</v>
      </c>
      <c r="AT44" s="147">
        <f>0.387*1.2</f>
        <v>0.46400000000000002</v>
      </c>
      <c r="AU44" s="147">
        <f>0.348*1.2</f>
        <v>0.41799999999999998</v>
      </c>
      <c r="AV44" s="147">
        <f>0.378*1.2</f>
        <v>0.45400000000000001</v>
      </c>
      <c r="AW44" s="147">
        <f>0.189*1.4*1.2</f>
        <v>0.318</v>
      </c>
      <c r="AX44" s="147">
        <f>0.193*1.4*1.2</f>
        <v>0.32400000000000001</v>
      </c>
      <c r="AY44" s="147">
        <v>0</v>
      </c>
      <c r="AZ44" s="147">
        <v>0</v>
      </c>
      <c r="BA44" s="147">
        <v>0</v>
      </c>
      <c r="BB44" s="147">
        <f>0.152*1.4*1.2</f>
        <v>0.255</v>
      </c>
      <c r="BC44" s="147">
        <f>0.35*1.4*1.2</f>
        <v>0.58799999999999997</v>
      </c>
      <c r="BD44" s="147">
        <v>0</v>
      </c>
      <c r="BE44" s="147">
        <v>0</v>
      </c>
      <c r="BF44" s="147">
        <v>0</v>
      </c>
      <c r="BG44" s="147">
        <v>0</v>
      </c>
      <c r="BH44" s="147">
        <v>0</v>
      </c>
      <c r="BI44" s="147">
        <v>0</v>
      </c>
      <c r="BJ44" s="147">
        <v>0</v>
      </c>
      <c r="BK44" s="147">
        <v>0</v>
      </c>
      <c r="BL44" s="147">
        <v>0</v>
      </c>
      <c r="BM44" s="147">
        <f>0.188*1.4*1.2</f>
        <v>0.316</v>
      </c>
      <c r="BN44" s="147">
        <v>0</v>
      </c>
      <c r="BO44" s="147">
        <v>0</v>
      </c>
      <c r="BP44" s="147">
        <v>0</v>
      </c>
      <c r="BQ44" s="147"/>
      <c r="BR44" s="147">
        <v>0</v>
      </c>
      <c r="BS44" s="147">
        <v>0</v>
      </c>
      <c r="BT44" s="147">
        <v>0</v>
      </c>
      <c r="BU44" s="147">
        <v>0</v>
      </c>
      <c r="BV44" s="147">
        <v>0</v>
      </c>
      <c r="BW44" s="147">
        <v>0</v>
      </c>
      <c r="BX44" s="147">
        <f>0.194*1.4*1.2</f>
        <v>0.32600000000000001</v>
      </c>
      <c r="BY44" s="147">
        <f>0.193*1.4*1.2</f>
        <v>0.32400000000000001</v>
      </c>
      <c r="BZ44" s="147">
        <f>0.296*1.4*1.2</f>
        <v>0.497</v>
      </c>
      <c r="CA44" s="147">
        <f>0.189*1.4*1.2</f>
        <v>0.318</v>
      </c>
      <c r="CB44" s="147">
        <f>0.163*1.4*1.2</f>
        <v>0.27400000000000002</v>
      </c>
      <c r="CC44" s="147">
        <f>0.174*1.4*1.2</f>
        <v>0.29199999999999998</v>
      </c>
      <c r="CD44" s="147">
        <f>0.174*1.4*1.2</f>
        <v>0.29199999999999998</v>
      </c>
      <c r="CE44" s="147">
        <v>0</v>
      </c>
      <c r="CF44" s="147">
        <v>0</v>
      </c>
      <c r="CG44" s="147">
        <f>0.173*1.4*1.2</f>
        <v>0.29099999999999998</v>
      </c>
      <c r="CH44" s="147">
        <f>0.173*1.4*1.2</f>
        <v>0.29099999999999998</v>
      </c>
      <c r="CI44" s="147">
        <v>0</v>
      </c>
      <c r="CJ44" s="147">
        <v>0</v>
      </c>
      <c r="CK44" s="147">
        <v>0</v>
      </c>
      <c r="CL44" s="147">
        <v>0</v>
      </c>
      <c r="CM44" s="147">
        <v>0</v>
      </c>
      <c r="CN44" s="47">
        <v>0</v>
      </c>
      <c r="CO44" s="147">
        <v>0</v>
      </c>
      <c r="CP44" s="147">
        <v>0</v>
      </c>
      <c r="CQ44" s="147">
        <v>0</v>
      </c>
      <c r="CR44" s="147">
        <v>0</v>
      </c>
      <c r="CS44" s="147">
        <v>0</v>
      </c>
      <c r="CT44" s="147">
        <v>0</v>
      </c>
    </row>
    <row r="45" spans="1:98" ht="19.5" thickBot="1">
      <c r="A45" s="7" t="s">
        <v>53</v>
      </c>
      <c r="B45" s="8" t="s">
        <v>54</v>
      </c>
      <c r="C45" s="9"/>
    </row>
    <row r="46" spans="1:98" ht="19.5" thickBot="1">
      <c r="A46" s="7" t="s">
        <v>55</v>
      </c>
      <c r="B46" s="8" t="s">
        <v>56</v>
      </c>
      <c r="C46" s="9"/>
    </row>
    <row r="47" spans="1:98" ht="19.5" thickBot="1">
      <c r="A47" s="7" t="s">
        <v>57</v>
      </c>
      <c r="B47" s="8" t="s">
        <v>58</v>
      </c>
      <c r="C47" s="9"/>
    </row>
    <row r="50" spans="4:98">
      <c r="D50" s="47">
        <f>D13/1.01</f>
        <v>0.84299999999999997</v>
      </c>
      <c r="E50" s="47">
        <f t="shared" ref="E50:BP51" si="10">E13/1.01</f>
        <v>0.69399999999999995</v>
      </c>
      <c r="F50" s="47">
        <f t="shared" si="10"/>
        <v>0.64600000000000002</v>
      </c>
      <c r="G50" s="47">
        <f t="shared" si="10"/>
        <v>0.58799999999999997</v>
      </c>
      <c r="H50" s="47">
        <f t="shared" si="10"/>
        <v>0.40799999999999997</v>
      </c>
      <c r="I50" s="47">
        <f t="shared" si="10"/>
        <v>0.437</v>
      </c>
      <c r="J50" s="47">
        <f t="shared" si="10"/>
        <v>0.67600000000000005</v>
      </c>
      <c r="K50" s="47">
        <f>K13/1.01</f>
        <v>0.63900000000000001</v>
      </c>
      <c r="L50" s="47">
        <f t="shared" si="10"/>
        <v>0.56399999999999995</v>
      </c>
      <c r="M50" s="47">
        <f t="shared" si="10"/>
        <v>0.53700000000000003</v>
      </c>
      <c r="N50" s="47">
        <f t="shared" si="10"/>
        <v>0.65100000000000002</v>
      </c>
      <c r="O50" s="47">
        <f t="shared" si="10"/>
        <v>0.63400000000000001</v>
      </c>
      <c r="P50" s="47">
        <f t="shared" si="10"/>
        <v>0.63400000000000001</v>
      </c>
      <c r="Q50" s="47">
        <f t="shared" si="10"/>
        <v>0.78700000000000003</v>
      </c>
      <c r="R50" s="47">
        <f t="shared" si="10"/>
        <v>0.77500000000000002</v>
      </c>
      <c r="S50" s="47">
        <f t="shared" si="10"/>
        <v>0.57399999999999995</v>
      </c>
      <c r="T50" s="47">
        <f t="shared" si="10"/>
        <v>0.67100000000000004</v>
      </c>
      <c r="U50" s="47">
        <f t="shared" si="10"/>
        <v>0.56699999999999995</v>
      </c>
      <c r="V50" s="147">
        <f t="shared" si="10"/>
        <v>0.66500000000000004</v>
      </c>
      <c r="W50" s="147">
        <f t="shared" si="10"/>
        <v>0.61</v>
      </c>
      <c r="X50" s="147">
        <f>X13/1.01</f>
        <v>0.64500000000000002</v>
      </c>
      <c r="Y50" s="147">
        <f>Y13/1.01</f>
        <v>0.66400000000000003</v>
      </c>
      <c r="Z50" s="147">
        <f t="shared" si="10"/>
        <v>0.63200000000000001</v>
      </c>
      <c r="AA50" s="147">
        <f t="shared" si="10"/>
        <v>0.57499999999999996</v>
      </c>
      <c r="AB50" s="147">
        <f t="shared" si="10"/>
        <v>0.49299999999999999</v>
      </c>
      <c r="AC50" s="147">
        <f t="shared" si="10"/>
        <v>0.59599999999999997</v>
      </c>
      <c r="AD50" s="147">
        <f t="shared" si="10"/>
        <v>0</v>
      </c>
      <c r="AE50" s="147">
        <f t="shared" si="10"/>
        <v>0</v>
      </c>
      <c r="AF50" s="147">
        <f t="shared" si="10"/>
        <v>0</v>
      </c>
      <c r="AG50" s="147">
        <f t="shared" si="10"/>
        <v>0</v>
      </c>
      <c r="AH50" s="147">
        <f>AH13/1.01</f>
        <v>0.20799999999999999</v>
      </c>
      <c r="AI50" s="147">
        <f t="shared" si="10"/>
        <v>0.45100000000000001</v>
      </c>
      <c r="AJ50" s="147">
        <f t="shared" si="10"/>
        <v>0.311</v>
      </c>
      <c r="AK50" s="147">
        <f t="shared" si="10"/>
        <v>0.89700000000000002</v>
      </c>
      <c r="AL50" s="147">
        <f t="shared" si="10"/>
        <v>0.56499999999999995</v>
      </c>
      <c r="AM50" s="147">
        <f t="shared" si="10"/>
        <v>0</v>
      </c>
      <c r="AN50" s="147">
        <f t="shared" si="10"/>
        <v>1.2370000000000001</v>
      </c>
      <c r="AO50" s="147">
        <f t="shared" si="10"/>
        <v>0.66800000000000004</v>
      </c>
      <c r="AP50" s="147">
        <f t="shared" si="10"/>
        <v>0.495</v>
      </c>
      <c r="AQ50" s="147">
        <f t="shared" si="10"/>
        <v>0</v>
      </c>
      <c r="AR50" s="147">
        <f t="shared" si="10"/>
        <v>0</v>
      </c>
      <c r="AS50" s="147">
        <f t="shared" si="10"/>
        <v>0.67100000000000004</v>
      </c>
      <c r="AT50" s="147">
        <f t="shared" si="10"/>
        <v>0.33400000000000002</v>
      </c>
      <c r="AU50" s="147">
        <f t="shared" si="10"/>
        <v>0.34799999999999998</v>
      </c>
      <c r="AV50" s="147">
        <f t="shared" si="10"/>
        <v>0.37</v>
      </c>
      <c r="AW50" s="147">
        <f t="shared" si="10"/>
        <v>0.72899999999999998</v>
      </c>
      <c r="AX50" s="147">
        <f t="shared" si="10"/>
        <v>0.83599999999999997</v>
      </c>
      <c r="AY50" s="147">
        <f t="shared" si="10"/>
        <v>0.47199999999999998</v>
      </c>
      <c r="AZ50" s="147">
        <f t="shared" si="10"/>
        <v>0.59</v>
      </c>
      <c r="BA50" s="147">
        <f t="shared" si="10"/>
        <v>1.6439999999999999</v>
      </c>
      <c r="BB50" s="147">
        <f t="shared" si="10"/>
        <v>0.82099999999999995</v>
      </c>
      <c r="BC50" s="147">
        <f t="shared" si="10"/>
        <v>0.58199999999999996</v>
      </c>
      <c r="BD50" s="147">
        <f t="shared" si="10"/>
        <v>0.72</v>
      </c>
      <c r="BE50" s="147">
        <f t="shared" si="10"/>
        <v>0.65700000000000003</v>
      </c>
      <c r="BF50" s="147">
        <f t="shared" si="10"/>
        <v>0.47</v>
      </c>
      <c r="BG50" s="147">
        <f t="shared" si="10"/>
        <v>0.92300000000000004</v>
      </c>
      <c r="BH50" s="147">
        <f t="shared" si="10"/>
        <v>1.145</v>
      </c>
      <c r="BI50" s="147">
        <f t="shared" si="10"/>
        <v>0.92300000000000004</v>
      </c>
      <c r="BJ50" s="147">
        <f t="shared" si="10"/>
        <v>0.58199999999999996</v>
      </c>
      <c r="BK50" s="147">
        <f t="shared" si="10"/>
        <v>1.03</v>
      </c>
      <c r="BL50" s="147">
        <f t="shared" si="10"/>
        <v>0.67500000000000004</v>
      </c>
      <c r="BM50" s="147">
        <f t="shared" si="10"/>
        <v>0.80100000000000005</v>
      </c>
      <c r="BN50" s="147">
        <f t="shared" si="10"/>
        <v>0.47799999999999998</v>
      </c>
      <c r="BO50" s="147">
        <f t="shared" si="10"/>
        <v>0.16500000000000001</v>
      </c>
      <c r="BP50" s="147">
        <f t="shared" si="10"/>
        <v>1.0109999999999999</v>
      </c>
      <c r="BQ50" s="147">
        <f t="shared" ref="BQ50:CT54" si="11">BQ13/1.01</f>
        <v>0.92500000000000004</v>
      </c>
      <c r="BR50" s="147">
        <f t="shared" si="11"/>
        <v>0.52600000000000002</v>
      </c>
      <c r="BS50" s="147">
        <f t="shared" si="11"/>
        <v>0.54800000000000004</v>
      </c>
      <c r="BT50" s="147">
        <f t="shared" si="11"/>
        <v>0.45700000000000002</v>
      </c>
      <c r="BU50" s="147">
        <f t="shared" si="11"/>
        <v>0.55400000000000005</v>
      </c>
      <c r="BV50" s="147">
        <f t="shared" si="11"/>
        <v>0.39100000000000001</v>
      </c>
      <c r="BW50" s="147">
        <f t="shared" si="11"/>
        <v>0.499</v>
      </c>
      <c r="BX50" s="147">
        <f t="shared" si="11"/>
        <v>0.57099999999999995</v>
      </c>
      <c r="BY50" s="147">
        <f t="shared" si="11"/>
        <v>0.84599999999999997</v>
      </c>
      <c r="BZ50" s="147">
        <f t="shared" si="11"/>
        <v>0.63</v>
      </c>
      <c r="CA50" s="147">
        <f t="shared" si="11"/>
        <v>0.68300000000000005</v>
      </c>
      <c r="CB50" s="147">
        <f t="shared" si="11"/>
        <v>0.69299999999999995</v>
      </c>
      <c r="CC50" s="147">
        <f t="shared" si="11"/>
        <v>0.63700000000000001</v>
      </c>
      <c r="CD50" s="147">
        <f t="shared" si="11"/>
        <v>0.71499999999999997</v>
      </c>
      <c r="CE50" s="147">
        <f t="shared" si="11"/>
        <v>0</v>
      </c>
      <c r="CF50" s="147">
        <f t="shared" si="11"/>
        <v>0.63700000000000001</v>
      </c>
      <c r="CG50" s="147">
        <f t="shared" si="11"/>
        <v>0.94199999999999995</v>
      </c>
      <c r="CH50" s="147">
        <f t="shared" si="11"/>
        <v>0.86899999999999999</v>
      </c>
      <c r="CI50" s="147">
        <f t="shared" si="11"/>
        <v>0.438</v>
      </c>
      <c r="CJ50" s="147">
        <f t="shared" si="11"/>
        <v>0.59199999999999997</v>
      </c>
      <c r="CK50" s="147">
        <f t="shared" si="11"/>
        <v>1.4690000000000001</v>
      </c>
      <c r="CL50" s="147">
        <f t="shared" si="11"/>
        <v>0.82899999999999996</v>
      </c>
      <c r="CM50" s="147">
        <f t="shared" si="11"/>
        <v>1.7729999999999999</v>
      </c>
      <c r="CN50" s="47">
        <f t="shared" si="11"/>
        <v>0</v>
      </c>
      <c r="CO50" s="147">
        <f t="shared" si="11"/>
        <v>0.05</v>
      </c>
      <c r="CP50" s="147">
        <f t="shared" si="11"/>
        <v>5.0999999999999997E-2</v>
      </c>
      <c r="CQ50" s="147">
        <f t="shared" si="11"/>
        <v>0.05</v>
      </c>
      <c r="CR50" s="147">
        <f t="shared" si="11"/>
        <v>0.05</v>
      </c>
      <c r="CS50" s="147">
        <f t="shared" si="11"/>
        <v>0.05</v>
      </c>
      <c r="CT50" s="147">
        <f t="shared" si="11"/>
        <v>4.9000000000000002E-2</v>
      </c>
    </row>
    <row r="51" spans="4:98">
      <c r="D51" s="47">
        <f>D14/1.01</f>
        <v>0.126</v>
      </c>
      <c r="E51" s="47">
        <f t="shared" ref="D51:S81" si="12">E14/1.01</f>
        <v>0.44</v>
      </c>
      <c r="F51" s="47">
        <f t="shared" si="12"/>
        <v>0.20699999999999999</v>
      </c>
      <c r="G51" s="47">
        <f t="shared" si="12"/>
        <v>0.23300000000000001</v>
      </c>
      <c r="H51" s="47">
        <f t="shared" si="12"/>
        <v>0.1</v>
      </c>
      <c r="I51" s="47">
        <f t="shared" si="12"/>
        <v>0.23300000000000001</v>
      </c>
      <c r="J51" s="47">
        <f t="shared" si="12"/>
        <v>0.13300000000000001</v>
      </c>
      <c r="K51" s="47">
        <f t="shared" si="12"/>
        <v>0.22900000000000001</v>
      </c>
      <c r="L51" s="47">
        <f t="shared" si="12"/>
        <v>0.30399999999999999</v>
      </c>
      <c r="M51" s="47">
        <f t="shared" si="12"/>
        <v>0.26200000000000001</v>
      </c>
      <c r="N51" s="47">
        <f t="shared" si="12"/>
        <v>0.27300000000000002</v>
      </c>
      <c r="O51" s="47">
        <f t="shared" si="12"/>
        <v>0.13500000000000001</v>
      </c>
      <c r="P51" s="47">
        <f t="shared" si="12"/>
        <v>0.19400000000000001</v>
      </c>
      <c r="Q51" s="47">
        <f t="shared" si="12"/>
        <v>0.222</v>
      </c>
      <c r="R51" s="47">
        <f t="shared" si="12"/>
        <v>0.443</v>
      </c>
      <c r="S51" s="47">
        <f t="shared" si="12"/>
        <v>0.188</v>
      </c>
      <c r="T51" s="47">
        <f t="shared" si="10"/>
        <v>0.24199999999999999</v>
      </c>
      <c r="U51" s="47">
        <f t="shared" si="10"/>
        <v>0.17199999999999999</v>
      </c>
      <c r="V51" s="147">
        <f t="shared" si="10"/>
        <v>0.32900000000000001</v>
      </c>
      <c r="W51" s="147">
        <f t="shared" si="10"/>
        <v>0.36699999999999999</v>
      </c>
      <c r="X51" s="147">
        <f t="shared" si="10"/>
        <v>0.34100000000000003</v>
      </c>
      <c r="Y51" s="147">
        <f t="shared" si="10"/>
        <v>0.40600000000000003</v>
      </c>
      <c r="Z51" s="147">
        <f t="shared" si="10"/>
        <v>0.39200000000000002</v>
      </c>
      <c r="AA51" s="147">
        <f t="shared" si="10"/>
        <v>0.35199999999999998</v>
      </c>
      <c r="AB51" s="147">
        <f t="shared" si="10"/>
        <v>0.38400000000000001</v>
      </c>
      <c r="AC51" s="147">
        <f t="shared" si="10"/>
        <v>0.41299999999999998</v>
      </c>
      <c r="AD51" s="147">
        <f t="shared" si="10"/>
        <v>0</v>
      </c>
      <c r="AE51" s="147">
        <f t="shared" si="10"/>
        <v>0</v>
      </c>
      <c r="AF51" s="147">
        <f t="shared" si="10"/>
        <v>0</v>
      </c>
      <c r="AG51" s="147">
        <f t="shared" si="10"/>
        <v>0</v>
      </c>
      <c r="AH51" s="147">
        <f t="shared" si="10"/>
        <v>0.23899999999999999</v>
      </c>
      <c r="AI51" s="147">
        <f t="shared" si="10"/>
        <v>0.13200000000000001</v>
      </c>
      <c r="AJ51" s="147">
        <f t="shared" si="10"/>
        <v>0.107</v>
      </c>
      <c r="AK51" s="147">
        <f t="shared" si="10"/>
        <v>0.20799999999999999</v>
      </c>
      <c r="AL51" s="147">
        <f t="shared" si="10"/>
        <v>0.22500000000000001</v>
      </c>
      <c r="AM51" s="147">
        <f t="shared" si="10"/>
        <v>0</v>
      </c>
      <c r="AN51" s="147">
        <f t="shared" si="10"/>
        <v>0</v>
      </c>
      <c r="AO51" s="147">
        <f t="shared" si="10"/>
        <v>8.8999999999999996E-2</v>
      </c>
      <c r="AP51" s="147">
        <f t="shared" si="10"/>
        <v>0</v>
      </c>
      <c r="AQ51" s="147">
        <f t="shared" si="10"/>
        <v>0</v>
      </c>
      <c r="AR51" s="147">
        <f t="shared" si="10"/>
        <v>0</v>
      </c>
      <c r="AS51" s="147">
        <f t="shared" si="10"/>
        <v>0.27300000000000002</v>
      </c>
      <c r="AT51" s="147">
        <f t="shared" si="10"/>
        <v>0.29799999999999999</v>
      </c>
      <c r="AU51" s="147">
        <f t="shared" si="10"/>
        <v>0.33</v>
      </c>
      <c r="AV51" s="147">
        <f t="shared" si="10"/>
        <v>0.30499999999999999</v>
      </c>
      <c r="AW51" s="147">
        <f t="shared" si="10"/>
        <v>0.42199999999999999</v>
      </c>
      <c r="AX51" s="147">
        <f t="shared" si="10"/>
        <v>0.40500000000000003</v>
      </c>
      <c r="AY51" s="147">
        <f t="shared" si="10"/>
        <v>0.153</v>
      </c>
      <c r="AZ51" s="147">
        <f t="shared" si="10"/>
        <v>0.21099999999999999</v>
      </c>
      <c r="BA51" s="147">
        <f t="shared" si="10"/>
        <v>0.255</v>
      </c>
      <c r="BB51" s="147">
        <f t="shared" si="10"/>
        <v>0.65700000000000003</v>
      </c>
      <c r="BC51" s="147">
        <f t="shared" si="10"/>
        <v>0.57599999999999996</v>
      </c>
      <c r="BD51" s="147">
        <f t="shared" si="10"/>
        <v>0.27100000000000002</v>
      </c>
      <c r="BE51" s="147">
        <f t="shared" si="10"/>
        <v>0.222</v>
      </c>
      <c r="BF51" s="147">
        <f t="shared" si="10"/>
        <v>0.31900000000000001</v>
      </c>
      <c r="BG51" s="147">
        <f t="shared" si="10"/>
        <v>0.247</v>
      </c>
      <c r="BH51" s="147">
        <f t="shared" si="10"/>
        <v>0.216</v>
      </c>
      <c r="BI51" s="147">
        <f t="shared" si="10"/>
        <v>0.24199999999999999</v>
      </c>
      <c r="BJ51" s="147">
        <f t="shared" si="10"/>
        <v>0.27400000000000002</v>
      </c>
      <c r="BK51" s="147">
        <f t="shared" si="10"/>
        <v>0.316</v>
      </c>
      <c r="BL51" s="147">
        <f t="shared" si="10"/>
        <v>0.158</v>
      </c>
      <c r="BM51" s="147">
        <f t="shared" si="10"/>
        <v>0.40899999999999997</v>
      </c>
      <c r="BN51" s="147">
        <f t="shared" si="10"/>
        <v>0.11899999999999999</v>
      </c>
      <c r="BO51" s="147">
        <f t="shared" si="10"/>
        <v>0.09</v>
      </c>
      <c r="BP51" s="147">
        <f t="shared" si="10"/>
        <v>0.23599999999999999</v>
      </c>
      <c r="BQ51" s="147">
        <f t="shared" si="11"/>
        <v>0.249</v>
      </c>
      <c r="BR51" s="147">
        <f t="shared" si="11"/>
        <v>0.151</v>
      </c>
      <c r="BS51" s="147">
        <f t="shared" si="11"/>
        <v>0.21099999999999999</v>
      </c>
      <c r="BT51" s="147">
        <f t="shared" si="11"/>
        <v>0.24399999999999999</v>
      </c>
      <c r="BU51" s="147">
        <f t="shared" si="11"/>
        <v>0.14899999999999999</v>
      </c>
      <c r="BV51" s="147">
        <f t="shared" si="11"/>
        <v>0.17599999999999999</v>
      </c>
      <c r="BW51" s="147">
        <f t="shared" si="11"/>
        <v>0.152</v>
      </c>
      <c r="BX51" s="147">
        <f t="shared" si="11"/>
        <v>0.40500000000000003</v>
      </c>
      <c r="BY51" s="147">
        <f t="shared" si="11"/>
        <v>0.39500000000000002</v>
      </c>
      <c r="BZ51" s="147">
        <f t="shared" si="11"/>
        <v>0.36799999999999999</v>
      </c>
      <c r="CA51" s="147">
        <f t="shared" si="11"/>
        <v>0.309</v>
      </c>
      <c r="CB51" s="147">
        <f t="shared" si="11"/>
        <v>0.32</v>
      </c>
      <c r="CC51" s="147">
        <f t="shared" si="11"/>
        <v>0.34</v>
      </c>
      <c r="CD51" s="147">
        <f t="shared" si="11"/>
        <v>0.30399999999999999</v>
      </c>
      <c r="CE51" s="147">
        <f t="shared" si="11"/>
        <v>0</v>
      </c>
      <c r="CF51" s="147">
        <f t="shared" si="11"/>
        <v>0.23300000000000001</v>
      </c>
      <c r="CG51" s="147">
        <f t="shared" si="11"/>
        <v>0.47499999999999998</v>
      </c>
      <c r="CH51" s="147">
        <f t="shared" si="11"/>
        <v>0.47499999999999998</v>
      </c>
      <c r="CI51" s="147">
        <f t="shared" si="11"/>
        <v>0.28299999999999997</v>
      </c>
      <c r="CJ51" s="147">
        <f t="shared" si="11"/>
        <v>0.28499999999999998</v>
      </c>
      <c r="CK51" s="147">
        <f t="shared" si="11"/>
        <v>0.25</v>
      </c>
      <c r="CL51" s="147">
        <f t="shared" si="11"/>
        <v>0.20799999999999999</v>
      </c>
      <c r="CM51" s="147">
        <f t="shared" si="11"/>
        <v>0.28699999999999998</v>
      </c>
      <c r="CN51" s="47">
        <f t="shared" si="11"/>
        <v>0</v>
      </c>
      <c r="CO51" s="147">
        <f t="shared" si="11"/>
        <v>0</v>
      </c>
      <c r="CP51" s="147">
        <f t="shared" si="11"/>
        <v>0</v>
      </c>
      <c r="CQ51" s="147">
        <f t="shared" si="11"/>
        <v>0</v>
      </c>
      <c r="CR51" s="147">
        <f t="shared" si="11"/>
        <v>0</v>
      </c>
      <c r="CS51" s="147">
        <f t="shared" si="11"/>
        <v>0</v>
      </c>
      <c r="CT51" s="147">
        <f t="shared" si="11"/>
        <v>0</v>
      </c>
    </row>
    <row r="52" spans="4:98">
      <c r="D52" s="47">
        <f t="shared" si="12"/>
        <v>1.0109999999999999</v>
      </c>
      <c r="E52" s="47">
        <f t="shared" ref="E52:BP55" si="13">E15/1.01</f>
        <v>0.47699999999999998</v>
      </c>
      <c r="F52" s="47">
        <f t="shared" si="13"/>
        <v>0.41599999999999998</v>
      </c>
      <c r="G52" s="47">
        <f t="shared" si="13"/>
        <v>0.48599999999999999</v>
      </c>
      <c r="H52" s="47">
        <f t="shared" si="13"/>
        <v>0.78100000000000003</v>
      </c>
      <c r="I52" s="47">
        <f t="shared" si="13"/>
        <v>0.57699999999999996</v>
      </c>
      <c r="J52" s="47">
        <f t="shared" si="13"/>
        <v>1.113</v>
      </c>
      <c r="K52" s="47">
        <f t="shared" si="13"/>
        <v>0.496</v>
      </c>
      <c r="L52" s="47">
        <f t="shared" si="13"/>
        <v>0.499</v>
      </c>
      <c r="M52" s="47">
        <f t="shared" si="13"/>
        <v>0.45800000000000002</v>
      </c>
      <c r="N52" s="47">
        <f t="shared" si="13"/>
        <v>0.52700000000000002</v>
      </c>
      <c r="O52" s="47">
        <f t="shared" si="13"/>
        <v>1.0940000000000001</v>
      </c>
      <c r="P52" s="47">
        <f t="shared" si="13"/>
        <v>0.56399999999999995</v>
      </c>
      <c r="Q52" s="47">
        <f t="shared" si="13"/>
        <v>1.1379999999999999</v>
      </c>
      <c r="R52" s="47">
        <f t="shared" si="13"/>
        <v>0.50700000000000001</v>
      </c>
      <c r="S52" s="47">
        <f t="shared" si="13"/>
        <v>0.65600000000000003</v>
      </c>
      <c r="T52" s="47">
        <f t="shared" si="13"/>
        <v>0.61899999999999999</v>
      </c>
      <c r="U52" s="47">
        <f t="shared" si="13"/>
        <v>0.68</v>
      </c>
      <c r="V52" s="147">
        <f t="shared" si="13"/>
        <v>0.43</v>
      </c>
      <c r="W52" s="147">
        <f t="shared" si="13"/>
        <v>0.46300000000000002</v>
      </c>
      <c r="X52" s="147">
        <f t="shared" si="13"/>
        <v>0.47599999999999998</v>
      </c>
      <c r="Y52" s="147">
        <f t="shared" si="13"/>
        <v>0.45800000000000002</v>
      </c>
      <c r="Z52" s="147">
        <f t="shared" si="13"/>
        <v>0.48899999999999999</v>
      </c>
      <c r="AA52" s="147">
        <f t="shared" si="13"/>
        <v>0.52200000000000002</v>
      </c>
      <c r="AB52" s="147">
        <f t="shared" si="13"/>
        <v>0.503</v>
      </c>
      <c r="AC52" s="147">
        <f t="shared" si="13"/>
        <v>0.51900000000000002</v>
      </c>
      <c r="AD52" s="147">
        <f t="shared" si="13"/>
        <v>0.46200000000000002</v>
      </c>
      <c r="AE52" s="147">
        <f t="shared" si="13"/>
        <v>0.62</v>
      </c>
      <c r="AF52" s="147">
        <f t="shared" si="13"/>
        <v>0.441</v>
      </c>
      <c r="AG52" s="147">
        <f t="shared" si="13"/>
        <v>0.54200000000000004</v>
      </c>
      <c r="AH52" s="147">
        <f t="shared" si="13"/>
        <v>1.054</v>
      </c>
      <c r="AI52" s="147">
        <f t="shared" si="13"/>
        <v>0.92900000000000005</v>
      </c>
      <c r="AJ52" s="147">
        <f t="shared" si="13"/>
        <v>0.99399999999999999</v>
      </c>
      <c r="AK52" s="147">
        <f t="shared" si="13"/>
        <v>0.95399999999999996</v>
      </c>
      <c r="AL52" s="147">
        <f t="shared" si="13"/>
        <v>1.175</v>
      </c>
      <c r="AM52" s="147">
        <f t="shared" si="13"/>
        <v>0.69399999999999995</v>
      </c>
      <c r="AN52" s="147">
        <f t="shared" si="13"/>
        <v>0.91</v>
      </c>
      <c r="AO52" s="147">
        <f t="shared" si="13"/>
        <v>0.80900000000000005</v>
      </c>
      <c r="AP52" s="147">
        <f t="shared" si="13"/>
        <v>0.48199999999999998</v>
      </c>
      <c r="AQ52" s="147">
        <f t="shared" si="13"/>
        <v>0.33</v>
      </c>
      <c r="AR52" s="147">
        <f t="shared" si="13"/>
        <v>0.68700000000000006</v>
      </c>
      <c r="AS52" s="147">
        <f t="shared" si="13"/>
        <v>0.60599999999999998</v>
      </c>
      <c r="AT52" s="147">
        <f t="shared" si="13"/>
        <v>0.33800000000000002</v>
      </c>
      <c r="AU52" s="147">
        <f t="shared" si="13"/>
        <v>0.33800000000000002</v>
      </c>
      <c r="AV52" s="147">
        <f t="shared" si="13"/>
        <v>0.33800000000000002</v>
      </c>
      <c r="AW52" s="147">
        <f t="shared" si="13"/>
        <v>0.68400000000000005</v>
      </c>
      <c r="AX52" s="147">
        <f t="shared" si="13"/>
        <v>0.499</v>
      </c>
      <c r="AY52" s="147">
        <f t="shared" si="13"/>
        <v>1.284</v>
      </c>
      <c r="AZ52" s="147">
        <f t="shared" si="13"/>
        <v>0.55000000000000004</v>
      </c>
      <c r="BA52" s="147">
        <f t="shared" si="13"/>
        <v>0.61399999999999999</v>
      </c>
      <c r="BB52" s="147">
        <f t="shared" si="13"/>
        <v>0.40100000000000002</v>
      </c>
      <c r="BC52" s="147">
        <f t="shared" si="13"/>
        <v>0.58099999999999996</v>
      </c>
      <c r="BD52" s="147">
        <f t="shared" si="13"/>
        <v>0.48199999999999998</v>
      </c>
      <c r="BE52" s="147">
        <f t="shared" si="13"/>
        <v>0.59899999999999998</v>
      </c>
      <c r="BF52" s="147">
        <f t="shared" si="13"/>
        <v>0.47199999999999998</v>
      </c>
      <c r="BG52" s="147">
        <f t="shared" si="13"/>
        <v>0.53800000000000003</v>
      </c>
      <c r="BH52" s="147">
        <f t="shared" si="13"/>
        <v>0.77300000000000002</v>
      </c>
      <c r="BI52" s="147">
        <f t="shared" si="13"/>
        <v>0.53400000000000003</v>
      </c>
      <c r="BJ52" s="147">
        <f t="shared" si="13"/>
        <v>0.55000000000000004</v>
      </c>
      <c r="BK52" s="147">
        <f t="shared" si="13"/>
        <v>0.63</v>
      </c>
      <c r="BL52" s="147">
        <f t="shared" si="13"/>
        <v>0.68300000000000005</v>
      </c>
      <c r="BM52" s="147">
        <f t="shared" si="13"/>
        <v>0.45200000000000001</v>
      </c>
      <c r="BN52" s="147">
        <f t="shared" si="13"/>
        <v>0.49099999999999999</v>
      </c>
      <c r="BO52" s="147">
        <f t="shared" si="13"/>
        <v>0.72899999999999998</v>
      </c>
      <c r="BP52" s="147">
        <f t="shared" si="13"/>
        <v>0.44600000000000001</v>
      </c>
      <c r="BQ52" s="147">
        <f t="shared" si="11"/>
        <v>0.55500000000000005</v>
      </c>
      <c r="BR52" s="147">
        <f t="shared" si="11"/>
        <v>1.0289999999999999</v>
      </c>
      <c r="BS52" s="147">
        <f t="shared" si="11"/>
        <v>0.56000000000000005</v>
      </c>
      <c r="BT52" s="147">
        <f t="shared" si="11"/>
        <v>0.53900000000000003</v>
      </c>
      <c r="BU52" s="147">
        <f t="shared" si="11"/>
        <v>0.46800000000000003</v>
      </c>
      <c r="BV52" s="147">
        <f t="shared" si="11"/>
        <v>0.48299999999999998</v>
      </c>
      <c r="BW52" s="147">
        <f t="shared" si="11"/>
        <v>1.258</v>
      </c>
      <c r="BX52" s="147">
        <f t="shared" si="11"/>
        <v>0.48</v>
      </c>
      <c r="BY52" s="147">
        <f t="shared" si="11"/>
        <v>0.53800000000000003</v>
      </c>
      <c r="BZ52" s="147">
        <f t="shared" si="11"/>
        <v>0.55500000000000005</v>
      </c>
      <c r="CA52" s="147">
        <f t="shared" si="11"/>
        <v>0.52500000000000002</v>
      </c>
      <c r="CB52" s="147">
        <f t="shared" si="11"/>
        <v>0.43</v>
      </c>
      <c r="CC52" s="147">
        <f t="shared" si="11"/>
        <v>0.873</v>
      </c>
      <c r="CD52" s="147">
        <f t="shared" si="11"/>
        <v>0.79600000000000004</v>
      </c>
      <c r="CE52" s="147">
        <f t="shared" si="11"/>
        <v>0.76700000000000002</v>
      </c>
      <c r="CF52" s="147">
        <f t="shared" si="11"/>
        <v>0.57799999999999996</v>
      </c>
      <c r="CG52" s="147">
        <f t="shared" si="11"/>
        <v>0.75600000000000001</v>
      </c>
      <c r="CH52" s="147">
        <f t="shared" si="11"/>
        <v>0.753</v>
      </c>
      <c r="CI52" s="147">
        <f t="shared" si="11"/>
        <v>0.76900000000000002</v>
      </c>
      <c r="CJ52" s="147">
        <f t="shared" si="11"/>
        <v>0.60499999999999998</v>
      </c>
      <c r="CK52" s="147">
        <f t="shared" si="11"/>
        <v>0.48199999999999998</v>
      </c>
      <c r="CL52" s="147">
        <f t="shared" si="11"/>
        <v>0.58899999999999997</v>
      </c>
      <c r="CM52" s="147">
        <f t="shared" si="11"/>
        <v>0.52400000000000002</v>
      </c>
      <c r="CN52" s="47">
        <f t="shared" si="11"/>
        <v>0.58299999999999996</v>
      </c>
      <c r="CO52" s="147">
        <f t="shared" si="11"/>
        <v>0.45400000000000001</v>
      </c>
      <c r="CP52" s="147">
        <f t="shared" si="11"/>
        <v>0.74299999999999999</v>
      </c>
      <c r="CQ52" s="147">
        <f t="shared" si="11"/>
        <v>0.76200000000000001</v>
      </c>
      <c r="CR52" s="147">
        <f t="shared" si="11"/>
        <v>0.91200000000000003</v>
      </c>
      <c r="CS52" s="147">
        <f t="shared" si="11"/>
        <v>0.53</v>
      </c>
      <c r="CT52" s="147">
        <f t="shared" si="11"/>
        <v>0.79600000000000004</v>
      </c>
    </row>
    <row r="53" spans="4:98">
      <c r="D53" s="47">
        <f t="shared" si="12"/>
        <v>1.4999999999999999E-2</v>
      </c>
      <c r="E53" s="47">
        <f t="shared" si="13"/>
        <v>1.2999999999999999E-2</v>
      </c>
      <c r="F53" s="47">
        <f t="shared" si="13"/>
        <v>0.01</v>
      </c>
      <c r="G53" s="47">
        <f t="shared" si="13"/>
        <v>2.3E-2</v>
      </c>
      <c r="H53" s="47">
        <f t="shared" si="13"/>
        <v>1.4999999999999999E-2</v>
      </c>
      <c r="I53" s="47">
        <f t="shared" si="13"/>
        <v>2.3E-2</v>
      </c>
      <c r="J53" s="47">
        <f t="shared" si="13"/>
        <v>2.5000000000000001E-2</v>
      </c>
      <c r="K53" s="47">
        <f t="shared" si="13"/>
        <v>2.1999999999999999E-2</v>
      </c>
      <c r="L53" s="47">
        <f t="shared" si="13"/>
        <v>2.8000000000000001E-2</v>
      </c>
      <c r="M53" s="47">
        <f t="shared" si="13"/>
        <v>2.5999999999999999E-2</v>
      </c>
      <c r="N53" s="47">
        <f t="shared" si="13"/>
        <v>0.02</v>
      </c>
      <c r="O53" s="47">
        <f t="shared" si="13"/>
        <v>1.7000000000000001E-2</v>
      </c>
      <c r="P53" s="47">
        <f t="shared" si="13"/>
        <v>2.1999999999999999E-2</v>
      </c>
      <c r="Q53" s="47">
        <f t="shared" si="13"/>
        <v>2.5999999999999999E-2</v>
      </c>
      <c r="R53" s="47">
        <f t="shared" si="13"/>
        <v>2.3E-2</v>
      </c>
      <c r="S53" s="47">
        <f t="shared" si="13"/>
        <v>3.5999999999999997E-2</v>
      </c>
      <c r="T53" s="47">
        <f t="shared" si="13"/>
        <v>2.5000000000000001E-2</v>
      </c>
      <c r="U53" s="47">
        <f t="shared" si="13"/>
        <v>1.4999999999999999E-2</v>
      </c>
      <c r="V53" s="147">
        <f t="shared" si="13"/>
        <v>1.9E-2</v>
      </c>
      <c r="W53" s="147">
        <f t="shared" si="13"/>
        <v>1.7000000000000001E-2</v>
      </c>
      <c r="X53" s="147">
        <f t="shared" si="13"/>
        <v>1.9E-2</v>
      </c>
      <c r="Y53" s="147">
        <f t="shared" si="13"/>
        <v>1.7000000000000001E-2</v>
      </c>
      <c r="Z53" s="147">
        <f t="shared" si="13"/>
        <v>0.02</v>
      </c>
      <c r="AA53" s="147">
        <f t="shared" si="13"/>
        <v>2.1999999999999999E-2</v>
      </c>
      <c r="AB53" s="147">
        <f t="shared" si="13"/>
        <v>1.9E-2</v>
      </c>
      <c r="AC53" s="147">
        <f t="shared" si="13"/>
        <v>1.7000000000000001E-2</v>
      </c>
      <c r="AD53" s="147">
        <f t="shared" si="13"/>
        <v>0</v>
      </c>
      <c r="AE53" s="147">
        <f t="shared" si="13"/>
        <v>0</v>
      </c>
      <c r="AF53" s="147">
        <f t="shared" si="13"/>
        <v>0</v>
      </c>
      <c r="AG53" s="147">
        <f t="shared" si="13"/>
        <v>0</v>
      </c>
      <c r="AH53" s="147">
        <f t="shared" si="13"/>
        <v>0</v>
      </c>
      <c r="AI53" s="147">
        <f t="shared" si="13"/>
        <v>1E-3</v>
      </c>
      <c r="AJ53" s="147">
        <f t="shared" si="13"/>
        <v>1E-3</v>
      </c>
      <c r="AK53" s="147">
        <f t="shared" si="13"/>
        <v>1.7000000000000001E-2</v>
      </c>
      <c r="AL53" s="147">
        <f t="shared" si="13"/>
        <v>0.01</v>
      </c>
      <c r="AM53" s="147">
        <f t="shared" si="13"/>
        <v>0</v>
      </c>
      <c r="AN53" s="147">
        <f t="shared" si="13"/>
        <v>6.0000000000000001E-3</v>
      </c>
      <c r="AO53" s="147">
        <f t="shared" si="13"/>
        <v>2.9000000000000001E-2</v>
      </c>
      <c r="AP53" s="147">
        <f t="shared" si="13"/>
        <v>0</v>
      </c>
      <c r="AQ53" s="147">
        <f t="shared" si="13"/>
        <v>0</v>
      </c>
      <c r="AR53" s="147">
        <f t="shared" si="13"/>
        <v>0</v>
      </c>
      <c r="AS53" s="147">
        <f t="shared" si="13"/>
        <v>1.2E-2</v>
      </c>
      <c r="AT53" s="147">
        <f t="shared" si="13"/>
        <v>8.9999999999999993E-3</v>
      </c>
      <c r="AU53" s="147">
        <f t="shared" si="13"/>
        <v>8.9999999999999993E-3</v>
      </c>
      <c r="AV53" s="147">
        <f t="shared" si="13"/>
        <v>7.0000000000000001E-3</v>
      </c>
      <c r="AW53" s="147">
        <f t="shared" si="13"/>
        <v>1.4999999999999999E-2</v>
      </c>
      <c r="AX53" s="147">
        <f t="shared" si="13"/>
        <v>2.3E-2</v>
      </c>
      <c r="AY53" s="147">
        <f t="shared" si="13"/>
        <v>0</v>
      </c>
      <c r="AZ53" s="147">
        <f t="shared" si="13"/>
        <v>0.01</v>
      </c>
      <c r="BA53" s="147">
        <f t="shared" si="13"/>
        <v>0</v>
      </c>
      <c r="BB53" s="147">
        <f t="shared" si="13"/>
        <v>1.2E-2</v>
      </c>
      <c r="BC53" s="147">
        <f t="shared" si="13"/>
        <v>0.01</v>
      </c>
      <c r="BD53" s="147">
        <f t="shared" si="13"/>
        <v>0</v>
      </c>
      <c r="BE53" s="147">
        <f t="shared" si="13"/>
        <v>0</v>
      </c>
      <c r="BF53" s="147">
        <f t="shared" si="13"/>
        <v>3.0000000000000001E-3</v>
      </c>
      <c r="BG53" s="147">
        <f t="shared" si="13"/>
        <v>0</v>
      </c>
      <c r="BH53" s="147">
        <f t="shared" si="13"/>
        <v>1.7000000000000001E-2</v>
      </c>
      <c r="BI53" s="147">
        <f t="shared" si="13"/>
        <v>0</v>
      </c>
      <c r="BJ53" s="147">
        <f t="shared" si="13"/>
        <v>1.9E-2</v>
      </c>
      <c r="BK53" s="147">
        <f t="shared" si="13"/>
        <v>1.2999999999999999E-2</v>
      </c>
      <c r="BL53" s="147">
        <f t="shared" si="13"/>
        <v>2.3E-2</v>
      </c>
      <c r="BM53" s="147">
        <f t="shared" si="13"/>
        <v>2.1999999999999999E-2</v>
      </c>
      <c r="BN53" s="147">
        <f t="shared" si="13"/>
        <v>1.2E-2</v>
      </c>
      <c r="BO53" s="147">
        <f t="shared" si="13"/>
        <v>0</v>
      </c>
      <c r="BP53" s="147">
        <f t="shared" si="13"/>
        <v>0</v>
      </c>
      <c r="BQ53" s="147">
        <f t="shared" si="11"/>
        <v>0</v>
      </c>
      <c r="BR53" s="147">
        <f t="shared" si="11"/>
        <v>0</v>
      </c>
      <c r="BS53" s="147">
        <f t="shared" si="11"/>
        <v>6.0000000000000001E-3</v>
      </c>
      <c r="BT53" s="147">
        <f t="shared" si="11"/>
        <v>2.1999999999999999E-2</v>
      </c>
      <c r="BU53" s="147">
        <f t="shared" si="11"/>
        <v>7.0000000000000001E-3</v>
      </c>
      <c r="BV53" s="147">
        <f t="shared" si="11"/>
        <v>1.2999999999999999E-2</v>
      </c>
      <c r="BW53" s="147">
        <f t="shared" si="11"/>
        <v>0</v>
      </c>
      <c r="BX53" s="147">
        <f t="shared" si="11"/>
        <v>2.1999999999999999E-2</v>
      </c>
      <c r="BY53" s="147">
        <f t="shared" si="11"/>
        <v>2.3E-2</v>
      </c>
      <c r="BZ53" s="147">
        <f t="shared" si="11"/>
        <v>1.6E-2</v>
      </c>
      <c r="CA53" s="147">
        <f t="shared" si="11"/>
        <v>1.7000000000000001E-2</v>
      </c>
      <c r="CB53" s="147">
        <f t="shared" si="11"/>
        <v>1.6E-2</v>
      </c>
      <c r="CC53" s="147">
        <f t="shared" si="11"/>
        <v>1.2E-2</v>
      </c>
      <c r="CD53" s="147">
        <f t="shared" si="11"/>
        <v>1.2E-2</v>
      </c>
      <c r="CE53" s="147">
        <f t="shared" si="11"/>
        <v>0</v>
      </c>
      <c r="CF53" s="147">
        <f t="shared" si="11"/>
        <v>2.3E-2</v>
      </c>
      <c r="CG53" s="147">
        <f t="shared" si="11"/>
        <v>1.6E-2</v>
      </c>
      <c r="CH53" s="147">
        <f t="shared" si="11"/>
        <v>1.6E-2</v>
      </c>
      <c r="CI53" s="147">
        <f t="shared" si="11"/>
        <v>0</v>
      </c>
      <c r="CJ53" s="147">
        <f t="shared" si="11"/>
        <v>0</v>
      </c>
      <c r="CK53" s="147">
        <f t="shared" si="11"/>
        <v>0</v>
      </c>
      <c r="CL53" s="147">
        <f t="shared" si="11"/>
        <v>3.3000000000000002E-2</v>
      </c>
      <c r="CM53" s="147">
        <f t="shared" si="11"/>
        <v>1.9E-2</v>
      </c>
      <c r="CN53" s="47">
        <f t="shared" si="11"/>
        <v>0</v>
      </c>
      <c r="CO53" s="147">
        <f t="shared" si="11"/>
        <v>0</v>
      </c>
      <c r="CP53" s="147">
        <f t="shared" si="11"/>
        <v>0</v>
      </c>
      <c r="CQ53" s="147">
        <f t="shared" si="11"/>
        <v>0</v>
      </c>
      <c r="CR53" s="147">
        <f t="shared" si="11"/>
        <v>0</v>
      </c>
      <c r="CS53" s="147">
        <f t="shared" si="11"/>
        <v>0</v>
      </c>
      <c r="CT53" s="147">
        <f t="shared" si="11"/>
        <v>0</v>
      </c>
    </row>
    <row r="54" spans="4:98">
      <c r="D54" s="47">
        <f t="shared" si="12"/>
        <v>0</v>
      </c>
      <c r="E54" s="47">
        <f t="shared" si="13"/>
        <v>0.81499999999999995</v>
      </c>
      <c r="F54" s="47">
        <f t="shared" si="13"/>
        <v>0</v>
      </c>
      <c r="G54" s="47">
        <f t="shared" si="13"/>
        <v>0</v>
      </c>
      <c r="H54" s="47">
        <f t="shared" si="13"/>
        <v>0</v>
      </c>
      <c r="I54" s="47">
        <f t="shared" si="13"/>
        <v>0</v>
      </c>
      <c r="J54" s="47">
        <f t="shared" si="13"/>
        <v>0</v>
      </c>
      <c r="K54" s="47">
        <f t="shared" si="13"/>
        <v>0</v>
      </c>
      <c r="L54" s="47">
        <f t="shared" si="13"/>
        <v>0</v>
      </c>
      <c r="M54" s="47">
        <f t="shared" si="13"/>
        <v>0</v>
      </c>
      <c r="N54" s="47">
        <f t="shared" si="13"/>
        <v>0</v>
      </c>
      <c r="O54" s="47">
        <f t="shared" si="13"/>
        <v>0</v>
      </c>
      <c r="P54" s="47">
        <f t="shared" si="13"/>
        <v>0</v>
      </c>
      <c r="Q54" s="47">
        <f t="shared" si="13"/>
        <v>0</v>
      </c>
      <c r="R54" s="47">
        <f t="shared" si="13"/>
        <v>0.51900000000000002</v>
      </c>
      <c r="S54" s="47">
        <f t="shared" si="13"/>
        <v>0</v>
      </c>
      <c r="T54" s="47">
        <f t="shared" si="13"/>
        <v>0.24299999999999999</v>
      </c>
      <c r="U54" s="47">
        <f t="shared" si="13"/>
        <v>0</v>
      </c>
      <c r="V54" s="147">
        <f t="shared" si="13"/>
        <v>0.30499999999999999</v>
      </c>
      <c r="W54" s="147">
        <f t="shared" si="13"/>
        <v>0.442</v>
      </c>
      <c r="X54" s="147">
        <f t="shared" si="13"/>
        <v>0.51200000000000001</v>
      </c>
      <c r="Y54" s="147">
        <f t="shared" si="13"/>
        <v>0.31</v>
      </c>
      <c r="Z54" s="147">
        <f t="shared" si="13"/>
        <v>0.46200000000000002</v>
      </c>
      <c r="AA54" s="147">
        <f t="shared" si="13"/>
        <v>0.314</v>
      </c>
      <c r="AB54" s="147">
        <f t="shared" si="13"/>
        <v>0.54300000000000004</v>
      </c>
      <c r="AC54" s="147">
        <f t="shared" si="13"/>
        <v>0.433</v>
      </c>
      <c r="AD54" s="147">
        <f t="shared" si="13"/>
        <v>0</v>
      </c>
      <c r="AE54" s="147">
        <f t="shared" si="13"/>
        <v>0</v>
      </c>
      <c r="AF54" s="147">
        <f t="shared" si="13"/>
        <v>0</v>
      </c>
      <c r="AG54" s="147">
        <f t="shared" si="13"/>
        <v>0</v>
      </c>
      <c r="AH54" s="147">
        <f t="shared" si="13"/>
        <v>0</v>
      </c>
      <c r="AI54" s="147">
        <f t="shared" si="13"/>
        <v>0</v>
      </c>
      <c r="AJ54" s="147">
        <f t="shared" si="13"/>
        <v>0</v>
      </c>
      <c r="AK54" s="147">
        <f t="shared" si="13"/>
        <v>0.74299999999999999</v>
      </c>
      <c r="AL54" s="147">
        <f t="shared" si="13"/>
        <v>0</v>
      </c>
      <c r="AM54" s="147">
        <f t="shared" si="13"/>
        <v>0</v>
      </c>
      <c r="AN54" s="147">
        <f t="shared" si="13"/>
        <v>0</v>
      </c>
      <c r="AO54" s="147">
        <f t="shared" si="13"/>
        <v>0</v>
      </c>
      <c r="AP54" s="147">
        <f t="shared" si="13"/>
        <v>0</v>
      </c>
      <c r="AQ54" s="147">
        <f t="shared" si="13"/>
        <v>0</v>
      </c>
      <c r="AR54" s="147">
        <f t="shared" si="13"/>
        <v>0</v>
      </c>
      <c r="AS54" s="147">
        <f t="shared" si="13"/>
        <v>0</v>
      </c>
      <c r="AT54" s="147">
        <f t="shared" si="13"/>
        <v>0.26500000000000001</v>
      </c>
      <c r="AU54" s="147">
        <f t="shared" si="13"/>
        <v>0.35399999999999998</v>
      </c>
      <c r="AV54" s="147">
        <f t="shared" si="13"/>
        <v>0.309</v>
      </c>
      <c r="AW54" s="147">
        <f t="shared" si="13"/>
        <v>0.80700000000000005</v>
      </c>
      <c r="AX54" s="147">
        <f t="shared" si="13"/>
        <v>0.71399999999999997</v>
      </c>
      <c r="AY54" s="147">
        <f t="shared" si="13"/>
        <v>0</v>
      </c>
      <c r="AZ54" s="147">
        <f t="shared" si="13"/>
        <v>0</v>
      </c>
      <c r="BA54" s="147">
        <f t="shared" si="13"/>
        <v>0</v>
      </c>
      <c r="BB54" s="147">
        <f t="shared" si="13"/>
        <v>0.40500000000000003</v>
      </c>
      <c r="BC54" s="147">
        <f t="shared" si="13"/>
        <v>0.63200000000000001</v>
      </c>
      <c r="BD54" s="147">
        <f t="shared" si="13"/>
        <v>0</v>
      </c>
      <c r="BE54" s="147">
        <f t="shared" si="13"/>
        <v>0</v>
      </c>
      <c r="BF54" s="147">
        <f t="shared" si="13"/>
        <v>0</v>
      </c>
      <c r="BG54" s="147">
        <f t="shared" si="13"/>
        <v>0</v>
      </c>
      <c r="BH54" s="147">
        <f t="shared" si="13"/>
        <v>0</v>
      </c>
      <c r="BI54" s="147">
        <f t="shared" si="13"/>
        <v>0</v>
      </c>
      <c r="BJ54" s="147">
        <f t="shared" si="13"/>
        <v>0</v>
      </c>
      <c r="BK54" s="147">
        <f t="shared" si="13"/>
        <v>0</v>
      </c>
      <c r="BL54" s="147">
        <f t="shared" si="13"/>
        <v>0</v>
      </c>
      <c r="BM54" s="147">
        <f t="shared" si="13"/>
        <v>0.35499999999999998</v>
      </c>
      <c r="BN54" s="147">
        <f t="shared" si="13"/>
        <v>0</v>
      </c>
      <c r="BO54" s="147">
        <f t="shared" si="13"/>
        <v>0</v>
      </c>
      <c r="BP54" s="147">
        <f t="shared" si="13"/>
        <v>0</v>
      </c>
      <c r="BQ54" s="147">
        <f t="shared" si="11"/>
        <v>0</v>
      </c>
      <c r="BR54" s="147">
        <f t="shared" si="11"/>
        <v>0</v>
      </c>
      <c r="BS54" s="147">
        <f t="shared" si="11"/>
        <v>0</v>
      </c>
      <c r="BT54" s="147">
        <f t="shared" si="11"/>
        <v>0</v>
      </c>
      <c r="BU54" s="147">
        <f t="shared" si="11"/>
        <v>0</v>
      </c>
      <c r="BV54" s="147">
        <f t="shared" si="11"/>
        <v>0</v>
      </c>
      <c r="BW54" s="147">
        <f t="shared" si="11"/>
        <v>0</v>
      </c>
      <c r="BX54" s="147">
        <f t="shared" si="11"/>
        <v>0.53300000000000003</v>
      </c>
      <c r="BY54" s="147">
        <f t="shared" si="11"/>
        <v>0.32100000000000001</v>
      </c>
      <c r="BZ54" s="147">
        <f t="shared" si="11"/>
        <v>0.307</v>
      </c>
      <c r="CA54" s="147">
        <f t="shared" si="11"/>
        <v>0.35899999999999999</v>
      </c>
      <c r="CB54" s="147">
        <f t="shared" si="11"/>
        <v>0.34699999999999998</v>
      </c>
      <c r="CC54" s="147">
        <f t="shared" si="11"/>
        <v>0.45500000000000002</v>
      </c>
      <c r="CD54" s="147">
        <f t="shared" si="11"/>
        <v>0.45500000000000002</v>
      </c>
      <c r="CE54" s="147">
        <f t="shared" si="11"/>
        <v>0</v>
      </c>
      <c r="CF54" s="147">
        <f t="shared" si="11"/>
        <v>0</v>
      </c>
      <c r="CG54" s="147">
        <f t="shared" si="11"/>
        <v>0.45500000000000002</v>
      </c>
      <c r="CH54" s="147">
        <f t="shared" si="11"/>
        <v>0.45500000000000002</v>
      </c>
      <c r="CI54" s="147">
        <f t="shared" si="11"/>
        <v>0</v>
      </c>
      <c r="CJ54" s="147">
        <f t="shared" si="11"/>
        <v>0</v>
      </c>
      <c r="CK54" s="147">
        <f t="shared" si="11"/>
        <v>0</v>
      </c>
      <c r="CL54" s="147">
        <f t="shared" si="11"/>
        <v>0</v>
      </c>
      <c r="CM54" s="147">
        <f t="shared" si="11"/>
        <v>0</v>
      </c>
      <c r="CN54" s="47">
        <f t="shared" si="11"/>
        <v>0</v>
      </c>
      <c r="CO54" s="147">
        <f t="shared" si="11"/>
        <v>0</v>
      </c>
      <c r="CP54" s="147">
        <f t="shared" si="11"/>
        <v>0</v>
      </c>
      <c r="CQ54" s="147">
        <f t="shared" si="11"/>
        <v>0</v>
      </c>
      <c r="CR54" s="147">
        <f t="shared" si="11"/>
        <v>0</v>
      </c>
      <c r="CS54" s="147">
        <f t="shared" si="11"/>
        <v>0</v>
      </c>
      <c r="CT54" s="147">
        <f t="shared" si="11"/>
        <v>0</v>
      </c>
    </row>
    <row r="55" spans="4:98">
      <c r="D55" s="47">
        <f t="shared" si="12"/>
        <v>0</v>
      </c>
      <c r="E55" s="47">
        <f t="shared" si="13"/>
        <v>0</v>
      </c>
      <c r="F55" s="47">
        <f t="shared" si="13"/>
        <v>0</v>
      </c>
      <c r="G55" s="47">
        <f t="shared" si="13"/>
        <v>0</v>
      </c>
      <c r="H55" s="47">
        <f t="shared" si="13"/>
        <v>0</v>
      </c>
      <c r="I55" s="47">
        <f t="shared" si="13"/>
        <v>0</v>
      </c>
      <c r="J55" s="47">
        <f t="shared" si="13"/>
        <v>0</v>
      </c>
      <c r="K55" s="47">
        <f t="shared" si="13"/>
        <v>0</v>
      </c>
      <c r="L55" s="47">
        <f t="shared" si="13"/>
        <v>0</v>
      </c>
      <c r="M55" s="47">
        <f t="shared" si="13"/>
        <v>0</v>
      </c>
      <c r="N55" s="47">
        <f t="shared" si="13"/>
        <v>0</v>
      </c>
      <c r="O55" s="47">
        <f t="shared" si="13"/>
        <v>0</v>
      </c>
      <c r="P55" s="47">
        <f t="shared" si="13"/>
        <v>0</v>
      </c>
      <c r="Q55" s="47">
        <f t="shared" si="13"/>
        <v>0</v>
      </c>
      <c r="R55" s="47">
        <f t="shared" si="13"/>
        <v>0</v>
      </c>
      <c r="S55" s="47">
        <f t="shared" si="13"/>
        <v>0</v>
      </c>
      <c r="T55" s="47">
        <f t="shared" si="13"/>
        <v>0.02</v>
      </c>
      <c r="U55" s="47">
        <f t="shared" si="13"/>
        <v>0</v>
      </c>
      <c r="V55" s="147">
        <f t="shared" si="13"/>
        <v>0</v>
      </c>
      <c r="W55" s="147">
        <f t="shared" si="13"/>
        <v>0</v>
      </c>
      <c r="X55" s="147">
        <f t="shared" si="13"/>
        <v>0</v>
      </c>
      <c r="Y55" s="147">
        <f t="shared" si="13"/>
        <v>0</v>
      </c>
      <c r="Z55" s="147">
        <f t="shared" si="13"/>
        <v>0</v>
      </c>
      <c r="AA55" s="147">
        <f t="shared" si="13"/>
        <v>3.9E-2</v>
      </c>
      <c r="AB55" s="147">
        <f t="shared" si="13"/>
        <v>0</v>
      </c>
      <c r="AC55" s="147">
        <f t="shared" si="13"/>
        <v>0</v>
      </c>
      <c r="AD55" s="147">
        <f t="shared" si="13"/>
        <v>0</v>
      </c>
      <c r="AE55" s="147">
        <f t="shared" si="13"/>
        <v>0</v>
      </c>
      <c r="AF55" s="147">
        <f t="shared" si="13"/>
        <v>0</v>
      </c>
      <c r="AG55" s="147">
        <f t="shared" si="13"/>
        <v>0</v>
      </c>
      <c r="AH55" s="147">
        <f t="shared" si="13"/>
        <v>0</v>
      </c>
      <c r="AI55" s="147">
        <f t="shared" si="13"/>
        <v>0</v>
      </c>
      <c r="AJ55" s="147">
        <f t="shared" si="13"/>
        <v>0</v>
      </c>
      <c r="AK55" s="147">
        <f t="shared" si="13"/>
        <v>0</v>
      </c>
      <c r="AL55" s="147">
        <f t="shared" si="13"/>
        <v>0</v>
      </c>
      <c r="AM55" s="147">
        <f t="shared" si="13"/>
        <v>0</v>
      </c>
      <c r="AN55" s="147">
        <f t="shared" si="13"/>
        <v>0</v>
      </c>
      <c r="AO55" s="147">
        <f t="shared" si="13"/>
        <v>0</v>
      </c>
      <c r="AP55" s="147">
        <f t="shared" si="13"/>
        <v>0</v>
      </c>
      <c r="AQ55" s="147">
        <f t="shared" si="13"/>
        <v>0</v>
      </c>
      <c r="AR55" s="147">
        <f t="shared" si="13"/>
        <v>0</v>
      </c>
      <c r="AS55" s="147">
        <f t="shared" si="13"/>
        <v>0</v>
      </c>
      <c r="AT55" s="147">
        <f t="shared" si="13"/>
        <v>3.9E-2</v>
      </c>
      <c r="AU55" s="147">
        <f t="shared" si="13"/>
        <v>4.4999999999999998E-2</v>
      </c>
      <c r="AV55" s="147">
        <f t="shared" si="13"/>
        <v>3.9E-2</v>
      </c>
      <c r="AW55" s="147">
        <f t="shared" si="13"/>
        <v>0</v>
      </c>
      <c r="AX55" s="147">
        <f t="shared" si="13"/>
        <v>0</v>
      </c>
      <c r="AY55" s="147">
        <f t="shared" si="13"/>
        <v>0</v>
      </c>
      <c r="AZ55" s="147">
        <f t="shared" si="13"/>
        <v>0</v>
      </c>
      <c r="BA55" s="147">
        <f t="shared" si="13"/>
        <v>0</v>
      </c>
      <c r="BB55" s="147">
        <f t="shared" si="13"/>
        <v>0</v>
      </c>
      <c r="BC55" s="147">
        <f t="shared" si="13"/>
        <v>0</v>
      </c>
      <c r="BD55" s="147">
        <f t="shared" si="13"/>
        <v>0</v>
      </c>
      <c r="BE55" s="147">
        <f t="shared" si="13"/>
        <v>0</v>
      </c>
      <c r="BF55" s="147">
        <f t="shared" si="13"/>
        <v>0</v>
      </c>
      <c r="BG55" s="147">
        <f t="shared" si="13"/>
        <v>0</v>
      </c>
      <c r="BH55" s="147">
        <f t="shared" si="13"/>
        <v>0</v>
      </c>
      <c r="BI55" s="147">
        <f t="shared" si="13"/>
        <v>0</v>
      </c>
      <c r="BJ55" s="147">
        <f t="shared" si="13"/>
        <v>0</v>
      </c>
      <c r="BK55" s="147">
        <f t="shared" si="13"/>
        <v>0</v>
      </c>
      <c r="BL55" s="147">
        <f t="shared" si="13"/>
        <v>0</v>
      </c>
      <c r="BM55" s="147">
        <f t="shared" si="13"/>
        <v>0</v>
      </c>
      <c r="BN55" s="147">
        <f t="shared" si="13"/>
        <v>0</v>
      </c>
      <c r="BO55" s="147">
        <f t="shared" si="13"/>
        <v>0</v>
      </c>
      <c r="BP55" s="147">
        <f t="shared" ref="BP55:CT58" si="14">BP18/1.01</f>
        <v>0</v>
      </c>
      <c r="BQ55" s="147">
        <f t="shared" si="14"/>
        <v>0</v>
      </c>
      <c r="BR55" s="147">
        <f t="shared" si="14"/>
        <v>0</v>
      </c>
      <c r="BS55" s="147">
        <f t="shared" si="14"/>
        <v>0</v>
      </c>
      <c r="BT55" s="147">
        <f t="shared" si="14"/>
        <v>0</v>
      </c>
      <c r="BU55" s="147">
        <f t="shared" si="14"/>
        <v>0</v>
      </c>
      <c r="BV55" s="147">
        <f t="shared" si="14"/>
        <v>0</v>
      </c>
      <c r="BW55" s="147">
        <f t="shared" si="14"/>
        <v>0</v>
      </c>
      <c r="BX55" s="147">
        <f t="shared" si="14"/>
        <v>0</v>
      </c>
      <c r="BY55" s="147">
        <f t="shared" si="14"/>
        <v>3.9E-2</v>
      </c>
      <c r="BZ55" s="147">
        <f t="shared" si="14"/>
        <v>3.5000000000000003E-2</v>
      </c>
      <c r="CA55" s="147">
        <f t="shared" si="14"/>
        <v>3.9E-2</v>
      </c>
      <c r="CB55" s="147">
        <f t="shared" si="14"/>
        <v>4.2000000000000003E-2</v>
      </c>
      <c r="CC55" s="147">
        <f t="shared" si="14"/>
        <v>4.2000000000000003E-2</v>
      </c>
      <c r="CD55" s="147">
        <f t="shared" si="14"/>
        <v>4.2000000000000003E-2</v>
      </c>
      <c r="CE55" s="147">
        <f t="shared" si="14"/>
        <v>0</v>
      </c>
      <c r="CF55" s="147">
        <f t="shared" si="14"/>
        <v>0</v>
      </c>
      <c r="CG55" s="147">
        <f t="shared" si="14"/>
        <v>4.2000000000000003E-2</v>
      </c>
      <c r="CH55" s="147">
        <f t="shared" si="14"/>
        <v>4.2000000000000003E-2</v>
      </c>
      <c r="CI55" s="147">
        <f t="shared" si="14"/>
        <v>0</v>
      </c>
      <c r="CJ55" s="147">
        <f t="shared" si="14"/>
        <v>0</v>
      </c>
      <c r="CK55" s="147">
        <f t="shared" si="14"/>
        <v>0</v>
      </c>
      <c r="CL55" s="147">
        <f t="shared" si="14"/>
        <v>0</v>
      </c>
      <c r="CM55" s="147">
        <f t="shared" si="14"/>
        <v>0</v>
      </c>
      <c r="CN55" s="47">
        <f t="shared" si="14"/>
        <v>0</v>
      </c>
      <c r="CO55" s="147">
        <f t="shared" si="14"/>
        <v>0</v>
      </c>
      <c r="CP55" s="147">
        <f t="shared" si="14"/>
        <v>0</v>
      </c>
      <c r="CQ55" s="147">
        <f t="shared" si="14"/>
        <v>0</v>
      </c>
      <c r="CR55" s="147">
        <f t="shared" si="14"/>
        <v>0</v>
      </c>
      <c r="CS55" s="147">
        <f t="shared" si="14"/>
        <v>0</v>
      </c>
      <c r="CT55" s="147">
        <f t="shared" si="14"/>
        <v>0</v>
      </c>
    </row>
    <row r="56" spans="4:98">
      <c r="D56" s="47">
        <f t="shared" si="12"/>
        <v>0.623</v>
      </c>
      <c r="E56" s="47">
        <f t="shared" ref="E56:BP59" si="15">E19/1.01</f>
        <v>0.54200000000000004</v>
      </c>
      <c r="F56" s="47">
        <f t="shared" si="15"/>
        <v>0.57999999999999996</v>
      </c>
      <c r="G56" s="47">
        <f t="shared" si="15"/>
        <v>0.58899999999999997</v>
      </c>
      <c r="H56" s="47">
        <f t="shared" si="15"/>
        <v>0.63600000000000001</v>
      </c>
      <c r="I56" s="47">
        <f t="shared" si="15"/>
        <v>0.59099999999999997</v>
      </c>
      <c r="J56" s="47">
        <f t="shared" si="15"/>
        <v>0.40200000000000002</v>
      </c>
      <c r="K56" s="47">
        <f t="shared" si="15"/>
        <v>0.59199999999999997</v>
      </c>
      <c r="L56" s="47">
        <f t="shared" si="15"/>
        <v>0.59099999999999997</v>
      </c>
      <c r="M56" s="47">
        <f t="shared" si="15"/>
        <v>0.57599999999999996</v>
      </c>
      <c r="N56" s="47">
        <f t="shared" si="15"/>
        <v>0.56699999999999995</v>
      </c>
      <c r="O56" s="47">
        <f t="shared" si="15"/>
        <v>0.64400000000000002</v>
      </c>
      <c r="P56" s="47">
        <f t="shared" si="15"/>
        <v>0.57199999999999995</v>
      </c>
      <c r="Q56" s="47">
        <f t="shared" si="15"/>
        <v>0.375</v>
      </c>
      <c r="R56" s="47">
        <f t="shared" si="15"/>
        <v>0.54500000000000004</v>
      </c>
      <c r="S56" s="47">
        <f t="shared" si="15"/>
        <v>0.60499999999999998</v>
      </c>
      <c r="T56" s="47">
        <f t="shared" si="15"/>
        <v>0.58399999999999996</v>
      </c>
      <c r="U56" s="47">
        <f t="shared" si="15"/>
        <v>0.69199999999999995</v>
      </c>
      <c r="V56" s="147">
        <f t="shared" si="15"/>
        <v>0.56000000000000005</v>
      </c>
      <c r="W56" s="147">
        <f t="shared" si="15"/>
        <v>0.51300000000000001</v>
      </c>
      <c r="X56" s="147">
        <f t="shared" si="15"/>
        <v>0.53100000000000003</v>
      </c>
      <c r="Y56" s="147">
        <f t="shared" si="15"/>
        <v>0.55400000000000005</v>
      </c>
      <c r="Z56" s="147">
        <f t="shared" si="15"/>
        <v>0.56499999999999995</v>
      </c>
      <c r="AA56" s="147">
        <f t="shared" si="15"/>
        <v>0.60699999999999998</v>
      </c>
      <c r="AB56" s="147">
        <f t="shared" si="15"/>
        <v>0.58599999999999997</v>
      </c>
      <c r="AC56" s="147">
        <f t="shared" si="15"/>
        <v>0.58899999999999997</v>
      </c>
      <c r="AD56" s="147">
        <f t="shared" si="15"/>
        <v>0.45600000000000002</v>
      </c>
      <c r="AE56" s="147">
        <f t="shared" si="15"/>
        <v>2E-3</v>
      </c>
      <c r="AF56" s="147">
        <f t="shared" si="15"/>
        <v>3.0000000000000001E-3</v>
      </c>
      <c r="AG56" s="147">
        <f t="shared" si="15"/>
        <v>2E-3</v>
      </c>
      <c r="AH56" s="147">
        <f t="shared" si="15"/>
        <v>0.48099999999999998</v>
      </c>
      <c r="AI56" s="147">
        <f t="shared" si="15"/>
        <v>0.47299999999999998</v>
      </c>
      <c r="AJ56" s="147">
        <f t="shared" si="15"/>
        <v>0.48599999999999999</v>
      </c>
      <c r="AK56" s="147">
        <f t="shared" si="15"/>
        <v>0.26600000000000001</v>
      </c>
      <c r="AL56" s="147">
        <f t="shared" si="15"/>
        <v>0.46500000000000002</v>
      </c>
      <c r="AM56" s="147">
        <f t="shared" si="15"/>
        <v>3.0000000000000001E-3</v>
      </c>
      <c r="AN56" s="147">
        <f t="shared" si="15"/>
        <v>0.47</v>
      </c>
      <c r="AO56" s="147">
        <f t="shared" si="15"/>
        <v>0.624</v>
      </c>
      <c r="AP56" s="147">
        <f t="shared" si="15"/>
        <v>0.53700000000000003</v>
      </c>
      <c r="AQ56" s="147">
        <f t="shared" si="15"/>
        <v>0.14599999999999999</v>
      </c>
      <c r="AR56" s="147">
        <f t="shared" si="15"/>
        <v>2E-3</v>
      </c>
      <c r="AS56" s="147">
        <f t="shared" si="15"/>
        <v>0.434</v>
      </c>
      <c r="AT56" s="147">
        <f t="shared" si="15"/>
        <v>0.40200000000000002</v>
      </c>
      <c r="AU56" s="147">
        <f t="shared" si="15"/>
        <v>0.43099999999999999</v>
      </c>
      <c r="AV56" s="147">
        <f t="shared" si="15"/>
        <v>0.36699999999999999</v>
      </c>
      <c r="AW56" s="147">
        <f t="shared" si="15"/>
        <v>0.54100000000000004</v>
      </c>
      <c r="AX56" s="147">
        <f t="shared" si="15"/>
        <v>0.54500000000000004</v>
      </c>
      <c r="AY56" s="147">
        <f t="shared" si="15"/>
        <v>0.45900000000000002</v>
      </c>
      <c r="AZ56" s="147">
        <f t="shared" si="15"/>
        <v>0.58799999999999997</v>
      </c>
      <c r="BA56" s="147">
        <f t="shared" si="15"/>
        <v>0.43099999999999999</v>
      </c>
      <c r="BB56" s="147">
        <f t="shared" si="15"/>
        <v>0.49099999999999999</v>
      </c>
      <c r="BC56" s="147">
        <f t="shared" si="15"/>
        <v>0.38300000000000001</v>
      </c>
      <c r="BD56" s="147">
        <f t="shared" si="15"/>
        <v>0.55100000000000005</v>
      </c>
      <c r="BE56" s="147">
        <f t="shared" si="15"/>
        <v>0.64200000000000002</v>
      </c>
      <c r="BF56" s="147">
        <f t="shared" si="15"/>
        <v>0.55400000000000005</v>
      </c>
      <c r="BG56" s="147">
        <f t="shared" si="15"/>
        <v>0.53900000000000003</v>
      </c>
      <c r="BH56" s="147">
        <f t="shared" si="15"/>
        <v>0.47499999999999998</v>
      </c>
      <c r="BI56" s="147">
        <f t="shared" si="15"/>
        <v>0.57199999999999995</v>
      </c>
      <c r="BJ56" s="147">
        <f t="shared" si="15"/>
        <v>0.59399999999999997</v>
      </c>
      <c r="BK56" s="147">
        <f t="shared" si="15"/>
        <v>0.51700000000000002</v>
      </c>
      <c r="BL56" s="147">
        <f t="shared" si="15"/>
        <v>0.59399999999999997</v>
      </c>
      <c r="BM56" s="147">
        <f t="shared" si="15"/>
        <v>0.51500000000000001</v>
      </c>
      <c r="BN56" s="147">
        <f t="shared" si="15"/>
        <v>0.61199999999999999</v>
      </c>
      <c r="BO56" s="147">
        <f t="shared" si="15"/>
        <v>0.55600000000000005</v>
      </c>
      <c r="BP56" s="147">
        <f t="shared" si="15"/>
        <v>0.55200000000000005</v>
      </c>
      <c r="BQ56" s="147">
        <f t="shared" si="14"/>
        <v>0.56200000000000006</v>
      </c>
      <c r="BR56" s="147">
        <f t="shared" si="14"/>
        <v>0.44400000000000001</v>
      </c>
      <c r="BS56" s="147">
        <f t="shared" si="14"/>
        <v>0.58599999999999997</v>
      </c>
      <c r="BT56" s="147">
        <f t="shared" si="14"/>
        <v>0.58399999999999996</v>
      </c>
      <c r="BU56" s="147">
        <f t="shared" si="14"/>
        <v>0.55600000000000005</v>
      </c>
      <c r="BV56" s="147">
        <f t="shared" si="14"/>
        <v>0.68300000000000005</v>
      </c>
      <c r="BW56" s="147">
        <f t="shared" si="14"/>
        <v>0.45900000000000002</v>
      </c>
      <c r="BX56" s="147">
        <f t="shared" si="14"/>
        <v>0.59199999999999997</v>
      </c>
      <c r="BY56" s="147">
        <f t="shared" si="14"/>
        <v>0.52600000000000002</v>
      </c>
      <c r="BZ56" s="147">
        <f t="shared" si="14"/>
        <v>0.54500000000000004</v>
      </c>
      <c r="CA56" s="147">
        <f t="shared" si="14"/>
        <v>0.621</v>
      </c>
      <c r="CB56" s="147">
        <f t="shared" si="14"/>
        <v>0.61599999999999999</v>
      </c>
      <c r="CC56" s="147">
        <f t="shared" si="14"/>
        <v>0.57299999999999995</v>
      </c>
      <c r="CD56" s="147">
        <f t="shared" si="14"/>
        <v>0.61499999999999999</v>
      </c>
      <c r="CE56" s="147">
        <f t="shared" si="14"/>
        <v>0.14599999999999999</v>
      </c>
      <c r="CF56" s="147">
        <f t="shared" si="14"/>
        <v>0.59399999999999997</v>
      </c>
      <c r="CG56" s="147">
        <f t="shared" si="14"/>
        <v>0.41199999999999998</v>
      </c>
      <c r="CH56" s="147">
        <f t="shared" si="14"/>
        <v>0.40699999999999997</v>
      </c>
      <c r="CI56" s="147">
        <f t="shared" si="14"/>
        <v>0.80600000000000005</v>
      </c>
      <c r="CJ56" s="147">
        <f t="shared" si="14"/>
        <v>0.81899999999999995</v>
      </c>
      <c r="CK56" s="147">
        <f t="shared" si="14"/>
        <v>0.34399999999999997</v>
      </c>
      <c r="CL56" s="147">
        <f t="shared" si="14"/>
        <v>0.55700000000000005</v>
      </c>
      <c r="CM56" s="147">
        <f t="shared" si="14"/>
        <v>0.30099999999999999</v>
      </c>
      <c r="CN56" s="47">
        <f t="shared" si="14"/>
        <v>2E-3</v>
      </c>
      <c r="CO56" s="147">
        <f t="shared" si="14"/>
        <v>0.14599999999999999</v>
      </c>
      <c r="CP56" s="147">
        <f t="shared" si="14"/>
        <v>0.14599999999999999</v>
      </c>
      <c r="CQ56" s="147">
        <f t="shared" si="14"/>
        <v>0.14599999999999999</v>
      </c>
      <c r="CR56" s="147">
        <f t="shared" si="14"/>
        <v>0.14599999999999999</v>
      </c>
      <c r="CS56" s="147">
        <f t="shared" si="14"/>
        <v>0.14599999999999999</v>
      </c>
      <c r="CT56" s="147">
        <f t="shared" si="14"/>
        <v>0.16400000000000001</v>
      </c>
    </row>
    <row r="57" spans="4:98">
      <c r="D57" s="47">
        <f t="shared" si="12"/>
        <v>0</v>
      </c>
      <c r="E57" s="47">
        <f t="shared" si="15"/>
        <v>0</v>
      </c>
      <c r="F57" s="47">
        <f t="shared" si="15"/>
        <v>0</v>
      </c>
      <c r="G57" s="47">
        <f t="shared" si="15"/>
        <v>0</v>
      </c>
      <c r="H57" s="47">
        <f t="shared" si="15"/>
        <v>0</v>
      </c>
      <c r="I57" s="47">
        <f t="shared" si="15"/>
        <v>0</v>
      </c>
      <c r="J57" s="47">
        <f t="shared" si="15"/>
        <v>0</v>
      </c>
      <c r="K57" s="47">
        <f t="shared" si="15"/>
        <v>0</v>
      </c>
      <c r="L57" s="47">
        <f t="shared" si="15"/>
        <v>0</v>
      </c>
      <c r="M57" s="47">
        <f t="shared" si="15"/>
        <v>0</v>
      </c>
      <c r="N57" s="47">
        <f t="shared" si="15"/>
        <v>0</v>
      </c>
      <c r="O57" s="47">
        <f t="shared" si="15"/>
        <v>0</v>
      </c>
      <c r="P57" s="47">
        <f t="shared" si="15"/>
        <v>0</v>
      </c>
      <c r="Q57" s="47">
        <f t="shared" si="15"/>
        <v>0</v>
      </c>
      <c r="R57" s="47">
        <f t="shared" si="15"/>
        <v>0</v>
      </c>
      <c r="S57" s="47">
        <f t="shared" si="15"/>
        <v>0</v>
      </c>
      <c r="T57" s="47">
        <f t="shared" si="15"/>
        <v>0</v>
      </c>
      <c r="U57" s="47">
        <f t="shared" si="15"/>
        <v>0</v>
      </c>
      <c r="V57" s="147">
        <f t="shared" si="15"/>
        <v>0</v>
      </c>
      <c r="W57" s="147">
        <f t="shared" si="15"/>
        <v>0</v>
      </c>
      <c r="X57" s="147">
        <f t="shared" si="15"/>
        <v>0</v>
      </c>
      <c r="Y57" s="147">
        <f t="shared" si="15"/>
        <v>0</v>
      </c>
      <c r="Z57" s="147">
        <f t="shared" si="15"/>
        <v>0</v>
      </c>
      <c r="AA57" s="147">
        <f t="shared" si="15"/>
        <v>0</v>
      </c>
      <c r="AB57" s="147">
        <f t="shared" si="15"/>
        <v>0</v>
      </c>
      <c r="AC57" s="147">
        <f t="shared" si="15"/>
        <v>0</v>
      </c>
      <c r="AD57" s="147">
        <f t="shared" si="15"/>
        <v>0</v>
      </c>
      <c r="AE57" s="147">
        <f t="shared" si="15"/>
        <v>0</v>
      </c>
      <c r="AF57" s="147">
        <f t="shared" si="15"/>
        <v>0</v>
      </c>
      <c r="AG57" s="147">
        <f t="shared" si="15"/>
        <v>0</v>
      </c>
      <c r="AH57" s="147">
        <f t="shared" si="15"/>
        <v>0</v>
      </c>
      <c r="AI57" s="147">
        <f t="shared" si="15"/>
        <v>0</v>
      </c>
      <c r="AJ57" s="147">
        <f t="shared" si="15"/>
        <v>0</v>
      </c>
      <c r="AK57" s="147">
        <f t="shared" si="15"/>
        <v>0</v>
      </c>
      <c r="AL57" s="147">
        <f t="shared" si="15"/>
        <v>0</v>
      </c>
      <c r="AM57" s="147">
        <f t="shared" si="15"/>
        <v>0</v>
      </c>
      <c r="AN57" s="147">
        <f t="shared" si="15"/>
        <v>0</v>
      </c>
      <c r="AO57" s="147">
        <f t="shared" si="15"/>
        <v>0</v>
      </c>
      <c r="AP57" s="147">
        <f t="shared" si="15"/>
        <v>0</v>
      </c>
      <c r="AQ57" s="147">
        <f t="shared" si="15"/>
        <v>0</v>
      </c>
      <c r="AR57" s="147">
        <f t="shared" si="15"/>
        <v>0</v>
      </c>
      <c r="AS57" s="147">
        <f t="shared" si="15"/>
        <v>0</v>
      </c>
      <c r="AT57" s="147">
        <f t="shared" si="15"/>
        <v>0</v>
      </c>
      <c r="AU57" s="147">
        <f t="shared" si="15"/>
        <v>0</v>
      </c>
      <c r="AV57" s="147">
        <f t="shared" si="15"/>
        <v>0</v>
      </c>
      <c r="AW57" s="147">
        <f t="shared" si="15"/>
        <v>0</v>
      </c>
      <c r="AX57" s="147">
        <f t="shared" si="15"/>
        <v>0</v>
      </c>
      <c r="AY57" s="147">
        <f t="shared" si="15"/>
        <v>0</v>
      </c>
      <c r="AZ57" s="147">
        <f t="shared" si="15"/>
        <v>0</v>
      </c>
      <c r="BA57" s="147">
        <f t="shared" si="15"/>
        <v>0</v>
      </c>
      <c r="BB57" s="147">
        <f t="shared" si="15"/>
        <v>0</v>
      </c>
      <c r="BC57" s="147">
        <f t="shared" si="15"/>
        <v>0</v>
      </c>
      <c r="BD57" s="147">
        <f t="shared" si="15"/>
        <v>0</v>
      </c>
      <c r="BE57" s="147">
        <f t="shared" si="15"/>
        <v>0</v>
      </c>
      <c r="BF57" s="147">
        <f t="shared" si="15"/>
        <v>0</v>
      </c>
      <c r="BG57" s="147">
        <f t="shared" si="15"/>
        <v>0</v>
      </c>
      <c r="BH57" s="147">
        <f t="shared" si="15"/>
        <v>0</v>
      </c>
      <c r="BI57" s="147">
        <f t="shared" si="15"/>
        <v>0</v>
      </c>
      <c r="BJ57" s="147">
        <f t="shared" si="15"/>
        <v>0</v>
      </c>
      <c r="BK57" s="147">
        <f t="shared" si="15"/>
        <v>0</v>
      </c>
      <c r="BL57" s="147">
        <f t="shared" si="15"/>
        <v>0</v>
      </c>
      <c r="BM57" s="147">
        <f t="shared" si="15"/>
        <v>0</v>
      </c>
      <c r="BN57" s="147">
        <f t="shared" si="15"/>
        <v>0</v>
      </c>
      <c r="BO57" s="147">
        <f t="shared" si="15"/>
        <v>0</v>
      </c>
      <c r="BP57" s="147">
        <f t="shared" si="15"/>
        <v>0</v>
      </c>
      <c r="BQ57" s="147">
        <f t="shared" si="14"/>
        <v>0</v>
      </c>
      <c r="BR57" s="147">
        <f t="shared" si="14"/>
        <v>0</v>
      </c>
      <c r="BS57" s="147">
        <f t="shared" si="14"/>
        <v>0</v>
      </c>
      <c r="BT57" s="147">
        <f t="shared" si="14"/>
        <v>0</v>
      </c>
      <c r="BU57" s="147">
        <f t="shared" si="14"/>
        <v>0</v>
      </c>
      <c r="BV57" s="147">
        <f t="shared" si="14"/>
        <v>0</v>
      </c>
      <c r="BW57" s="147">
        <f t="shared" si="14"/>
        <v>0</v>
      </c>
      <c r="BX57" s="147">
        <f t="shared" si="14"/>
        <v>0</v>
      </c>
      <c r="BY57" s="147">
        <f t="shared" si="14"/>
        <v>0</v>
      </c>
      <c r="BZ57" s="147">
        <f t="shared" si="14"/>
        <v>0</v>
      </c>
      <c r="CA57" s="147">
        <f t="shared" si="14"/>
        <v>0</v>
      </c>
      <c r="CB57" s="147">
        <f t="shared" si="14"/>
        <v>0</v>
      </c>
      <c r="CC57" s="147">
        <f t="shared" si="14"/>
        <v>0</v>
      </c>
      <c r="CD57" s="147">
        <f t="shared" si="14"/>
        <v>0</v>
      </c>
      <c r="CE57" s="147">
        <f t="shared" si="14"/>
        <v>0</v>
      </c>
      <c r="CF57" s="147">
        <f t="shared" si="14"/>
        <v>0</v>
      </c>
      <c r="CG57" s="147">
        <f t="shared" si="14"/>
        <v>0</v>
      </c>
      <c r="CH57" s="147">
        <f t="shared" si="14"/>
        <v>0</v>
      </c>
      <c r="CI57" s="147">
        <f t="shared" si="14"/>
        <v>0</v>
      </c>
      <c r="CJ57" s="147">
        <f t="shared" si="14"/>
        <v>0</v>
      </c>
      <c r="CK57" s="147">
        <f t="shared" si="14"/>
        <v>0</v>
      </c>
      <c r="CL57" s="147">
        <f t="shared" si="14"/>
        <v>0</v>
      </c>
      <c r="CM57" s="147">
        <f t="shared" si="14"/>
        <v>0</v>
      </c>
      <c r="CN57" s="47">
        <f t="shared" si="14"/>
        <v>0</v>
      </c>
      <c r="CO57" s="147">
        <f t="shared" si="14"/>
        <v>0</v>
      </c>
      <c r="CP57" s="147">
        <f t="shared" si="14"/>
        <v>0</v>
      </c>
      <c r="CQ57" s="147">
        <f t="shared" si="14"/>
        <v>0</v>
      </c>
      <c r="CR57" s="147">
        <f t="shared" si="14"/>
        <v>0</v>
      </c>
      <c r="CS57" s="147">
        <f t="shared" si="14"/>
        <v>0</v>
      </c>
      <c r="CT57" s="147">
        <f t="shared" si="14"/>
        <v>0</v>
      </c>
    </row>
    <row r="58" spans="4:98">
      <c r="D58" s="47">
        <f t="shared" si="12"/>
        <v>0</v>
      </c>
      <c r="E58" s="47">
        <f t="shared" si="15"/>
        <v>0</v>
      </c>
      <c r="F58" s="47">
        <f t="shared" si="15"/>
        <v>0</v>
      </c>
      <c r="G58" s="47">
        <f t="shared" si="15"/>
        <v>0</v>
      </c>
      <c r="H58" s="47">
        <f t="shared" si="15"/>
        <v>0</v>
      </c>
      <c r="I58" s="47">
        <f t="shared" si="15"/>
        <v>0</v>
      </c>
      <c r="J58" s="47">
        <f t="shared" si="15"/>
        <v>0</v>
      </c>
      <c r="K58" s="47">
        <f t="shared" si="15"/>
        <v>0</v>
      </c>
      <c r="L58" s="47">
        <f t="shared" si="15"/>
        <v>0</v>
      </c>
      <c r="M58" s="47">
        <f t="shared" si="15"/>
        <v>0</v>
      </c>
      <c r="N58" s="47">
        <f t="shared" si="15"/>
        <v>0</v>
      </c>
      <c r="O58" s="47">
        <f t="shared" si="15"/>
        <v>0</v>
      </c>
      <c r="P58" s="47">
        <f t="shared" si="15"/>
        <v>0</v>
      </c>
      <c r="Q58" s="47">
        <f t="shared" si="15"/>
        <v>0</v>
      </c>
      <c r="R58" s="47">
        <f t="shared" si="15"/>
        <v>0</v>
      </c>
      <c r="S58" s="47">
        <f t="shared" si="15"/>
        <v>0</v>
      </c>
      <c r="T58" s="47">
        <f t="shared" si="15"/>
        <v>0</v>
      </c>
      <c r="U58" s="47">
        <f t="shared" si="15"/>
        <v>0</v>
      </c>
      <c r="V58" s="147">
        <f t="shared" si="15"/>
        <v>0</v>
      </c>
      <c r="W58" s="147">
        <f t="shared" si="15"/>
        <v>0</v>
      </c>
      <c r="X58" s="147">
        <f t="shared" si="15"/>
        <v>0</v>
      </c>
      <c r="Y58" s="147">
        <f t="shared" si="15"/>
        <v>0</v>
      </c>
      <c r="Z58" s="147">
        <f t="shared" si="15"/>
        <v>0</v>
      </c>
      <c r="AA58" s="147">
        <f t="shared" si="15"/>
        <v>0</v>
      </c>
      <c r="AB58" s="147">
        <f t="shared" si="15"/>
        <v>0</v>
      </c>
      <c r="AC58" s="147">
        <f t="shared" si="15"/>
        <v>0</v>
      </c>
      <c r="AD58" s="147">
        <f t="shared" si="15"/>
        <v>0</v>
      </c>
      <c r="AE58" s="147">
        <f t="shared" si="15"/>
        <v>0</v>
      </c>
      <c r="AF58" s="147">
        <f t="shared" si="15"/>
        <v>0</v>
      </c>
      <c r="AG58" s="147">
        <f t="shared" si="15"/>
        <v>0</v>
      </c>
      <c r="AH58" s="147">
        <f t="shared" si="15"/>
        <v>0</v>
      </c>
      <c r="AI58" s="147">
        <f t="shared" si="15"/>
        <v>0</v>
      </c>
      <c r="AJ58" s="147">
        <f t="shared" si="15"/>
        <v>0</v>
      </c>
      <c r="AK58" s="147">
        <f t="shared" si="15"/>
        <v>0</v>
      </c>
      <c r="AL58" s="147">
        <f t="shared" si="15"/>
        <v>0</v>
      </c>
      <c r="AM58" s="147">
        <f t="shared" si="15"/>
        <v>0</v>
      </c>
      <c r="AN58" s="147">
        <f t="shared" si="15"/>
        <v>0</v>
      </c>
      <c r="AO58" s="147">
        <f t="shared" si="15"/>
        <v>0</v>
      </c>
      <c r="AP58" s="147">
        <f t="shared" si="15"/>
        <v>0</v>
      </c>
      <c r="AQ58" s="147">
        <f t="shared" si="15"/>
        <v>0</v>
      </c>
      <c r="AR58" s="147">
        <f t="shared" si="15"/>
        <v>0</v>
      </c>
      <c r="AS58" s="147">
        <f t="shared" si="15"/>
        <v>0</v>
      </c>
      <c r="AT58" s="147">
        <f t="shared" si="15"/>
        <v>0</v>
      </c>
      <c r="AU58" s="147">
        <f t="shared" si="15"/>
        <v>0</v>
      </c>
      <c r="AV58" s="147">
        <f t="shared" si="15"/>
        <v>0</v>
      </c>
      <c r="AW58" s="147">
        <f t="shared" si="15"/>
        <v>0</v>
      </c>
      <c r="AX58" s="147">
        <f t="shared" si="15"/>
        <v>0</v>
      </c>
      <c r="AY58" s="147">
        <f t="shared" si="15"/>
        <v>0</v>
      </c>
      <c r="AZ58" s="147">
        <f t="shared" si="15"/>
        <v>0</v>
      </c>
      <c r="BA58" s="147">
        <f t="shared" si="15"/>
        <v>0</v>
      </c>
      <c r="BB58" s="147">
        <f t="shared" si="15"/>
        <v>0</v>
      </c>
      <c r="BC58" s="147">
        <f t="shared" si="15"/>
        <v>0</v>
      </c>
      <c r="BD58" s="147">
        <f t="shared" si="15"/>
        <v>0</v>
      </c>
      <c r="BE58" s="147">
        <f t="shared" si="15"/>
        <v>0</v>
      </c>
      <c r="BF58" s="147">
        <f t="shared" si="15"/>
        <v>0</v>
      </c>
      <c r="BG58" s="147">
        <f t="shared" si="15"/>
        <v>0</v>
      </c>
      <c r="BH58" s="147">
        <f t="shared" si="15"/>
        <v>0</v>
      </c>
      <c r="BI58" s="147">
        <f t="shared" si="15"/>
        <v>0</v>
      </c>
      <c r="BJ58" s="147">
        <f t="shared" si="15"/>
        <v>0</v>
      </c>
      <c r="BK58" s="147">
        <f t="shared" si="15"/>
        <v>0</v>
      </c>
      <c r="BL58" s="147">
        <f t="shared" si="15"/>
        <v>0</v>
      </c>
      <c r="BM58" s="147">
        <f t="shared" si="15"/>
        <v>0</v>
      </c>
      <c r="BN58" s="147">
        <f t="shared" si="15"/>
        <v>0</v>
      </c>
      <c r="BO58" s="147">
        <f t="shared" si="15"/>
        <v>0</v>
      </c>
      <c r="BP58" s="147">
        <f t="shared" si="15"/>
        <v>0</v>
      </c>
      <c r="BQ58" s="147">
        <f t="shared" si="14"/>
        <v>0</v>
      </c>
      <c r="BR58" s="147">
        <f t="shared" si="14"/>
        <v>0</v>
      </c>
      <c r="BS58" s="147">
        <f t="shared" si="14"/>
        <v>0</v>
      </c>
      <c r="BT58" s="147">
        <f t="shared" si="14"/>
        <v>0</v>
      </c>
      <c r="BU58" s="147">
        <f t="shared" si="14"/>
        <v>0</v>
      </c>
      <c r="BV58" s="147">
        <f t="shared" si="14"/>
        <v>0</v>
      </c>
      <c r="BW58" s="147">
        <f t="shared" si="14"/>
        <v>0</v>
      </c>
      <c r="BX58" s="147">
        <f t="shared" si="14"/>
        <v>0</v>
      </c>
      <c r="BY58" s="147">
        <f t="shared" si="14"/>
        <v>0</v>
      </c>
      <c r="BZ58" s="147">
        <f t="shared" si="14"/>
        <v>0</v>
      </c>
      <c r="CA58" s="147">
        <f t="shared" si="14"/>
        <v>0</v>
      </c>
      <c r="CB58" s="147">
        <f t="shared" si="14"/>
        <v>0</v>
      </c>
      <c r="CC58" s="147">
        <f t="shared" si="14"/>
        <v>0</v>
      </c>
      <c r="CD58" s="147">
        <f t="shared" si="14"/>
        <v>0</v>
      </c>
      <c r="CE58" s="147">
        <f t="shared" si="14"/>
        <v>0</v>
      </c>
      <c r="CF58" s="147">
        <f t="shared" si="14"/>
        <v>0</v>
      </c>
      <c r="CG58" s="147">
        <f t="shared" si="14"/>
        <v>0</v>
      </c>
      <c r="CH58" s="147">
        <f t="shared" si="14"/>
        <v>0</v>
      </c>
      <c r="CI58" s="147">
        <f t="shared" si="14"/>
        <v>0</v>
      </c>
      <c r="CJ58" s="147">
        <f t="shared" si="14"/>
        <v>0</v>
      </c>
      <c r="CK58" s="147">
        <f t="shared" si="14"/>
        <v>0</v>
      </c>
      <c r="CL58" s="147">
        <f t="shared" si="14"/>
        <v>0</v>
      </c>
      <c r="CM58" s="147">
        <f t="shared" si="14"/>
        <v>0</v>
      </c>
      <c r="CN58" s="47">
        <f t="shared" si="14"/>
        <v>0</v>
      </c>
      <c r="CO58" s="147">
        <f t="shared" si="14"/>
        <v>0</v>
      </c>
      <c r="CP58" s="147">
        <f t="shared" si="14"/>
        <v>0</v>
      </c>
      <c r="CQ58" s="147">
        <f t="shared" si="14"/>
        <v>0</v>
      </c>
      <c r="CR58" s="147">
        <f t="shared" si="14"/>
        <v>0</v>
      </c>
      <c r="CS58" s="147">
        <f t="shared" si="14"/>
        <v>0</v>
      </c>
      <c r="CT58" s="147">
        <f t="shared" si="14"/>
        <v>0</v>
      </c>
    </row>
    <row r="59" spans="4:98">
      <c r="D59" s="47">
        <f t="shared" si="12"/>
        <v>0</v>
      </c>
      <c r="E59" s="47">
        <f t="shared" si="15"/>
        <v>0</v>
      </c>
      <c r="F59" s="47">
        <f t="shared" si="15"/>
        <v>0</v>
      </c>
      <c r="G59" s="47">
        <f t="shared" si="15"/>
        <v>0</v>
      </c>
      <c r="H59" s="47">
        <f t="shared" si="15"/>
        <v>0</v>
      </c>
      <c r="I59" s="47">
        <f t="shared" si="15"/>
        <v>0</v>
      </c>
      <c r="J59" s="47">
        <f t="shared" si="15"/>
        <v>0</v>
      </c>
      <c r="K59" s="47">
        <f t="shared" si="15"/>
        <v>0</v>
      </c>
      <c r="L59" s="47">
        <f t="shared" si="15"/>
        <v>0</v>
      </c>
      <c r="M59" s="47">
        <f t="shared" si="15"/>
        <v>0</v>
      </c>
      <c r="N59" s="47">
        <f t="shared" si="15"/>
        <v>0</v>
      </c>
      <c r="O59" s="47">
        <f t="shared" si="15"/>
        <v>0</v>
      </c>
      <c r="P59" s="47">
        <f t="shared" si="15"/>
        <v>0</v>
      </c>
      <c r="Q59" s="47">
        <f t="shared" si="15"/>
        <v>0</v>
      </c>
      <c r="R59" s="47">
        <f t="shared" si="15"/>
        <v>0</v>
      </c>
      <c r="S59" s="47">
        <f t="shared" si="15"/>
        <v>0</v>
      </c>
      <c r="T59" s="47">
        <f t="shared" si="15"/>
        <v>0</v>
      </c>
      <c r="U59" s="47">
        <f t="shared" si="15"/>
        <v>0</v>
      </c>
      <c r="V59" s="147">
        <f t="shared" si="15"/>
        <v>0</v>
      </c>
      <c r="W59" s="147">
        <f t="shared" si="15"/>
        <v>0</v>
      </c>
      <c r="X59" s="147">
        <f t="shared" si="15"/>
        <v>0</v>
      </c>
      <c r="Y59" s="147">
        <f t="shared" si="15"/>
        <v>0</v>
      </c>
      <c r="Z59" s="147">
        <f t="shared" si="15"/>
        <v>0</v>
      </c>
      <c r="AA59" s="147">
        <f t="shared" si="15"/>
        <v>0</v>
      </c>
      <c r="AB59" s="147">
        <f t="shared" si="15"/>
        <v>0</v>
      </c>
      <c r="AC59" s="147">
        <f t="shared" si="15"/>
        <v>0</v>
      </c>
      <c r="AD59" s="147">
        <f t="shared" si="15"/>
        <v>0</v>
      </c>
      <c r="AE59" s="147">
        <f t="shared" si="15"/>
        <v>0</v>
      </c>
      <c r="AF59" s="147">
        <f t="shared" si="15"/>
        <v>0</v>
      </c>
      <c r="AG59" s="147">
        <f t="shared" si="15"/>
        <v>0</v>
      </c>
      <c r="AH59" s="147">
        <f t="shared" si="15"/>
        <v>0</v>
      </c>
      <c r="AI59" s="147">
        <f t="shared" si="15"/>
        <v>0</v>
      </c>
      <c r="AJ59" s="147">
        <f t="shared" si="15"/>
        <v>0</v>
      </c>
      <c r="AK59" s="147">
        <f t="shared" si="15"/>
        <v>0</v>
      </c>
      <c r="AL59" s="147">
        <f t="shared" si="15"/>
        <v>0</v>
      </c>
      <c r="AM59" s="147">
        <f t="shared" si="15"/>
        <v>0</v>
      </c>
      <c r="AN59" s="147">
        <f t="shared" si="15"/>
        <v>0</v>
      </c>
      <c r="AO59" s="147">
        <f t="shared" si="15"/>
        <v>0</v>
      </c>
      <c r="AP59" s="147">
        <f t="shared" si="15"/>
        <v>0</v>
      </c>
      <c r="AQ59" s="147">
        <f t="shared" si="15"/>
        <v>0</v>
      </c>
      <c r="AR59" s="147">
        <f t="shared" si="15"/>
        <v>0</v>
      </c>
      <c r="AS59" s="147">
        <f t="shared" si="15"/>
        <v>0</v>
      </c>
      <c r="AT59" s="147">
        <f t="shared" si="15"/>
        <v>0</v>
      </c>
      <c r="AU59" s="147">
        <f t="shared" si="15"/>
        <v>0</v>
      </c>
      <c r="AV59" s="147">
        <f t="shared" si="15"/>
        <v>0</v>
      </c>
      <c r="AW59" s="147">
        <f t="shared" si="15"/>
        <v>0</v>
      </c>
      <c r="AX59" s="147">
        <f t="shared" si="15"/>
        <v>0</v>
      </c>
      <c r="AY59" s="147">
        <f t="shared" si="15"/>
        <v>0</v>
      </c>
      <c r="AZ59" s="147">
        <f t="shared" si="15"/>
        <v>0</v>
      </c>
      <c r="BA59" s="147">
        <f t="shared" si="15"/>
        <v>0</v>
      </c>
      <c r="BB59" s="147">
        <f t="shared" si="15"/>
        <v>0</v>
      </c>
      <c r="BC59" s="147">
        <f t="shared" si="15"/>
        <v>0</v>
      </c>
      <c r="BD59" s="147">
        <f t="shared" si="15"/>
        <v>0</v>
      </c>
      <c r="BE59" s="147">
        <f t="shared" si="15"/>
        <v>0</v>
      </c>
      <c r="BF59" s="147">
        <f t="shared" si="15"/>
        <v>0</v>
      </c>
      <c r="BG59" s="147">
        <f t="shared" si="15"/>
        <v>0</v>
      </c>
      <c r="BH59" s="147">
        <f t="shared" si="15"/>
        <v>0</v>
      </c>
      <c r="BI59" s="147">
        <f t="shared" si="15"/>
        <v>0</v>
      </c>
      <c r="BJ59" s="147">
        <f t="shared" si="15"/>
        <v>0</v>
      </c>
      <c r="BK59" s="147">
        <f t="shared" si="15"/>
        <v>0</v>
      </c>
      <c r="BL59" s="147">
        <f t="shared" si="15"/>
        <v>0</v>
      </c>
      <c r="BM59" s="147">
        <f t="shared" si="15"/>
        <v>0</v>
      </c>
      <c r="BN59" s="147">
        <f t="shared" si="15"/>
        <v>0</v>
      </c>
      <c r="BO59" s="147">
        <f t="shared" si="15"/>
        <v>0</v>
      </c>
      <c r="BP59" s="147">
        <f t="shared" ref="BP59:CT62" si="16">BP22/1.01</f>
        <v>0</v>
      </c>
      <c r="BQ59" s="147">
        <f t="shared" si="16"/>
        <v>0</v>
      </c>
      <c r="BR59" s="147">
        <f t="shared" si="16"/>
        <v>0</v>
      </c>
      <c r="BS59" s="147">
        <f t="shared" si="16"/>
        <v>0</v>
      </c>
      <c r="BT59" s="147">
        <f t="shared" si="16"/>
        <v>0</v>
      </c>
      <c r="BU59" s="147">
        <f t="shared" si="16"/>
        <v>0</v>
      </c>
      <c r="BV59" s="147">
        <f t="shared" si="16"/>
        <v>0</v>
      </c>
      <c r="BW59" s="147">
        <f t="shared" si="16"/>
        <v>0</v>
      </c>
      <c r="BX59" s="147">
        <f t="shared" si="16"/>
        <v>0</v>
      </c>
      <c r="BY59" s="147">
        <f t="shared" si="16"/>
        <v>0</v>
      </c>
      <c r="BZ59" s="147">
        <f t="shared" si="16"/>
        <v>0</v>
      </c>
      <c r="CA59" s="147">
        <f t="shared" si="16"/>
        <v>0</v>
      </c>
      <c r="CB59" s="147">
        <f t="shared" si="16"/>
        <v>0</v>
      </c>
      <c r="CC59" s="147">
        <f t="shared" si="16"/>
        <v>0</v>
      </c>
      <c r="CD59" s="147">
        <f t="shared" si="16"/>
        <v>0</v>
      </c>
      <c r="CE59" s="147">
        <f t="shared" si="16"/>
        <v>0</v>
      </c>
      <c r="CF59" s="147">
        <f t="shared" si="16"/>
        <v>0</v>
      </c>
      <c r="CG59" s="147">
        <f t="shared" si="16"/>
        <v>0</v>
      </c>
      <c r="CH59" s="147">
        <f t="shared" si="16"/>
        <v>0</v>
      </c>
      <c r="CI59" s="147">
        <f t="shared" si="16"/>
        <v>0</v>
      </c>
      <c r="CJ59" s="147">
        <f t="shared" si="16"/>
        <v>0</v>
      </c>
      <c r="CK59" s="147">
        <f t="shared" si="16"/>
        <v>0</v>
      </c>
      <c r="CL59" s="147">
        <f t="shared" si="16"/>
        <v>0</v>
      </c>
      <c r="CM59" s="147">
        <f t="shared" si="16"/>
        <v>0</v>
      </c>
      <c r="CN59" s="47">
        <f t="shared" si="16"/>
        <v>0</v>
      </c>
      <c r="CO59" s="147">
        <f t="shared" si="16"/>
        <v>0</v>
      </c>
      <c r="CP59" s="147">
        <f t="shared" si="16"/>
        <v>0</v>
      </c>
      <c r="CQ59" s="147">
        <f t="shared" si="16"/>
        <v>0</v>
      </c>
      <c r="CR59" s="147">
        <f t="shared" si="16"/>
        <v>0</v>
      </c>
      <c r="CS59" s="147">
        <f t="shared" si="16"/>
        <v>0</v>
      </c>
      <c r="CT59" s="147">
        <f t="shared" si="16"/>
        <v>0</v>
      </c>
    </row>
    <row r="60" spans="4:98">
      <c r="D60" s="47">
        <f t="shared" si="12"/>
        <v>0</v>
      </c>
      <c r="E60" s="47">
        <f t="shared" ref="E60:BP63" si="17">E23/1.01</f>
        <v>0</v>
      </c>
      <c r="F60" s="47">
        <f t="shared" si="17"/>
        <v>0</v>
      </c>
      <c r="G60" s="47">
        <f t="shared" si="17"/>
        <v>0</v>
      </c>
      <c r="H60" s="47">
        <f t="shared" si="17"/>
        <v>0</v>
      </c>
      <c r="I60" s="47">
        <f t="shared" si="17"/>
        <v>0</v>
      </c>
      <c r="J60" s="47">
        <f t="shared" si="17"/>
        <v>0</v>
      </c>
      <c r="K60" s="47">
        <f t="shared" si="17"/>
        <v>0</v>
      </c>
      <c r="L60" s="47">
        <f t="shared" si="17"/>
        <v>0</v>
      </c>
      <c r="M60" s="47">
        <f t="shared" si="17"/>
        <v>0</v>
      </c>
      <c r="N60" s="47">
        <f t="shared" si="17"/>
        <v>0</v>
      </c>
      <c r="O60" s="47">
        <f t="shared" si="17"/>
        <v>0</v>
      </c>
      <c r="P60" s="47">
        <f t="shared" si="17"/>
        <v>0</v>
      </c>
      <c r="Q60" s="47">
        <f t="shared" si="17"/>
        <v>0</v>
      </c>
      <c r="R60" s="47">
        <f t="shared" si="17"/>
        <v>0</v>
      </c>
      <c r="S60" s="47">
        <f t="shared" si="17"/>
        <v>0</v>
      </c>
      <c r="T60" s="47">
        <f t="shared" si="17"/>
        <v>0</v>
      </c>
      <c r="U60" s="47">
        <f t="shared" si="17"/>
        <v>0</v>
      </c>
      <c r="V60" s="147">
        <f t="shared" si="17"/>
        <v>0</v>
      </c>
      <c r="W60" s="147">
        <f t="shared" si="17"/>
        <v>0</v>
      </c>
      <c r="X60" s="147">
        <f t="shared" si="17"/>
        <v>0</v>
      </c>
      <c r="Y60" s="147">
        <f t="shared" si="17"/>
        <v>0</v>
      </c>
      <c r="Z60" s="147">
        <f t="shared" si="17"/>
        <v>0</v>
      </c>
      <c r="AA60" s="147">
        <f t="shared" si="17"/>
        <v>0</v>
      </c>
      <c r="AB60" s="147">
        <f t="shared" si="17"/>
        <v>0</v>
      </c>
      <c r="AC60" s="147">
        <f t="shared" si="17"/>
        <v>0</v>
      </c>
      <c r="AD60" s="147">
        <f t="shared" si="17"/>
        <v>0</v>
      </c>
      <c r="AE60" s="147">
        <f t="shared" si="17"/>
        <v>0</v>
      </c>
      <c r="AF60" s="147">
        <f t="shared" si="17"/>
        <v>0</v>
      </c>
      <c r="AG60" s="147">
        <f t="shared" si="17"/>
        <v>0</v>
      </c>
      <c r="AH60" s="147">
        <f t="shared" si="17"/>
        <v>0</v>
      </c>
      <c r="AI60" s="147">
        <f t="shared" si="17"/>
        <v>0</v>
      </c>
      <c r="AJ60" s="147">
        <f t="shared" si="17"/>
        <v>0</v>
      </c>
      <c r="AK60" s="147">
        <f t="shared" si="17"/>
        <v>0</v>
      </c>
      <c r="AL60" s="147">
        <f t="shared" si="17"/>
        <v>0</v>
      </c>
      <c r="AM60" s="147">
        <f t="shared" si="17"/>
        <v>0</v>
      </c>
      <c r="AN60" s="147">
        <f t="shared" si="17"/>
        <v>0</v>
      </c>
      <c r="AO60" s="147">
        <f t="shared" si="17"/>
        <v>0</v>
      </c>
      <c r="AP60" s="147">
        <f t="shared" si="17"/>
        <v>0</v>
      </c>
      <c r="AQ60" s="147">
        <f t="shared" si="17"/>
        <v>0</v>
      </c>
      <c r="AR60" s="147">
        <f t="shared" si="17"/>
        <v>0</v>
      </c>
      <c r="AS60" s="147">
        <f t="shared" si="17"/>
        <v>0</v>
      </c>
      <c r="AT60" s="147">
        <f t="shared" si="17"/>
        <v>0</v>
      </c>
      <c r="AU60" s="147">
        <f t="shared" si="17"/>
        <v>0</v>
      </c>
      <c r="AV60" s="147">
        <f t="shared" si="17"/>
        <v>0</v>
      </c>
      <c r="AW60" s="147">
        <f t="shared" si="17"/>
        <v>0</v>
      </c>
      <c r="AX60" s="147">
        <f t="shared" si="17"/>
        <v>0</v>
      </c>
      <c r="AY60" s="147">
        <f t="shared" si="17"/>
        <v>0</v>
      </c>
      <c r="AZ60" s="147">
        <f t="shared" si="17"/>
        <v>0</v>
      </c>
      <c r="BA60" s="147">
        <f t="shared" si="17"/>
        <v>0</v>
      </c>
      <c r="BB60" s="147">
        <f t="shared" si="17"/>
        <v>0</v>
      </c>
      <c r="BC60" s="147">
        <f t="shared" si="17"/>
        <v>0</v>
      </c>
      <c r="BD60" s="147">
        <f t="shared" si="17"/>
        <v>0</v>
      </c>
      <c r="BE60" s="147">
        <f t="shared" si="17"/>
        <v>0</v>
      </c>
      <c r="BF60" s="147">
        <f t="shared" si="17"/>
        <v>0</v>
      </c>
      <c r="BG60" s="147">
        <f t="shared" si="17"/>
        <v>0</v>
      </c>
      <c r="BH60" s="147">
        <f t="shared" si="17"/>
        <v>0</v>
      </c>
      <c r="BI60" s="147">
        <f t="shared" si="17"/>
        <v>0</v>
      </c>
      <c r="BJ60" s="147">
        <f t="shared" si="17"/>
        <v>0</v>
      </c>
      <c r="BK60" s="147">
        <f t="shared" si="17"/>
        <v>0</v>
      </c>
      <c r="BL60" s="147">
        <f t="shared" si="17"/>
        <v>0</v>
      </c>
      <c r="BM60" s="147">
        <f t="shared" si="17"/>
        <v>0</v>
      </c>
      <c r="BN60" s="147">
        <f t="shared" si="17"/>
        <v>0</v>
      </c>
      <c r="BO60" s="147">
        <f t="shared" si="17"/>
        <v>0</v>
      </c>
      <c r="BP60" s="147">
        <f t="shared" si="17"/>
        <v>0</v>
      </c>
      <c r="BQ60" s="147">
        <f t="shared" si="16"/>
        <v>0</v>
      </c>
      <c r="BR60" s="147">
        <f t="shared" si="16"/>
        <v>0</v>
      </c>
      <c r="BS60" s="147">
        <f t="shared" si="16"/>
        <v>0</v>
      </c>
      <c r="BT60" s="147">
        <f t="shared" si="16"/>
        <v>0</v>
      </c>
      <c r="BU60" s="147">
        <f t="shared" si="16"/>
        <v>0</v>
      </c>
      <c r="BV60" s="147">
        <f t="shared" si="16"/>
        <v>0</v>
      </c>
      <c r="BW60" s="147">
        <f t="shared" si="16"/>
        <v>0</v>
      </c>
      <c r="BX60" s="147">
        <f t="shared" si="16"/>
        <v>0</v>
      </c>
      <c r="BY60" s="147">
        <f t="shared" si="16"/>
        <v>0</v>
      </c>
      <c r="BZ60" s="147">
        <f t="shared" si="16"/>
        <v>0</v>
      </c>
      <c r="CA60" s="147">
        <f t="shared" si="16"/>
        <v>0</v>
      </c>
      <c r="CB60" s="147">
        <f t="shared" si="16"/>
        <v>0</v>
      </c>
      <c r="CC60" s="147">
        <f t="shared" si="16"/>
        <v>0</v>
      </c>
      <c r="CD60" s="147">
        <f t="shared" si="16"/>
        <v>0</v>
      </c>
      <c r="CE60" s="147">
        <f t="shared" si="16"/>
        <v>0</v>
      </c>
      <c r="CF60" s="147">
        <f t="shared" si="16"/>
        <v>0</v>
      </c>
      <c r="CG60" s="147">
        <f t="shared" si="16"/>
        <v>0</v>
      </c>
      <c r="CH60" s="147">
        <f t="shared" si="16"/>
        <v>0</v>
      </c>
      <c r="CI60" s="147">
        <f t="shared" si="16"/>
        <v>0</v>
      </c>
      <c r="CJ60" s="147">
        <f t="shared" si="16"/>
        <v>0</v>
      </c>
      <c r="CK60" s="147">
        <f t="shared" si="16"/>
        <v>0</v>
      </c>
      <c r="CL60" s="147">
        <f t="shared" si="16"/>
        <v>0</v>
      </c>
      <c r="CM60" s="147">
        <f t="shared" si="16"/>
        <v>0</v>
      </c>
      <c r="CN60" s="47">
        <f t="shared" si="16"/>
        <v>0</v>
      </c>
      <c r="CO60" s="147">
        <f t="shared" si="16"/>
        <v>0</v>
      </c>
      <c r="CP60" s="147">
        <f t="shared" si="16"/>
        <v>0</v>
      </c>
      <c r="CQ60" s="147">
        <f t="shared" si="16"/>
        <v>0</v>
      </c>
      <c r="CR60" s="147">
        <f t="shared" si="16"/>
        <v>0</v>
      </c>
      <c r="CS60" s="147">
        <f t="shared" si="16"/>
        <v>0</v>
      </c>
      <c r="CT60" s="147">
        <f t="shared" si="16"/>
        <v>0</v>
      </c>
    </row>
    <row r="61" spans="4:98">
      <c r="D61" s="47">
        <f t="shared" si="12"/>
        <v>0</v>
      </c>
      <c r="E61" s="47">
        <f t="shared" si="17"/>
        <v>0</v>
      </c>
      <c r="F61" s="47">
        <f t="shared" si="17"/>
        <v>0</v>
      </c>
      <c r="G61" s="47">
        <f t="shared" si="17"/>
        <v>0</v>
      </c>
      <c r="H61" s="47">
        <f t="shared" si="17"/>
        <v>0</v>
      </c>
      <c r="I61" s="47">
        <f t="shared" si="17"/>
        <v>0</v>
      </c>
      <c r="J61" s="47">
        <f t="shared" si="17"/>
        <v>0</v>
      </c>
      <c r="K61" s="47">
        <f t="shared" si="17"/>
        <v>0</v>
      </c>
      <c r="L61" s="47">
        <f t="shared" si="17"/>
        <v>0</v>
      </c>
      <c r="M61" s="47">
        <f t="shared" si="17"/>
        <v>0</v>
      </c>
      <c r="N61" s="47">
        <f t="shared" si="17"/>
        <v>0</v>
      </c>
      <c r="O61" s="47">
        <f t="shared" si="17"/>
        <v>0</v>
      </c>
      <c r="P61" s="47">
        <f t="shared" si="17"/>
        <v>0</v>
      </c>
      <c r="Q61" s="47">
        <f t="shared" si="17"/>
        <v>0</v>
      </c>
      <c r="R61" s="47">
        <f t="shared" si="17"/>
        <v>0</v>
      </c>
      <c r="S61" s="47">
        <f t="shared" si="17"/>
        <v>0</v>
      </c>
      <c r="T61" s="47">
        <f t="shared" si="17"/>
        <v>0</v>
      </c>
      <c r="U61" s="47">
        <f t="shared" si="17"/>
        <v>0</v>
      </c>
      <c r="V61" s="147">
        <f t="shared" si="17"/>
        <v>0</v>
      </c>
      <c r="W61" s="147">
        <f t="shared" si="17"/>
        <v>0</v>
      </c>
      <c r="X61" s="147">
        <f t="shared" si="17"/>
        <v>0</v>
      </c>
      <c r="Y61" s="147">
        <f t="shared" si="17"/>
        <v>0</v>
      </c>
      <c r="Z61" s="147">
        <f t="shared" si="17"/>
        <v>0</v>
      </c>
      <c r="AA61" s="147">
        <f t="shared" si="17"/>
        <v>0</v>
      </c>
      <c r="AB61" s="147">
        <f t="shared" si="17"/>
        <v>0</v>
      </c>
      <c r="AC61" s="147">
        <f t="shared" si="17"/>
        <v>0</v>
      </c>
      <c r="AD61" s="147">
        <f t="shared" si="17"/>
        <v>0</v>
      </c>
      <c r="AE61" s="147">
        <f t="shared" si="17"/>
        <v>0</v>
      </c>
      <c r="AF61" s="147">
        <f t="shared" si="17"/>
        <v>0</v>
      </c>
      <c r="AG61" s="147">
        <f t="shared" si="17"/>
        <v>0</v>
      </c>
      <c r="AH61" s="147">
        <f t="shared" si="17"/>
        <v>0</v>
      </c>
      <c r="AI61" s="147">
        <f t="shared" si="17"/>
        <v>0</v>
      </c>
      <c r="AJ61" s="147">
        <f t="shared" si="17"/>
        <v>0</v>
      </c>
      <c r="AK61" s="147">
        <f t="shared" si="17"/>
        <v>0</v>
      </c>
      <c r="AL61" s="147">
        <f t="shared" si="17"/>
        <v>0</v>
      </c>
      <c r="AM61" s="147">
        <f t="shared" si="17"/>
        <v>0</v>
      </c>
      <c r="AN61" s="147">
        <f t="shared" si="17"/>
        <v>0</v>
      </c>
      <c r="AO61" s="147">
        <f t="shared" si="17"/>
        <v>0</v>
      </c>
      <c r="AP61" s="147">
        <f t="shared" si="17"/>
        <v>0</v>
      </c>
      <c r="AQ61" s="147">
        <f t="shared" si="17"/>
        <v>0</v>
      </c>
      <c r="AR61" s="147">
        <f t="shared" si="17"/>
        <v>0</v>
      </c>
      <c r="AS61" s="147">
        <f t="shared" si="17"/>
        <v>0</v>
      </c>
      <c r="AT61" s="147">
        <f t="shared" si="17"/>
        <v>0</v>
      </c>
      <c r="AU61" s="147">
        <f t="shared" si="17"/>
        <v>0</v>
      </c>
      <c r="AV61" s="147">
        <f t="shared" si="17"/>
        <v>0</v>
      </c>
      <c r="AW61" s="147">
        <f t="shared" si="17"/>
        <v>0</v>
      </c>
      <c r="AX61" s="147">
        <f t="shared" si="17"/>
        <v>0</v>
      </c>
      <c r="AY61" s="147">
        <f t="shared" si="17"/>
        <v>0</v>
      </c>
      <c r="AZ61" s="147">
        <f t="shared" si="17"/>
        <v>0</v>
      </c>
      <c r="BA61" s="147">
        <f t="shared" si="17"/>
        <v>0</v>
      </c>
      <c r="BB61" s="147">
        <f t="shared" si="17"/>
        <v>0</v>
      </c>
      <c r="BC61" s="147">
        <f t="shared" si="17"/>
        <v>0</v>
      </c>
      <c r="BD61" s="147">
        <f t="shared" si="17"/>
        <v>0</v>
      </c>
      <c r="BE61" s="147">
        <f t="shared" si="17"/>
        <v>0</v>
      </c>
      <c r="BF61" s="147">
        <f t="shared" si="17"/>
        <v>0</v>
      </c>
      <c r="BG61" s="147">
        <f t="shared" si="17"/>
        <v>0</v>
      </c>
      <c r="BH61" s="147">
        <f t="shared" si="17"/>
        <v>0</v>
      </c>
      <c r="BI61" s="147">
        <f t="shared" si="17"/>
        <v>0</v>
      </c>
      <c r="BJ61" s="147">
        <f t="shared" si="17"/>
        <v>0</v>
      </c>
      <c r="BK61" s="147">
        <f t="shared" si="17"/>
        <v>0</v>
      </c>
      <c r="BL61" s="147">
        <f t="shared" si="17"/>
        <v>0</v>
      </c>
      <c r="BM61" s="147">
        <f t="shared" si="17"/>
        <v>0</v>
      </c>
      <c r="BN61" s="147">
        <f t="shared" si="17"/>
        <v>0</v>
      </c>
      <c r="BO61" s="147">
        <f t="shared" si="17"/>
        <v>0</v>
      </c>
      <c r="BP61" s="147">
        <f t="shared" si="17"/>
        <v>0</v>
      </c>
      <c r="BQ61" s="147">
        <f t="shared" si="16"/>
        <v>0</v>
      </c>
      <c r="BR61" s="147">
        <f t="shared" si="16"/>
        <v>0</v>
      </c>
      <c r="BS61" s="147">
        <f t="shared" si="16"/>
        <v>0</v>
      </c>
      <c r="BT61" s="147">
        <f t="shared" si="16"/>
        <v>0</v>
      </c>
      <c r="BU61" s="147">
        <f t="shared" si="16"/>
        <v>0</v>
      </c>
      <c r="BV61" s="147">
        <f t="shared" si="16"/>
        <v>0</v>
      </c>
      <c r="BW61" s="147">
        <f t="shared" si="16"/>
        <v>0</v>
      </c>
      <c r="BX61" s="147">
        <f t="shared" si="16"/>
        <v>0</v>
      </c>
      <c r="BY61" s="147">
        <f t="shared" si="16"/>
        <v>0</v>
      </c>
      <c r="BZ61" s="147">
        <f t="shared" si="16"/>
        <v>0</v>
      </c>
      <c r="CA61" s="147">
        <f t="shared" si="16"/>
        <v>0</v>
      </c>
      <c r="CB61" s="147">
        <f t="shared" si="16"/>
        <v>0</v>
      </c>
      <c r="CC61" s="147">
        <f t="shared" si="16"/>
        <v>0</v>
      </c>
      <c r="CD61" s="147">
        <f t="shared" si="16"/>
        <v>0</v>
      </c>
      <c r="CE61" s="147">
        <f t="shared" si="16"/>
        <v>0</v>
      </c>
      <c r="CF61" s="147">
        <f t="shared" si="16"/>
        <v>0</v>
      </c>
      <c r="CG61" s="147">
        <f t="shared" si="16"/>
        <v>0</v>
      </c>
      <c r="CH61" s="147">
        <f t="shared" si="16"/>
        <v>0</v>
      </c>
      <c r="CI61" s="147">
        <f t="shared" si="16"/>
        <v>0</v>
      </c>
      <c r="CJ61" s="147">
        <f t="shared" si="16"/>
        <v>0</v>
      </c>
      <c r="CK61" s="147">
        <f t="shared" si="16"/>
        <v>0</v>
      </c>
      <c r="CL61" s="147">
        <f t="shared" si="16"/>
        <v>0</v>
      </c>
      <c r="CM61" s="147">
        <f t="shared" si="16"/>
        <v>0</v>
      </c>
      <c r="CN61" s="47">
        <f t="shared" si="16"/>
        <v>0</v>
      </c>
      <c r="CO61" s="147">
        <f t="shared" si="16"/>
        <v>0</v>
      </c>
      <c r="CP61" s="147">
        <f t="shared" si="16"/>
        <v>0</v>
      </c>
      <c r="CQ61" s="147">
        <f t="shared" si="16"/>
        <v>0</v>
      </c>
      <c r="CR61" s="147">
        <f t="shared" si="16"/>
        <v>0</v>
      </c>
      <c r="CS61" s="147">
        <f t="shared" si="16"/>
        <v>0</v>
      </c>
      <c r="CT61" s="147">
        <f t="shared" si="16"/>
        <v>0</v>
      </c>
    </row>
    <row r="62" spans="4:98">
      <c r="D62" s="47">
        <f t="shared" si="12"/>
        <v>0</v>
      </c>
      <c r="E62" s="47">
        <f t="shared" si="17"/>
        <v>0</v>
      </c>
      <c r="F62" s="47">
        <f t="shared" si="17"/>
        <v>0</v>
      </c>
      <c r="G62" s="47">
        <f t="shared" si="17"/>
        <v>0</v>
      </c>
      <c r="H62" s="47">
        <f t="shared" si="17"/>
        <v>0</v>
      </c>
      <c r="I62" s="47">
        <f t="shared" si="17"/>
        <v>0</v>
      </c>
      <c r="J62" s="47">
        <f t="shared" si="17"/>
        <v>0</v>
      </c>
      <c r="K62" s="47">
        <f t="shared" si="17"/>
        <v>0</v>
      </c>
      <c r="L62" s="47">
        <f t="shared" si="17"/>
        <v>0</v>
      </c>
      <c r="M62" s="47">
        <f t="shared" si="17"/>
        <v>0</v>
      </c>
      <c r="N62" s="47">
        <f t="shared" si="17"/>
        <v>0</v>
      </c>
      <c r="O62" s="47">
        <f t="shared" si="17"/>
        <v>0</v>
      </c>
      <c r="P62" s="47">
        <f t="shared" si="17"/>
        <v>0</v>
      </c>
      <c r="Q62" s="47">
        <f t="shared" si="17"/>
        <v>0</v>
      </c>
      <c r="R62" s="47">
        <f t="shared" si="17"/>
        <v>0</v>
      </c>
      <c r="S62" s="47">
        <f t="shared" si="17"/>
        <v>0</v>
      </c>
      <c r="T62" s="47">
        <f t="shared" si="17"/>
        <v>0</v>
      </c>
      <c r="U62" s="47">
        <f t="shared" si="17"/>
        <v>0</v>
      </c>
      <c r="V62" s="147">
        <f t="shared" si="17"/>
        <v>0</v>
      </c>
      <c r="W62" s="147">
        <f t="shared" si="17"/>
        <v>0</v>
      </c>
      <c r="X62" s="147">
        <f t="shared" si="17"/>
        <v>0</v>
      </c>
      <c r="Y62" s="147">
        <f t="shared" si="17"/>
        <v>0</v>
      </c>
      <c r="Z62" s="147">
        <f t="shared" si="17"/>
        <v>0</v>
      </c>
      <c r="AA62" s="147">
        <f t="shared" si="17"/>
        <v>0</v>
      </c>
      <c r="AB62" s="147">
        <f t="shared" si="17"/>
        <v>0</v>
      </c>
      <c r="AC62" s="147">
        <f t="shared" si="17"/>
        <v>0</v>
      </c>
      <c r="AD62" s="147">
        <f t="shared" si="17"/>
        <v>0</v>
      </c>
      <c r="AE62" s="147">
        <f t="shared" si="17"/>
        <v>0</v>
      </c>
      <c r="AF62" s="147">
        <f t="shared" si="17"/>
        <v>0</v>
      </c>
      <c r="AG62" s="147">
        <f t="shared" si="17"/>
        <v>0</v>
      </c>
      <c r="AH62" s="147">
        <f t="shared" si="17"/>
        <v>0</v>
      </c>
      <c r="AI62" s="147">
        <f t="shared" si="17"/>
        <v>0</v>
      </c>
      <c r="AJ62" s="147">
        <f t="shared" si="17"/>
        <v>0</v>
      </c>
      <c r="AK62" s="147">
        <f t="shared" si="17"/>
        <v>0</v>
      </c>
      <c r="AL62" s="147">
        <f t="shared" si="17"/>
        <v>0</v>
      </c>
      <c r="AM62" s="147">
        <f t="shared" si="17"/>
        <v>0</v>
      </c>
      <c r="AN62" s="147">
        <f t="shared" si="17"/>
        <v>0</v>
      </c>
      <c r="AO62" s="147">
        <f t="shared" si="17"/>
        <v>0</v>
      </c>
      <c r="AP62" s="147">
        <f t="shared" si="17"/>
        <v>0</v>
      </c>
      <c r="AQ62" s="147">
        <f t="shared" si="17"/>
        <v>0</v>
      </c>
      <c r="AR62" s="147">
        <f t="shared" si="17"/>
        <v>0</v>
      </c>
      <c r="AS62" s="147">
        <f t="shared" si="17"/>
        <v>0</v>
      </c>
      <c r="AT62" s="147">
        <f t="shared" si="17"/>
        <v>0</v>
      </c>
      <c r="AU62" s="147">
        <f t="shared" si="17"/>
        <v>0</v>
      </c>
      <c r="AV62" s="147">
        <f t="shared" si="17"/>
        <v>0</v>
      </c>
      <c r="AW62" s="147">
        <f t="shared" si="17"/>
        <v>0</v>
      </c>
      <c r="AX62" s="147">
        <f t="shared" si="17"/>
        <v>0</v>
      </c>
      <c r="AY62" s="147">
        <f t="shared" si="17"/>
        <v>0</v>
      </c>
      <c r="AZ62" s="147">
        <f t="shared" si="17"/>
        <v>0</v>
      </c>
      <c r="BA62" s="147">
        <f t="shared" si="17"/>
        <v>0</v>
      </c>
      <c r="BB62" s="147">
        <f t="shared" si="17"/>
        <v>0</v>
      </c>
      <c r="BC62" s="147">
        <f t="shared" si="17"/>
        <v>0</v>
      </c>
      <c r="BD62" s="147">
        <f t="shared" si="17"/>
        <v>0</v>
      </c>
      <c r="BE62" s="147">
        <f t="shared" si="17"/>
        <v>0</v>
      </c>
      <c r="BF62" s="147">
        <f t="shared" si="17"/>
        <v>0</v>
      </c>
      <c r="BG62" s="147">
        <f t="shared" si="17"/>
        <v>0</v>
      </c>
      <c r="BH62" s="147">
        <f t="shared" si="17"/>
        <v>0</v>
      </c>
      <c r="BI62" s="147">
        <f t="shared" si="17"/>
        <v>0</v>
      </c>
      <c r="BJ62" s="147">
        <f t="shared" si="17"/>
        <v>0</v>
      </c>
      <c r="BK62" s="147">
        <f t="shared" si="17"/>
        <v>0</v>
      </c>
      <c r="BL62" s="147">
        <f t="shared" si="17"/>
        <v>0</v>
      </c>
      <c r="BM62" s="147">
        <f t="shared" si="17"/>
        <v>0</v>
      </c>
      <c r="BN62" s="147">
        <f t="shared" si="17"/>
        <v>0</v>
      </c>
      <c r="BO62" s="147">
        <f t="shared" si="17"/>
        <v>0</v>
      </c>
      <c r="BP62" s="147">
        <f t="shared" si="17"/>
        <v>0</v>
      </c>
      <c r="BQ62" s="147">
        <f t="shared" si="16"/>
        <v>0</v>
      </c>
      <c r="BR62" s="147">
        <f t="shared" si="16"/>
        <v>0</v>
      </c>
      <c r="BS62" s="147">
        <f t="shared" si="16"/>
        <v>0</v>
      </c>
      <c r="BT62" s="147">
        <f t="shared" si="16"/>
        <v>0</v>
      </c>
      <c r="BU62" s="147">
        <f t="shared" si="16"/>
        <v>0</v>
      </c>
      <c r="BV62" s="147">
        <f t="shared" si="16"/>
        <v>0</v>
      </c>
      <c r="BW62" s="147">
        <f t="shared" si="16"/>
        <v>0</v>
      </c>
      <c r="BX62" s="147">
        <f t="shared" si="16"/>
        <v>0</v>
      </c>
      <c r="BY62" s="147">
        <f t="shared" si="16"/>
        <v>0</v>
      </c>
      <c r="BZ62" s="147">
        <f t="shared" si="16"/>
        <v>0</v>
      </c>
      <c r="CA62" s="147">
        <f t="shared" si="16"/>
        <v>0</v>
      </c>
      <c r="CB62" s="147">
        <f t="shared" si="16"/>
        <v>0</v>
      </c>
      <c r="CC62" s="147">
        <f t="shared" si="16"/>
        <v>0</v>
      </c>
      <c r="CD62" s="147">
        <f t="shared" si="16"/>
        <v>0</v>
      </c>
      <c r="CE62" s="147">
        <f t="shared" si="16"/>
        <v>0</v>
      </c>
      <c r="CF62" s="147">
        <f t="shared" si="16"/>
        <v>0</v>
      </c>
      <c r="CG62" s="147">
        <f t="shared" si="16"/>
        <v>0</v>
      </c>
      <c r="CH62" s="147">
        <f t="shared" si="16"/>
        <v>0</v>
      </c>
      <c r="CI62" s="147">
        <f t="shared" si="16"/>
        <v>0</v>
      </c>
      <c r="CJ62" s="147">
        <f t="shared" si="16"/>
        <v>0</v>
      </c>
      <c r="CK62" s="147">
        <f t="shared" si="16"/>
        <v>0</v>
      </c>
      <c r="CL62" s="147">
        <f t="shared" si="16"/>
        <v>0</v>
      </c>
      <c r="CM62" s="147">
        <f t="shared" si="16"/>
        <v>0</v>
      </c>
      <c r="CN62" s="47">
        <f t="shared" si="16"/>
        <v>0</v>
      </c>
      <c r="CO62" s="147">
        <f t="shared" si="16"/>
        <v>0</v>
      </c>
      <c r="CP62" s="147">
        <f t="shared" si="16"/>
        <v>0</v>
      </c>
      <c r="CQ62" s="147">
        <f t="shared" si="16"/>
        <v>0</v>
      </c>
      <c r="CR62" s="147">
        <f t="shared" si="16"/>
        <v>0</v>
      </c>
      <c r="CS62" s="147">
        <f t="shared" si="16"/>
        <v>0</v>
      </c>
      <c r="CT62" s="147">
        <f t="shared" si="16"/>
        <v>0</v>
      </c>
    </row>
    <row r="63" spans="4:98">
      <c r="D63" s="47">
        <f t="shared" si="12"/>
        <v>4.3999999999999997E-2</v>
      </c>
      <c r="E63" s="47">
        <f t="shared" si="17"/>
        <v>0.02</v>
      </c>
      <c r="F63" s="47">
        <f t="shared" si="17"/>
        <v>3.3000000000000002E-2</v>
      </c>
      <c r="G63" s="47">
        <f t="shared" si="17"/>
        <v>3.6999999999999998E-2</v>
      </c>
      <c r="H63" s="47">
        <f t="shared" si="17"/>
        <v>4.4999999999999998E-2</v>
      </c>
      <c r="I63" s="47">
        <f t="shared" si="17"/>
        <v>3.5999999999999997E-2</v>
      </c>
      <c r="J63" s="47">
        <f t="shared" si="17"/>
        <v>0.04</v>
      </c>
      <c r="K63" s="47">
        <f t="shared" si="17"/>
        <v>3.3000000000000002E-2</v>
      </c>
      <c r="L63" s="47">
        <f t="shared" si="17"/>
        <v>3.7999999999999999E-2</v>
      </c>
      <c r="M63" s="47">
        <f t="shared" si="17"/>
        <v>4.1000000000000002E-2</v>
      </c>
      <c r="N63" s="47">
        <f t="shared" si="17"/>
        <v>2.1999999999999999E-2</v>
      </c>
      <c r="O63" s="47">
        <f t="shared" si="17"/>
        <v>4.7E-2</v>
      </c>
      <c r="P63" s="47">
        <f t="shared" si="17"/>
        <v>3.2000000000000001E-2</v>
      </c>
      <c r="Q63" s="47">
        <f t="shared" si="17"/>
        <v>7.8E-2</v>
      </c>
      <c r="R63" s="47">
        <f t="shared" si="17"/>
        <v>2.5999999999999999E-2</v>
      </c>
      <c r="S63" s="47">
        <f t="shared" si="17"/>
        <v>0.04</v>
      </c>
      <c r="T63" s="47">
        <f t="shared" si="17"/>
        <v>2.5999999999999999E-2</v>
      </c>
      <c r="U63" s="47">
        <f t="shared" si="17"/>
        <v>4.2000000000000003E-2</v>
      </c>
      <c r="V63" s="147">
        <f t="shared" si="17"/>
        <v>1.6E-2</v>
      </c>
      <c r="W63" s="147">
        <f t="shared" si="17"/>
        <v>1.9E-2</v>
      </c>
      <c r="X63" s="147">
        <f t="shared" si="17"/>
        <v>0.02</v>
      </c>
      <c r="Y63" s="147">
        <f t="shared" si="17"/>
        <v>1.9E-2</v>
      </c>
      <c r="Z63" s="147">
        <f t="shared" si="17"/>
        <v>1.7999999999999999E-2</v>
      </c>
      <c r="AA63" s="147">
        <f t="shared" si="17"/>
        <v>1.7000000000000001E-2</v>
      </c>
      <c r="AB63" s="147">
        <f t="shared" si="17"/>
        <v>1.4999999999999999E-2</v>
      </c>
      <c r="AC63" s="147">
        <f t="shared" si="17"/>
        <v>1.7000000000000001E-2</v>
      </c>
      <c r="AD63" s="147">
        <f t="shared" si="17"/>
        <v>0</v>
      </c>
      <c r="AE63" s="147">
        <f t="shared" si="17"/>
        <v>0</v>
      </c>
      <c r="AF63" s="147">
        <f t="shared" si="17"/>
        <v>0</v>
      </c>
      <c r="AG63" s="147">
        <f t="shared" si="17"/>
        <v>0</v>
      </c>
      <c r="AH63" s="147">
        <f t="shared" si="17"/>
        <v>0</v>
      </c>
      <c r="AI63" s="147">
        <f t="shared" si="17"/>
        <v>6.0000000000000001E-3</v>
      </c>
      <c r="AJ63" s="147">
        <f t="shared" si="17"/>
        <v>1.4999999999999999E-2</v>
      </c>
      <c r="AK63" s="147">
        <f t="shared" si="17"/>
        <v>2.8000000000000001E-2</v>
      </c>
      <c r="AL63" s="147">
        <f t="shared" si="17"/>
        <v>3.1E-2</v>
      </c>
      <c r="AM63" s="147">
        <f t="shared" si="17"/>
        <v>0</v>
      </c>
      <c r="AN63" s="147">
        <f t="shared" si="17"/>
        <v>0</v>
      </c>
      <c r="AO63" s="147">
        <f t="shared" si="17"/>
        <v>4.3999999999999997E-2</v>
      </c>
      <c r="AP63" s="147">
        <f t="shared" si="17"/>
        <v>0</v>
      </c>
      <c r="AQ63" s="147">
        <f t="shared" si="17"/>
        <v>0</v>
      </c>
      <c r="AR63" s="147">
        <f t="shared" si="17"/>
        <v>0</v>
      </c>
      <c r="AS63" s="147">
        <f t="shared" si="17"/>
        <v>0</v>
      </c>
      <c r="AT63" s="147">
        <f t="shared" si="17"/>
        <v>7.0000000000000001E-3</v>
      </c>
      <c r="AU63" s="147">
        <f t="shared" si="17"/>
        <v>7.0000000000000001E-3</v>
      </c>
      <c r="AV63" s="147">
        <f t="shared" si="17"/>
        <v>5.0000000000000001E-3</v>
      </c>
      <c r="AW63" s="147">
        <f t="shared" si="17"/>
        <v>2.1999999999999999E-2</v>
      </c>
      <c r="AX63" s="147">
        <f t="shared" si="17"/>
        <v>2.4E-2</v>
      </c>
      <c r="AY63" s="147">
        <f t="shared" si="17"/>
        <v>0</v>
      </c>
      <c r="AZ63" s="147">
        <f t="shared" si="17"/>
        <v>3.3000000000000002E-2</v>
      </c>
      <c r="BA63" s="147">
        <f t="shared" si="17"/>
        <v>0</v>
      </c>
      <c r="BB63" s="147">
        <f t="shared" si="17"/>
        <v>3.4000000000000002E-2</v>
      </c>
      <c r="BC63" s="147">
        <f t="shared" si="17"/>
        <v>1.4E-2</v>
      </c>
      <c r="BD63" s="147">
        <f t="shared" si="17"/>
        <v>0</v>
      </c>
      <c r="BE63" s="147">
        <f t="shared" si="17"/>
        <v>0</v>
      </c>
      <c r="BF63" s="147">
        <f t="shared" si="17"/>
        <v>1.0999999999999999E-2</v>
      </c>
      <c r="BG63" s="147">
        <f t="shared" si="17"/>
        <v>0</v>
      </c>
      <c r="BH63" s="147">
        <f t="shared" si="17"/>
        <v>4.8000000000000001E-2</v>
      </c>
      <c r="BI63" s="147">
        <f t="shared" si="17"/>
        <v>0</v>
      </c>
      <c r="BJ63" s="147">
        <f t="shared" si="17"/>
        <v>5.6000000000000001E-2</v>
      </c>
      <c r="BK63" s="147">
        <f t="shared" si="17"/>
        <v>4.1000000000000002E-2</v>
      </c>
      <c r="BL63" s="147">
        <f t="shared" si="17"/>
        <v>3.4000000000000002E-2</v>
      </c>
      <c r="BM63" s="147">
        <f t="shared" si="17"/>
        <v>2.3E-2</v>
      </c>
      <c r="BN63" s="147">
        <f t="shared" si="17"/>
        <v>3.4000000000000002E-2</v>
      </c>
      <c r="BO63" s="147">
        <f t="shared" si="17"/>
        <v>0</v>
      </c>
      <c r="BP63" s="147">
        <f t="shared" ref="BP63:CT66" si="18">BP26/1.01</f>
        <v>0</v>
      </c>
      <c r="BQ63" s="147">
        <f t="shared" si="18"/>
        <v>0</v>
      </c>
      <c r="BR63" s="147">
        <f t="shared" si="18"/>
        <v>0</v>
      </c>
      <c r="BS63" s="147">
        <f t="shared" si="18"/>
        <v>1.6E-2</v>
      </c>
      <c r="BT63" s="147">
        <f t="shared" si="18"/>
        <v>3.2000000000000001E-2</v>
      </c>
      <c r="BU63" s="147">
        <f t="shared" si="18"/>
        <v>2.3E-2</v>
      </c>
      <c r="BV63" s="147">
        <f t="shared" si="18"/>
        <v>3.9E-2</v>
      </c>
      <c r="BW63" s="147">
        <f t="shared" si="18"/>
        <v>0</v>
      </c>
      <c r="BX63" s="147">
        <f t="shared" si="18"/>
        <v>2.1999999999999999E-2</v>
      </c>
      <c r="BY63" s="147">
        <f t="shared" si="18"/>
        <v>2.4E-2</v>
      </c>
      <c r="BZ63" s="147">
        <f t="shared" si="18"/>
        <v>1.2E-2</v>
      </c>
      <c r="CA63" s="147">
        <f t="shared" si="18"/>
        <v>1.2999999999999999E-2</v>
      </c>
      <c r="CB63" s="147">
        <f t="shared" si="18"/>
        <v>1.4E-2</v>
      </c>
      <c r="CC63" s="147">
        <f t="shared" si="18"/>
        <v>1.4999999999999999E-2</v>
      </c>
      <c r="CD63" s="147">
        <f t="shared" si="18"/>
        <v>1.4999999999999999E-2</v>
      </c>
      <c r="CE63" s="147">
        <f t="shared" si="18"/>
        <v>0</v>
      </c>
      <c r="CF63" s="147">
        <f t="shared" si="18"/>
        <v>3.6999999999999998E-2</v>
      </c>
      <c r="CG63" s="147">
        <f t="shared" si="18"/>
        <v>2.1000000000000001E-2</v>
      </c>
      <c r="CH63" s="147">
        <f t="shared" si="18"/>
        <v>2.1000000000000001E-2</v>
      </c>
      <c r="CI63" s="147">
        <f t="shared" si="18"/>
        <v>0</v>
      </c>
      <c r="CJ63" s="147">
        <f t="shared" si="18"/>
        <v>0</v>
      </c>
      <c r="CK63" s="147">
        <f t="shared" si="18"/>
        <v>0</v>
      </c>
      <c r="CL63" s="147">
        <f t="shared" si="18"/>
        <v>0.10199999999999999</v>
      </c>
      <c r="CM63" s="147">
        <f t="shared" si="18"/>
        <v>5.6000000000000001E-2</v>
      </c>
      <c r="CN63" s="47">
        <f t="shared" si="18"/>
        <v>0</v>
      </c>
      <c r="CO63" s="147">
        <f t="shared" si="18"/>
        <v>0</v>
      </c>
      <c r="CP63" s="147">
        <f t="shared" si="18"/>
        <v>0</v>
      </c>
      <c r="CQ63" s="147">
        <f t="shared" si="18"/>
        <v>0</v>
      </c>
      <c r="CR63" s="147">
        <f t="shared" si="18"/>
        <v>0</v>
      </c>
      <c r="CS63" s="147">
        <f t="shared" si="18"/>
        <v>0</v>
      </c>
      <c r="CT63" s="147">
        <f t="shared" si="18"/>
        <v>0</v>
      </c>
    </row>
    <row r="64" spans="4:98">
      <c r="D64" s="47">
        <f t="shared" si="12"/>
        <v>2E-3</v>
      </c>
      <c r="E64" s="47">
        <f t="shared" ref="E64:BP67" si="19">E27/1.01</f>
        <v>1E-3</v>
      </c>
      <c r="F64" s="47">
        <f t="shared" si="19"/>
        <v>2E-3</v>
      </c>
      <c r="G64" s="47">
        <f t="shared" si="19"/>
        <v>2E-3</v>
      </c>
      <c r="H64" s="47">
        <f t="shared" si="19"/>
        <v>2E-3</v>
      </c>
      <c r="I64" s="47">
        <f t="shared" si="19"/>
        <v>1E-3</v>
      </c>
      <c r="J64" s="47">
        <f t="shared" si="19"/>
        <v>2E-3</v>
      </c>
      <c r="K64" s="47">
        <f t="shared" si="19"/>
        <v>2E-3</v>
      </c>
      <c r="L64" s="47">
        <f t="shared" si="19"/>
        <v>2E-3</v>
      </c>
      <c r="M64" s="47">
        <f t="shared" si="19"/>
        <v>2E-3</v>
      </c>
      <c r="N64" s="47">
        <f t="shared" si="19"/>
        <v>2E-3</v>
      </c>
      <c r="O64" s="47">
        <f t="shared" si="19"/>
        <v>2E-3</v>
      </c>
      <c r="P64" s="47">
        <f t="shared" si="19"/>
        <v>2E-3</v>
      </c>
      <c r="Q64" s="47">
        <f t="shared" si="19"/>
        <v>2E-3</v>
      </c>
      <c r="R64" s="47">
        <f t="shared" si="19"/>
        <v>1E-3</v>
      </c>
      <c r="S64" s="47">
        <f t="shared" si="19"/>
        <v>2E-3</v>
      </c>
      <c r="T64" s="47">
        <f t="shared" si="19"/>
        <v>1E-3</v>
      </c>
      <c r="U64" s="47">
        <f t="shared" si="19"/>
        <v>2E-3</v>
      </c>
      <c r="V64" s="147">
        <f t="shared" si="19"/>
        <v>1E-3</v>
      </c>
      <c r="W64" s="147">
        <f t="shared" si="19"/>
        <v>1E-3</v>
      </c>
      <c r="X64" s="147">
        <f t="shared" si="19"/>
        <v>1E-3</v>
      </c>
      <c r="Y64" s="147">
        <f t="shared" si="19"/>
        <v>2E-3</v>
      </c>
      <c r="Z64" s="147">
        <f t="shared" si="19"/>
        <v>1E-3</v>
      </c>
      <c r="AA64" s="147">
        <f t="shared" si="19"/>
        <v>1E-3</v>
      </c>
      <c r="AB64" s="147">
        <f t="shared" si="19"/>
        <v>1E-3</v>
      </c>
      <c r="AC64" s="147">
        <f t="shared" si="19"/>
        <v>1E-3</v>
      </c>
      <c r="AD64" s="147">
        <f t="shared" si="19"/>
        <v>0</v>
      </c>
      <c r="AE64" s="147">
        <f t="shared" si="19"/>
        <v>0</v>
      </c>
      <c r="AF64" s="147">
        <f t="shared" si="19"/>
        <v>0</v>
      </c>
      <c r="AG64" s="147">
        <f t="shared" si="19"/>
        <v>0</v>
      </c>
      <c r="AH64" s="147">
        <f t="shared" si="19"/>
        <v>0</v>
      </c>
      <c r="AI64" s="147">
        <f t="shared" si="19"/>
        <v>1E-3</v>
      </c>
      <c r="AJ64" s="147">
        <f t="shared" si="19"/>
        <v>1E-3</v>
      </c>
      <c r="AK64" s="147">
        <f t="shared" si="19"/>
        <v>1E-3</v>
      </c>
      <c r="AL64" s="147">
        <f t="shared" si="19"/>
        <v>2E-3</v>
      </c>
      <c r="AM64" s="147">
        <f t="shared" si="19"/>
        <v>0</v>
      </c>
      <c r="AN64" s="147">
        <f t="shared" si="19"/>
        <v>0</v>
      </c>
      <c r="AO64" s="147">
        <f t="shared" si="19"/>
        <v>2E-3</v>
      </c>
      <c r="AP64" s="147">
        <f t="shared" si="19"/>
        <v>0</v>
      </c>
      <c r="AQ64" s="147">
        <f t="shared" si="19"/>
        <v>0</v>
      </c>
      <c r="AR64" s="147">
        <f t="shared" si="19"/>
        <v>0</v>
      </c>
      <c r="AS64" s="147">
        <f t="shared" si="19"/>
        <v>3.0000000000000001E-3</v>
      </c>
      <c r="AT64" s="147">
        <f t="shared" si="19"/>
        <v>0</v>
      </c>
      <c r="AU64" s="147">
        <f t="shared" si="19"/>
        <v>0</v>
      </c>
      <c r="AV64" s="147">
        <f t="shared" si="19"/>
        <v>0</v>
      </c>
      <c r="AW64" s="147">
        <f t="shared" si="19"/>
        <v>1E-3</v>
      </c>
      <c r="AX64" s="147">
        <f t="shared" si="19"/>
        <v>1E-3</v>
      </c>
      <c r="AY64" s="147">
        <f t="shared" si="19"/>
        <v>0</v>
      </c>
      <c r="AZ64" s="147">
        <f t="shared" si="19"/>
        <v>2E-3</v>
      </c>
      <c r="BA64" s="147">
        <f t="shared" si="19"/>
        <v>0</v>
      </c>
      <c r="BB64" s="147">
        <f t="shared" si="19"/>
        <v>1E-3</v>
      </c>
      <c r="BC64" s="147">
        <f t="shared" si="19"/>
        <v>1E-3</v>
      </c>
      <c r="BD64" s="147">
        <f t="shared" si="19"/>
        <v>0</v>
      </c>
      <c r="BE64" s="147">
        <f t="shared" si="19"/>
        <v>0</v>
      </c>
      <c r="BF64" s="147">
        <f t="shared" si="19"/>
        <v>1E-3</v>
      </c>
      <c r="BG64" s="147">
        <f t="shared" si="19"/>
        <v>0</v>
      </c>
      <c r="BH64" s="147">
        <f t="shared" si="19"/>
        <v>2E-3</v>
      </c>
      <c r="BI64" s="147">
        <f t="shared" si="19"/>
        <v>0</v>
      </c>
      <c r="BJ64" s="147">
        <f t="shared" si="19"/>
        <v>1E-3</v>
      </c>
      <c r="BK64" s="147">
        <f t="shared" si="19"/>
        <v>2E-3</v>
      </c>
      <c r="BL64" s="147">
        <f t="shared" si="19"/>
        <v>2E-3</v>
      </c>
      <c r="BM64" s="147">
        <f t="shared" si="19"/>
        <v>1E-3</v>
      </c>
      <c r="BN64" s="147">
        <f t="shared" si="19"/>
        <v>2E-3</v>
      </c>
      <c r="BO64" s="147">
        <f t="shared" si="19"/>
        <v>0</v>
      </c>
      <c r="BP64" s="147">
        <f t="shared" si="19"/>
        <v>0</v>
      </c>
      <c r="BQ64" s="147">
        <f t="shared" si="18"/>
        <v>0</v>
      </c>
      <c r="BR64" s="147">
        <f t="shared" si="18"/>
        <v>0</v>
      </c>
      <c r="BS64" s="147">
        <f t="shared" si="18"/>
        <v>1E-3</v>
      </c>
      <c r="BT64" s="147">
        <f t="shared" si="18"/>
        <v>2E-3</v>
      </c>
      <c r="BU64" s="147">
        <f t="shared" si="18"/>
        <v>1E-3</v>
      </c>
      <c r="BV64" s="147">
        <f t="shared" si="18"/>
        <v>2E-3</v>
      </c>
      <c r="BW64" s="147">
        <f t="shared" si="18"/>
        <v>0</v>
      </c>
      <c r="BX64" s="147">
        <f t="shared" si="18"/>
        <v>1E-3</v>
      </c>
      <c r="BY64" s="147">
        <f t="shared" si="18"/>
        <v>1E-3</v>
      </c>
      <c r="BZ64" s="147">
        <f t="shared" si="18"/>
        <v>1E-3</v>
      </c>
      <c r="CA64" s="147">
        <f t="shared" si="18"/>
        <v>1E-3</v>
      </c>
      <c r="CB64" s="147">
        <f t="shared" si="18"/>
        <v>1E-3</v>
      </c>
      <c r="CC64" s="147">
        <f t="shared" si="18"/>
        <v>1E-3</v>
      </c>
      <c r="CD64" s="147">
        <f t="shared" si="18"/>
        <v>1E-3</v>
      </c>
      <c r="CE64" s="147">
        <f t="shared" si="18"/>
        <v>0</v>
      </c>
      <c r="CF64" s="147">
        <f t="shared" si="18"/>
        <v>1E-3</v>
      </c>
      <c r="CG64" s="147">
        <f t="shared" si="18"/>
        <v>1E-3</v>
      </c>
      <c r="CH64" s="147">
        <f t="shared" si="18"/>
        <v>1E-3</v>
      </c>
      <c r="CI64" s="147">
        <f t="shared" si="18"/>
        <v>0</v>
      </c>
      <c r="CJ64" s="147">
        <f t="shared" si="18"/>
        <v>0</v>
      </c>
      <c r="CK64" s="147">
        <f t="shared" si="18"/>
        <v>0</v>
      </c>
      <c r="CL64" s="147">
        <f t="shared" si="18"/>
        <v>0</v>
      </c>
      <c r="CM64" s="147">
        <f t="shared" si="18"/>
        <v>3.0000000000000001E-3</v>
      </c>
      <c r="CN64" s="47">
        <f t="shared" si="18"/>
        <v>0</v>
      </c>
      <c r="CO64" s="147">
        <f t="shared" si="18"/>
        <v>0</v>
      </c>
      <c r="CP64" s="147">
        <f t="shared" si="18"/>
        <v>0</v>
      </c>
      <c r="CQ64" s="147">
        <f t="shared" si="18"/>
        <v>0</v>
      </c>
      <c r="CR64" s="147">
        <f t="shared" si="18"/>
        <v>0</v>
      </c>
      <c r="CS64" s="147">
        <f t="shared" si="18"/>
        <v>0</v>
      </c>
      <c r="CT64" s="147">
        <f t="shared" si="18"/>
        <v>0</v>
      </c>
    </row>
    <row r="65" spans="4:98">
      <c r="D65" s="47">
        <f t="shared" si="12"/>
        <v>6.9000000000000006E-2</v>
      </c>
      <c r="E65" s="47">
        <f t="shared" si="19"/>
        <v>3.3000000000000002E-2</v>
      </c>
      <c r="F65" s="47">
        <f t="shared" si="19"/>
        <v>4.7E-2</v>
      </c>
      <c r="G65" s="47">
        <f t="shared" si="19"/>
        <v>3.1E-2</v>
      </c>
      <c r="H65" s="47">
        <f t="shared" si="19"/>
        <v>6.2E-2</v>
      </c>
      <c r="I65" s="47">
        <f t="shared" si="19"/>
        <v>2.9000000000000001E-2</v>
      </c>
      <c r="J65" s="47">
        <f t="shared" si="19"/>
        <v>6.4000000000000001E-2</v>
      </c>
      <c r="K65" s="47">
        <f t="shared" si="19"/>
        <v>2.9000000000000001E-2</v>
      </c>
      <c r="L65" s="47">
        <f t="shared" si="19"/>
        <v>4.4999999999999998E-2</v>
      </c>
      <c r="M65" s="47">
        <f t="shared" si="19"/>
        <v>4.2999999999999997E-2</v>
      </c>
      <c r="N65" s="47">
        <f t="shared" si="19"/>
        <v>4.2000000000000003E-2</v>
      </c>
      <c r="O65" s="47">
        <f t="shared" si="19"/>
        <v>7.4999999999999997E-2</v>
      </c>
      <c r="P65" s="47">
        <f t="shared" si="19"/>
        <v>3.3000000000000002E-2</v>
      </c>
      <c r="Q65" s="47">
        <f t="shared" si="19"/>
        <v>2.5999999999999999E-2</v>
      </c>
      <c r="R65" s="47">
        <f t="shared" si="19"/>
        <v>3.1E-2</v>
      </c>
      <c r="S65" s="47">
        <f t="shared" si="19"/>
        <v>4.1000000000000002E-2</v>
      </c>
      <c r="T65" s="47">
        <f t="shared" si="19"/>
        <v>4.2999999999999997E-2</v>
      </c>
      <c r="U65" s="47">
        <f t="shared" si="19"/>
        <v>7.0999999999999994E-2</v>
      </c>
      <c r="V65" s="147">
        <f t="shared" si="19"/>
        <v>3.5000000000000003E-2</v>
      </c>
      <c r="W65" s="147">
        <f t="shared" si="19"/>
        <v>2.5000000000000001E-2</v>
      </c>
      <c r="X65" s="147">
        <f t="shared" si="19"/>
        <v>2.8000000000000001E-2</v>
      </c>
      <c r="Y65" s="147">
        <f t="shared" si="19"/>
        <v>2.8000000000000001E-2</v>
      </c>
      <c r="Z65" s="147">
        <f t="shared" si="19"/>
        <v>3.5999999999999997E-2</v>
      </c>
      <c r="AA65" s="147">
        <f t="shared" si="19"/>
        <v>3.5999999999999997E-2</v>
      </c>
      <c r="AB65" s="147">
        <f t="shared" si="19"/>
        <v>4.2000000000000003E-2</v>
      </c>
      <c r="AC65" s="147">
        <f t="shared" si="19"/>
        <v>3.9E-2</v>
      </c>
      <c r="AD65" s="147">
        <f t="shared" si="19"/>
        <v>0.111</v>
      </c>
      <c r="AE65" s="147">
        <f t="shared" si="19"/>
        <v>8.6999999999999994E-2</v>
      </c>
      <c r="AF65" s="147">
        <f t="shared" si="19"/>
        <v>7.4999999999999997E-2</v>
      </c>
      <c r="AG65" s="147">
        <f t="shared" si="19"/>
        <v>9.6000000000000002E-2</v>
      </c>
      <c r="AH65" s="147">
        <f t="shared" si="19"/>
        <v>2.1000000000000001E-2</v>
      </c>
      <c r="AI65" s="147">
        <f t="shared" si="19"/>
        <v>0.03</v>
      </c>
      <c r="AJ65" s="147">
        <f t="shared" si="19"/>
        <v>0.03</v>
      </c>
      <c r="AK65" s="147">
        <f t="shared" si="19"/>
        <v>3.4000000000000002E-2</v>
      </c>
      <c r="AL65" s="147">
        <f t="shared" si="19"/>
        <v>2.1000000000000001E-2</v>
      </c>
      <c r="AM65" s="147">
        <f t="shared" si="19"/>
        <v>0.04</v>
      </c>
      <c r="AN65" s="147">
        <f t="shared" si="19"/>
        <v>1.9E-2</v>
      </c>
      <c r="AO65" s="147">
        <f t="shared" si="19"/>
        <v>0.16500000000000001</v>
      </c>
      <c r="AP65" s="147">
        <f t="shared" si="19"/>
        <v>7.8E-2</v>
      </c>
      <c r="AQ65" s="147">
        <f t="shared" si="19"/>
        <v>6.7000000000000004E-2</v>
      </c>
      <c r="AR65" s="147">
        <f t="shared" si="19"/>
        <v>3.3000000000000002E-2</v>
      </c>
      <c r="AS65" s="147">
        <f t="shared" si="19"/>
        <v>4.7E-2</v>
      </c>
      <c r="AT65" s="147">
        <f t="shared" si="19"/>
        <v>0.05</v>
      </c>
      <c r="AU65" s="147">
        <f t="shared" si="19"/>
        <v>5.1999999999999998E-2</v>
      </c>
      <c r="AV65" s="147">
        <f t="shared" si="19"/>
        <v>4.8000000000000001E-2</v>
      </c>
      <c r="AW65" s="147">
        <f t="shared" si="19"/>
        <v>3.2000000000000001E-2</v>
      </c>
      <c r="AX65" s="147">
        <f t="shared" si="19"/>
        <v>3.1E-2</v>
      </c>
      <c r="AY65" s="147">
        <f t="shared" si="19"/>
        <v>3.4000000000000002E-2</v>
      </c>
      <c r="AZ65" s="147">
        <f t="shared" si="19"/>
        <v>4.8000000000000001E-2</v>
      </c>
      <c r="BA65" s="147">
        <f t="shared" si="19"/>
        <v>0.05</v>
      </c>
      <c r="BB65" s="147">
        <f t="shared" si="19"/>
        <v>3.5000000000000003E-2</v>
      </c>
      <c r="BC65" s="147">
        <f t="shared" si="19"/>
        <v>3.4000000000000002E-2</v>
      </c>
      <c r="BD65" s="147">
        <f t="shared" si="19"/>
        <v>0.28899999999999998</v>
      </c>
      <c r="BE65" s="147">
        <f t="shared" si="19"/>
        <v>6.6000000000000003E-2</v>
      </c>
      <c r="BF65" s="147">
        <f t="shared" si="19"/>
        <v>2.8000000000000001E-2</v>
      </c>
      <c r="BG65" s="147">
        <f t="shared" si="19"/>
        <v>0.184</v>
      </c>
      <c r="BH65" s="147">
        <f t="shared" si="19"/>
        <v>6.7000000000000004E-2</v>
      </c>
      <c r="BI65" s="147">
        <f t="shared" si="19"/>
        <v>0.183</v>
      </c>
      <c r="BJ65" s="147">
        <f t="shared" si="19"/>
        <v>3.5999999999999997E-2</v>
      </c>
      <c r="BK65" s="147">
        <f t="shared" si="19"/>
        <v>1.4999999999999999E-2</v>
      </c>
      <c r="BL65" s="147">
        <f t="shared" si="19"/>
        <v>5.7000000000000002E-2</v>
      </c>
      <c r="BM65" s="147">
        <f t="shared" si="19"/>
        <v>2.5999999999999999E-2</v>
      </c>
      <c r="BN65" s="147">
        <f t="shared" si="19"/>
        <v>0.03</v>
      </c>
      <c r="BO65" s="147">
        <f t="shared" si="19"/>
        <v>8.9999999999999993E-3</v>
      </c>
      <c r="BP65" s="147">
        <f t="shared" si="19"/>
        <v>0.186</v>
      </c>
      <c r="BQ65" s="147">
        <f t="shared" si="18"/>
        <v>0.191</v>
      </c>
      <c r="BR65" s="147">
        <f t="shared" si="18"/>
        <v>2.8000000000000001E-2</v>
      </c>
      <c r="BS65" s="147">
        <f t="shared" si="18"/>
        <v>4.7E-2</v>
      </c>
      <c r="BT65" s="147">
        <f t="shared" si="18"/>
        <v>0.16700000000000001</v>
      </c>
      <c r="BU65" s="147">
        <f t="shared" si="18"/>
        <v>3.5000000000000003E-2</v>
      </c>
      <c r="BV65" s="147">
        <f t="shared" si="18"/>
        <v>6.8000000000000005E-2</v>
      </c>
      <c r="BW65" s="147">
        <f t="shared" si="18"/>
        <v>3.4000000000000002E-2</v>
      </c>
      <c r="BX65" s="147">
        <f t="shared" si="18"/>
        <v>3.1E-2</v>
      </c>
      <c r="BY65" s="147">
        <f t="shared" si="18"/>
        <v>3.1E-2</v>
      </c>
      <c r="BZ65" s="147">
        <f t="shared" si="18"/>
        <v>3.6999999999999998E-2</v>
      </c>
      <c r="CA65" s="147">
        <f t="shared" si="18"/>
        <v>3.5999999999999997E-2</v>
      </c>
      <c r="CB65" s="147">
        <f t="shared" si="18"/>
        <v>0.06</v>
      </c>
      <c r="CC65" s="147">
        <f t="shared" si="18"/>
        <v>0.06</v>
      </c>
      <c r="CD65" s="147">
        <f t="shared" si="18"/>
        <v>5.7000000000000002E-2</v>
      </c>
      <c r="CE65" s="147">
        <f t="shared" si="18"/>
        <v>0.24099999999999999</v>
      </c>
      <c r="CF65" s="147">
        <f t="shared" si="18"/>
        <v>2.8000000000000001E-2</v>
      </c>
      <c r="CG65" s="147">
        <f t="shared" si="18"/>
        <v>5.8000000000000003E-2</v>
      </c>
      <c r="CH65" s="147">
        <f t="shared" si="18"/>
        <v>5.8000000000000003E-2</v>
      </c>
      <c r="CI65" s="147">
        <f t="shared" si="18"/>
        <v>9.4E-2</v>
      </c>
      <c r="CJ65" s="147">
        <f t="shared" si="18"/>
        <v>9.5000000000000001E-2</v>
      </c>
      <c r="CK65" s="147">
        <f t="shared" si="18"/>
        <v>5.7000000000000002E-2</v>
      </c>
      <c r="CL65" s="147">
        <f t="shared" si="18"/>
        <v>6.9000000000000006E-2</v>
      </c>
      <c r="CM65" s="147">
        <f t="shared" si="18"/>
        <v>6.2E-2</v>
      </c>
      <c r="CN65" s="47">
        <f t="shared" si="18"/>
        <v>0.13200000000000001</v>
      </c>
      <c r="CO65" s="147">
        <f t="shared" si="18"/>
        <v>0.26200000000000001</v>
      </c>
      <c r="CP65" s="147">
        <f t="shared" si="18"/>
        <v>0.26700000000000002</v>
      </c>
      <c r="CQ65" s="147">
        <f t="shared" si="18"/>
        <v>0.26400000000000001</v>
      </c>
      <c r="CR65" s="147">
        <f t="shared" si="18"/>
        <v>0.26300000000000001</v>
      </c>
      <c r="CS65" s="147">
        <f t="shared" si="18"/>
        <v>0.28399999999999997</v>
      </c>
      <c r="CT65" s="147">
        <f t="shared" si="18"/>
        <v>2.4E-2</v>
      </c>
    </row>
    <row r="66" spans="4:98">
      <c r="D66" s="47">
        <f t="shared" si="12"/>
        <v>8.8999999999999996E-2</v>
      </c>
      <c r="E66" s="47">
        <f t="shared" si="19"/>
        <v>4.3999999999999997E-2</v>
      </c>
      <c r="F66" s="47">
        <f t="shared" si="19"/>
        <v>0.106</v>
      </c>
      <c r="G66" s="47">
        <f t="shared" si="19"/>
        <v>0.124</v>
      </c>
      <c r="H66" s="47">
        <f t="shared" si="19"/>
        <v>0.112</v>
      </c>
      <c r="I66" s="47">
        <f t="shared" si="19"/>
        <v>0.13400000000000001</v>
      </c>
      <c r="J66" s="47">
        <f t="shared" si="19"/>
        <v>0.125</v>
      </c>
      <c r="K66" s="47">
        <f t="shared" si="19"/>
        <v>0.13400000000000001</v>
      </c>
      <c r="L66" s="47">
        <f t="shared" si="19"/>
        <v>0.16800000000000001</v>
      </c>
      <c r="M66" s="47">
        <f t="shared" si="19"/>
        <v>0.17599999999999999</v>
      </c>
      <c r="N66" s="47">
        <f t="shared" si="19"/>
        <v>0.16300000000000001</v>
      </c>
      <c r="O66" s="47">
        <f t="shared" si="19"/>
        <v>9.0999999999999998E-2</v>
      </c>
      <c r="P66" s="47">
        <f t="shared" si="19"/>
        <v>0.10299999999999999</v>
      </c>
      <c r="Q66" s="47">
        <f t="shared" si="19"/>
        <v>0.14099999999999999</v>
      </c>
      <c r="R66" s="47">
        <f t="shared" si="19"/>
        <v>5.1999999999999998E-2</v>
      </c>
      <c r="S66" s="47">
        <f t="shared" si="19"/>
        <v>0.106</v>
      </c>
      <c r="T66" s="47">
        <f t="shared" si="19"/>
        <v>4.5999999999999999E-2</v>
      </c>
      <c r="U66" s="47">
        <f t="shared" si="19"/>
        <v>0.104</v>
      </c>
      <c r="V66" s="147">
        <f t="shared" si="19"/>
        <v>0.06</v>
      </c>
      <c r="W66" s="147">
        <f t="shared" si="19"/>
        <v>8.1000000000000003E-2</v>
      </c>
      <c r="X66" s="147">
        <f t="shared" si="19"/>
        <v>0.113</v>
      </c>
      <c r="Y66" s="147">
        <f t="shared" si="19"/>
        <v>0.108</v>
      </c>
      <c r="Z66" s="147">
        <f t="shared" si="19"/>
        <v>0.151</v>
      </c>
      <c r="AA66" s="147">
        <f t="shared" si="19"/>
        <v>5.6000000000000001E-2</v>
      </c>
      <c r="AB66" s="147">
        <f t="shared" si="19"/>
        <v>4.3999999999999997E-2</v>
      </c>
      <c r="AC66" s="147">
        <f t="shared" si="19"/>
        <v>0.121</v>
      </c>
      <c r="AD66" s="147">
        <f t="shared" si="19"/>
        <v>0</v>
      </c>
      <c r="AE66" s="147">
        <f t="shared" si="19"/>
        <v>0</v>
      </c>
      <c r="AF66" s="147">
        <f t="shared" si="19"/>
        <v>0</v>
      </c>
      <c r="AG66" s="147">
        <f t="shared" si="19"/>
        <v>0</v>
      </c>
      <c r="AH66" s="147">
        <f t="shared" si="19"/>
        <v>9.5000000000000001E-2</v>
      </c>
      <c r="AI66" s="147">
        <f t="shared" si="19"/>
        <v>0.28699999999999998</v>
      </c>
      <c r="AJ66" s="147">
        <f t="shared" si="19"/>
        <v>0.17599999999999999</v>
      </c>
      <c r="AK66" s="147">
        <f t="shared" si="19"/>
        <v>0.27700000000000002</v>
      </c>
      <c r="AL66" s="147">
        <f t="shared" si="19"/>
        <v>0.26600000000000001</v>
      </c>
      <c r="AM66" s="147">
        <f t="shared" si="19"/>
        <v>0</v>
      </c>
      <c r="AN66" s="147">
        <f t="shared" si="19"/>
        <v>0.26200000000000001</v>
      </c>
      <c r="AO66" s="147">
        <f t="shared" si="19"/>
        <v>0.30099999999999999</v>
      </c>
      <c r="AP66" s="147">
        <f t="shared" si="19"/>
        <v>0.18099999999999999</v>
      </c>
      <c r="AQ66" s="147">
        <f t="shared" si="19"/>
        <v>0</v>
      </c>
      <c r="AR66" s="147">
        <f t="shared" si="19"/>
        <v>0</v>
      </c>
      <c r="AS66" s="147">
        <f t="shared" si="19"/>
        <v>0.34300000000000003</v>
      </c>
      <c r="AT66" s="147">
        <f t="shared" si="19"/>
        <v>6.7000000000000004E-2</v>
      </c>
      <c r="AU66" s="147">
        <f t="shared" si="19"/>
        <v>6.5000000000000002E-2</v>
      </c>
      <c r="AV66" s="147">
        <f t="shared" si="19"/>
        <v>7.5999999999999998E-2</v>
      </c>
      <c r="AW66" s="147">
        <f t="shared" si="19"/>
        <v>6.4000000000000001E-2</v>
      </c>
      <c r="AX66" s="147">
        <f t="shared" si="19"/>
        <v>5.6000000000000001E-2</v>
      </c>
      <c r="AY66" s="147">
        <f t="shared" si="19"/>
        <v>0.11600000000000001</v>
      </c>
      <c r="AZ66" s="147">
        <f t="shared" si="19"/>
        <v>0.112</v>
      </c>
      <c r="BA66" s="147">
        <f t="shared" si="19"/>
        <v>0.10199999999999999</v>
      </c>
      <c r="BB66" s="147">
        <f t="shared" si="19"/>
        <v>8.4000000000000005E-2</v>
      </c>
      <c r="BC66" s="147">
        <f t="shared" si="19"/>
        <v>3.1E-2</v>
      </c>
      <c r="BD66" s="147">
        <f t="shared" si="19"/>
        <v>0.11600000000000001</v>
      </c>
      <c r="BE66" s="147">
        <f t="shared" si="19"/>
        <v>0.13900000000000001</v>
      </c>
      <c r="BF66" s="147">
        <f t="shared" si="19"/>
        <v>9.8000000000000004E-2</v>
      </c>
      <c r="BG66" s="147">
        <f t="shared" si="19"/>
        <v>0.22900000000000001</v>
      </c>
      <c r="BH66" s="147">
        <f t="shared" si="19"/>
        <v>0.104</v>
      </c>
      <c r="BI66" s="147">
        <f t="shared" si="19"/>
        <v>0.22700000000000001</v>
      </c>
      <c r="BJ66" s="147">
        <f t="shared" si="19"/>
        <v>0.13400000000000001</v>
      </c>
      <c r="BK66" s="147">
        <f t="shared" si="19"/>
        <v>0.20699999999999999</v>
      </c>
      <c r="BL66" s="147">
        <f t="shared" si="19"/>
        <v>0.11700000000000001</v>
      </c>
      <c r="BM66" s="147">
        <f t="shared" si="19"/>
        <v>3.5999999999999997E-2</v>
      </c>
      <c r="BN66" s="147">
        <f t="shared" si="19"/>
        <v>0.188</v>
      </c>
      <c r="BO66" s="147">
        <f t="shared" si="19"/>
        <v>9.0999999999999998E-2</v>
      </c>
      <c r="BP66" s="147">
        <f t="shared" si="19"/>
        <v>0.27900000000000003</v>
      </c>
      <c r="BQ66" s="147">
        <f t="shared" si="18"/>
        <v>0.28399999999999997</v>
      </c>
      <c r="BR66" s="147">
        <f t="shared" si="18"/>
        <v>0.154</v>
      </c>
      <c r="BS66" s="147">
        <f t="shared" si="18"/>
        <v>0.11899999999999999</v>
      </c>
      <c r="BT66" s="147">
        <f t="shared" si="18"/>
        <v>0.129</v>
      </c>
      <c r="BU66" s="147">
        <f t="shared" si="18"/>
        <v>0.108</v>
      </c>
      <c r="BV66" s="147">
        <f t="shared" si="18"/>
        <v>9.8000000000000004E-2</v>
      </c>
      <c r="BW66" s="147">
        <f t="shared" si="18"/>
        <v>0.11899999999999999</v>
      </c>
      <c r="BX66" s="147">
        <f t="shared" si="18"/>
        <v>5.5E-2</v>
      </c>
      <c r="BY66" s="147">
        <f t="shared" si="18"/>
        <v>7.6999999999999999E-2</v>
      </c>
      <c r="BZ66" s="147">
        <f t="shared" si="18"/>
        <v>4.5999999999999999E-2</v>
      </c>
      <c r="CA66" s="147">
        <f t="shared" si="18"/>
        <v>5.3999999999999999E-2</v>
      </c>
      <c r="CB66" s="147">
        <f t="shared" si="18"/>
        <v>7.2999999999999995E-2</v>
      </c>
      <c r="CC66" s="147">
        <f t="shared" si="18"/>
        <v>0.12</v>
      </c>
      <c r="CD66" s="147">
        <f t="shared" si="18"/>
        <v>8.5000000000000006E-2</v>
      </c>
      <c r="CE66" s="147">
        <f t="shared" si="18"/>
        <v>0</v>
      </c>
      <c r="CF66" s="147">
        <f t="shared" si="18"/>
        <v>0.13300000000000001</v>
      </c>
      <c r="CG66" s="147">
        <f t="shared" si="18"/>
        <v>5.1999999999999998E-2</v>
      </c>
      <c r="CH66" s="147">
        <f t="shared" si="18"/>
        <v>0.111</v>
      </c>
      <c r="CI66" s="147">
        <f t="shared" si="18"/>
        <v>0.23499999999999999</v>
      </c>
      <c r="CJ66" s="147">
        <f t="shared" si="18"/>
        <v>0.25</v>
      </c>
      <c r="CK66" s="147">
        <f t="shared" si="18"/>
        <v>0.42099999999999999</v>
      </c>
      <c r="CL66" s="147">
        <f t="shared" si="18"/>
        <v>0.378</v>
      </c>
      <c r="CM66" s="147">
        <f t="shared" si="18"/>
        <v>0.35599999999999998</v>
      </c>
      <c r="CN66" s="47">
        <f t="shared" si="18"/>
        <v>0</v>
      </c>
      <c r="CO66" s="147">
        <f t="shared" si="18"/>
        <v>4.2000000000000003E-2</v>
      </c>
      <c r="CP66" s="147">
        <f t="shared" si="18"/>
        <v>4.2999999999999997E-2</v>
      </c>
      <c r="CQ66" s="147">
        <f t="shared" si="18"/>
        <v>4.2000000000000003E-2</v>
      </c>
      <c r="CR66" s="147">
        <f t="shared" si="18"/>
        <v>4.2000000000000003E-2</v>
      </c>
      <c r="CS66" s="147">
        <f t="shared" si="18"/>
        <v>4.2000000000000003E-2</v>
      </c>
      <c r="CT66" s="147">
        <f t="shared" si="18"/>
        <v>0.04</v>
      </c>
    </row>
    <row r="67" spans="4:98">
      <c r="D67" s="47">
        <f t="shared" si="12"/>
        <v>0</v>
      </c>
      <c r="E67" s="47">
        <f t="shared" si="19"/>
        <v>0</v>
      </c>
      <c r="F67" s="47">
        <f t="shared" si="19"/>
        <v>0</v>
      </c>
      <c r="G67" s="47">
        <f t="shared" si="19"/>
        <v>0</v>
      </c>
      <c r="H67" s="47">
        <f t="shared" si="19"/>
        <v>0</v>
      </c>
      <c r="I67" s="47">
        <f t="shared" si="19"/>
        <v>0</v>
      </c>
      <c r="J67" s="47">
        <f t="shared" si="19"/>
        <v>0</v>
      </c>
      <c r="K67" s="47">
        <f t="shared" si="19"/>
        <v>0</v>
      </c>
      <c r="L67" s="47">
        <f t="shared" si="19"/>
        <v>0</v>
      </c>
      <c r="M67" s="47">
        <f t="shared" si="19"/>
        <v>0</v>
      </c>
      <c r="N67" s="47">
        <f t="shared" si="19"/>
        <v>0</v>
      </c>
      <c r="O67" s="47">
        <f t="shared" si="19"/>
        <v>0</v>
      </c>
      <c r="P67" s="47">
        <f t="shared" si="19"/>
        <v>0</v>
      </c>
      <c r="Q67" s="47">
        <f t="shared" si="19"/>
        <v>0</v>
      </c>
      <c r="R67" s="47">
        <f t="shared" si="19"/>
        <v>0</v>
      </c>
      <c r="S67" s="47">
        <f t="shared" si="19"/>
        <v>0</v>
      </c>
      <c r="T67" s="47">
        <f t="shared" si="19"/>
        <v>0</v>
      </c>
      <c r="U67" s="47">
        <f t="shared" si="19"/>
        <v>0</v>
      </c>
      <c r="V67" s="147">
        <f t="shared" si="19"/>
        <v>0</v>
      </c>
      <c r="W67" s="147">
        <f t="shared" si="19"/>
        <v>0</v>
      </c>
      <c r="X67" s="147">
        <f t="shared" si="19"/>
        <v>0</v>
      </c>
      <c r="Y67" s="147">
        <f t="shared" si="19"/>
        <v>0</v>
      </c>
      <c r="Z67" s="147">
        <f t="shared" si="19"/>
        <v>0</v>
      </c>
      <c r="AA67" s="147">
        <f t="shared" si="19"/>
        <v>0</v>
      </c>
      <c r="AB67" s="147">
        <f t="shared" si="19"/>
        <v>0</v>
      </c>
      <c r="AC67" s="147">
        <f t="shared" si="19"/>
        <v>0</v>
      </c>
      <c r="AD67" s="147">
        <f t="shared" si="19"/>
        <v>0</v>
      </c>
      <c r="AE67" s="147">
        <f t="shared" si="19"/>
        <v>0</v>
      </c>
      <c r="AF67" s="147">
        <f t="shared" si="19"/>
        <v>0</v>
      </c>
      <c r="AG67" s="147">
        <f t="shared" si="19"/>
        <v>0</v>
      </c>
      <c r="AH67" s="147">
        <f t="shared" si="19"/>
        <v>0</v>
      </c>
      <c r="AI67" s="147">
        <f t="shared" si="19"/>
        <v>0</v>
      </c>
      <c r="AJ67" s="147">
        <f t="shared" si="19"/>
        <v>0</v>
      </c>
      <c r="AK67" s="147">
        <f t="shared" si="19"/>
        <v>0</v>
      </c>
      <c r="AL67" s="147">
        <f t="shared" si="19"/>
        <v>0</v>
      </c>
      <c r="AM67" s="147">
        <f t="shared" si="19"/>
        <v>0</v>
      </c>
      <c r="AN67" s="147">
        <f t="shared" si="19"/>
        <v>0</v>
      </c>
      <c r="AO67" s="147">
        <f t="shared" si="19"/>
        <v>0</v>
      </c>
      <c r="AP67" s="147">
        <f t="shared" si="19"/>
        <v>0</v>
      </c>
      <c r="AQ67" s="147">
        <f t="shared" si="19"/>
        <v>0</v>
      </c>
      <c r="AR67" s="147">
        <f t="shared" si="19"/>
        <v>0</v>
      </c>
      <c r="AS67" s="147">
        <f t="shared" si="19"/>
        <v>0</v>
      </c>
      <c r="AT67" s="147">
        <f t="shared" si="19"/>
        <v>0</v>
      </c>
      <c r="AU67" s="147">
        <f t="shared" si="19"/>
        <v>0</v>
      </c>
      <c r="AV67" s="147">
        <f t="shared" si="19"/>
        <v>0</v>
      </c>
      <c r="AW67" s="147">
        <f t="shared" si="19"/>
        <v>0</v>
      </c>
      <c r="AX67" s="147">
        <f t="shared" si="19"/>
        <v>0</v>
      </c>
      <c r="AY67" s="147">
        <f t="shared" si="19"/>
        <v>0</v>
      </c>
      <c r="AZ67" s="147">
        <f t="shared" si="19"/>
        <v>0</v>
      </c>
      <c r="BA67" s="147">
        <f t="shared" si="19"/>
        <v>0</v>
      </c>
      <c r="BB67" s="147">
        <f t="shared" si="19"/>
        <v>0</v>
      </c>
      <c r="BC67" s="147">
        <f t="shared" si="19"/>
        <v>0</v>
      </c>
      <c r="BD67" s="147">
        <f t="shared" si="19"/>
        <v>0</v>
      </c>
      <c r="BE67" s="147">
        <f t="shared" si="19"/>
        <v>0</v>
      </c>
      <c r="BF67" s="147">
        <f t="shared" si="19"/>
        <v>0</v>
      </c>
      <c r="BG67" s="147">
        <f t="shared" si="19"/>
        <v>0</v>
      </c>
      <c r="BH67" s="147">
        <f t="shared" si="19"/>
        <v>0</v>
      </c>
      <c r="BI67" s="147">
        <f t="shared" si="19"/>
        <v>0</v>
      </c>
      <c r="BJ67" s="147">
        <f t="shared" si="19"/>
        <v>0</v>
      </c>
      <c r="BK67" s="147">
        <f t="shared" si="19"/>
        <v>0</v>
      </c>
      <c r="BL67" s="147">
        <f t="shared" si="19"/>
        <v>0</v>
      </c>
      <c r="BM67" s="147">
        <f t="shared" si="19"/>
        <v>0</v>
      </c>
      <c r="BN67" s="147">
        <f t="shared" si="19"/>
        <v>0</v>
      </c>
      <c r="BO67" s="147">
        <f t="shared" si="19"/>
        <v>0</v>
      </c>
      <c r="BP67" s="147">
        <f t="shared" ref="BP67:CT70" si="20">BP30/1.01</f>
        <v>0</v>
      </c>
      <c r="BQ67" s="147">
        <f t="shared" si="20"/>
        <v>0</v>
      </c>
      <c r="BR67" s="147">
        <f t="shared" si="20"/>
        <v>0</v>
      </c>
      <c r="BS67" s="147">
        <f t="shared" si="20"/>
        <v>0</v>
      </c>
      <c r="BT67" s="147">
        <f t="shared" si="20"/>
        <v>0</v>
      </c>
      <c r="BU67" s="147">
        <f t="shared" si="20"/>
        <v>0</v>
      </c>
      <c r="BV67" s="147">
        <f t="shared" si="20"/>
        <v>0</v>
      </c>
      <c r="BW67" s="147">
        <f t="shared" si="20"/>
        <v>0</v>
      </c>
      <c r="BX67" s="147">
        <f t="shared" si="20"/>
        <v>0</v>
      </c>
      <c r="BY67" s="147">
        <f t="shared" si="20"/>
        <v>0</v>
      </c>
      <c r="BZ67" s="147">
        <f t="shared" si="20"/>
        <v>0</v>
      </c>
      <c r="CA67" s="147">
        <f t="shared" si="20"/>
        <v>0</v>
      </c>
      <c r="CB67" s="147">
        <f t="shared" si="20"/>
        <v>0</v>
      </c>
      <c r="CC67" s="147">
        <f t="shared" si="20"/>
        <v>0</v>
      </c>
      <c r="CD67" s="147">
        <f t="shared" si="20"/>
        <v>0</v>
      </c>
      <c r="CE67" s="147">
        <f t="shared" si="20"/>
        <v>0</v>
      </c>
      <c r="CF67" s="147">
        <f t="shared" si="20"/>
        <v>0</v>
      </c>
      <c r="CG67" s="147">
        <f t="shared" si="20"/>
        <v>0</v>
      </c>
      <c r="CH67" s="147">
        <f t="shared" si="20"/>
        <v>0</v>
      </c>
      <c r="CI67" s="147">
        <f t="shared" si="20"/>
        <v>0</v>
      </c>
      <c r="CJ67" s="147">
        <f t="shared" si="20"/>
        <v>0</v>
      </c>
      <c r="CK67" s="147">
        <f t="shared" si="20"/>
        <v>0</v>
      </c>
      <c r="CL67" s="147">
        <f t="shared" si="20"/>
        <v>0</v>
      </c>
      <c r="CM67" s="147">
        <f t="shared" si="20"/>
        <v>0</v>
      </c>
      <c r="CN67" s="47">
        <f t="shared" si="20"/>
        <v>0</v>
      </c>
      <c r="CO67" s="147">
        <f t="shared" si="20"/>
        <v>0</v>
      </c>
      <c r="CP67" s="147">
        <f t="shared" si="20"/>
        <v>0</v>
      </c>
      <c r="CQ67" s="147">
        <f t="shared" si="20"/>
        <v>0</v>
      </c>
      <c r="CR67" s="147">
        <f t="shared" si="20"/>
        <v>0</v>
      </c>
      <c r="CS67" s="147">
        <f t="shared" si="20"/>
        <v>0</v>
      </c>
      <c r="CT67" s="147">
        <f t="shared" si="20"/>
        <v>0</v>
      </c>
    </row>
    <row r="68" spans="4:98">
      <c r="D68" s="47">
        <f t="shared" si="12"/>
        <v>1.6E-2</v>
      </c>
      <c r="E68" s="47">
        <f t="shared" ref="E68:BP71" si="21">E31/1.01</f>
        <v>4.1000000000000002E-2</v>
      </c>
      <c r="F68" s="47">
        <f t="shared" si="21"/>
        <v>6.3E-2</v>
      </c>
      <c r="G68" s="47">
        <f t="shared" si="21"/>
        <v>6.9000000000000006E-2</v>
      </c>
      <c r="H68" s="47">
        <f t="shared" si="21"/>
        <v>8.5000000000000006E-2</v>
      </c>
      <c r="I68" s="47">
        <f t="shared" si="21"/>
        <v>0.1</v>
      </c>
      <c r="J68" s="47">
        <f t="shared" si="21"/>
        <v>4.2999999999999997E-2</v>
      </c>
      <c r="K68" s="47">
        <f t="shared" si="21"/>
        <v>0.03</v>
      </c>
      <c r="L68" s="47">
        <f t="shared" si="21"/>
        <v>0.1</v>
      </c>
      <c r="M68" s="47">
        <f t="shared" si="21"/>
        <v>7.5999999999999998E-2</v>
      </c>
      <c r="N68" s="47">
        <f t="shared" si="21"/>
        <v>7.5999999999999998E-2</v>
      </c>
      <c r="O68" s="47">
        <f t="shared" si="21"/>
        <v>2.1000000000000001E-2</v>
      </c>
      <c r="P68" s="47">
        <f t="shared" si="21"/>
        <v>6.0999999999999999E-2</v>
      </c>
      <c r="Q68" s="47">
        <f t="shared" si="21"/>
        <v>2.9000000000000001E-2</v>
      </c>
      <c r="R68" s="47">
        <f t="shared" si="21"/>
        <v>1.7999999999999999E-2</v>
      </c>
      <c r="S68" s="47">
        <f t="shared" si="21"/>
        <v>7.5999999999999998E-2</v>
      </c>
      <c r="T68" s="47">
        <f t="shared" si="21"/>
        <v>4.8000000000000001E-2</v>
      </c>
      <c r="U68" s="47">
        <f t="shared" si="21"/>
        <v>0.09</v>
      </c>
      <c r="V68" s="147">
        <f t="shared" si="21"/>
        <v>5.5E-2</v>
      </c>
      <c r="W68" s="147">
        <f t="shared" si="21"/>
        <v>6.8000000000000005E-2</v>
      </c>
      <c r="X68" s="147">
        <f t="shared" si="21"/>
        <v>7.2999999999999995E-2</v>
      </c>
      <c r="Y68" s="147">
        <f t="shared" si="21"/>
        <v>9.1999999999999998E-2</v>
      </c>
      <c r="Z68" s="147">
        <f t="shared" si="21"/>
        <v>6.0999999999999999E-2</v>
      </c>
      <c r="AA68" s="147">
        <f t="shared" si="21"/>
        <v>5.8000000000000003E-2</v>
      </c>
      <c r="AB68" s="147">
        <f t="shared" si="21"/>
        <v>6.0999999999999999E-2</v>
      </c>
      <c r="AC68" s="147">
        <f t="shared" si="21"/>
        <v>5.8000000000000003E-2</v>
      </c>
      <c r="AD68" s="147">
        <f t="shared" si="21"/>
        <v>3.0000000000000001E-3</v>
      </c>
      <c r="AE68" s="147">
        <f t="shared" si="21"/>
        <v>0</v>
      </c>
      <c r="AF68" s="147">
        <f t="shared" si="21"/>
        <v>0</v>
      </c>
      <c r="AG68" s="147">
        <f t="shared" si="21"/>
        <v>0</v>
      </c>
      <c r="AH68" s="147">
        <f t="shared" si="21"/>
        <v>8.2000000000000003E-2</v>
      </c>
      <c r="AI68" s="147">
        <f t="shared" si="21"/>
        <v>7.0999999999999994E-2</v>
      </c>
      <c r="AJ68" s="147">
        <f t="shared" si="21"/>
        <v>7.0999999999999994E-2</v>
      </c>
      <c r="AK68" s="147">
        <f t="shared" si="21"/>
        <v>1.9E-2</v>
      </c>
      <c r="AL68" s="147">
        <f t="shared" si="21"/>
        <v>2.4E-2</v>
      </c>
      <c r="AM68" s="147">
        <f t="shared" si="21"/>
        <v>0</v>
      </c>
      <c r="AN68" s="147">
        <f t="shared" si="21"/>
        <v>4.2999999999999997E-2</v>
      </c>
      <c r="AO68" s="147">
        <f t="shared" si="21"/>
        <v>2.5999999999999999E-2</v>
      </c>
      <c r="AP68" s="147">
        <f t="shared" si="21"/>
        <v>5.7000000000000002E-2</v>
      </c>
      <c r="AQ68" s="147">
        <f t="shared" si="21"/>
        <v>0</v>
      </c>
      <c r="AR68" s="147">
        <f t="shared" si="21"/>
        <v>0</v>
      </c>
      <c r="AS68" s="147">
        <f t="shared" si="21"/>
        <v>9.7000000000000003E-2</v>
      </c>
      <c r="AT68" s="147">
        <f t="shared" si="21"/>
        <v>3.5000000000000003E-2</v>
      </c>
      <c r="AU68" s="147">
        <f t="shared" si="21"/>
        <v>3.7999999999999999E-2</v>
      </c>
      <c r="AV68" s="147">
        <f t="shared" si="21"/>
        <v>3.2000000000000001E-2</v>
      </c>
      <c r="AW68" s="147">
        <f t="shared" si="21"/>
        <v>1.6E-2</v>
      </c>
      <c r="AX68" s="147">
        <f t="shared" si="21"/>
        <v>1.7999999999999999E-2</v>
      </c>
      <c r="AY68" s="147">
        <f t="shared" si="21"/>
        <v>4.4999999999999998E-2</v>
      </c>
      <c r="AZ68" s="147">
        <f t="shared" si="21"/>
        <v>8.2000000000000003E-2</v>
      </c>
      <c r="BA68" s="147">
        <f t="shared" si="21"/>
        <v>4.2000000000000003E-2</v>
      </c>
      <c r="BB68" s="147">
        <f t="shared" si="21"/>
        <v>5.8000000000000003E-2</v>
      </c>
      <c r="BC68" s="147">
        <f t="shared" si="21"/>
        <v>2.7E-2</v>
      </c>
      <c r="BD68" s="147">
        <f t="shared" si="21"/>
        <v>6.6000000000000003E-2</v>
      </c>
      <c r="BE68" s="147">
        <f t="shared" si="21"/>
        <v>6.8000000000000005E-2</v>
      </c>
      <c r="BF68" s="147">
        <f t="shared" si="21"/>
        <v>8.2000000000000003E-2</v>
      </c>
      <c r="BG68" s="147">
        <f t="shared" si="21"/>
        <v>4.4999999999999998E-2</v>
      </c>
      <c r="BH68" s="147">
        <f t="shared" si="21"/>
        <v>1.7999999999999999E-2</v>
      </c>
      <c r="BI68" s="147">
        <f t="shared" si="21"/>
        <v>4.2999999999999997E-2</v>
      </c>
      <c r="BJ68" s="147">
        <f t="shared" si="21"/>
        <v>7.6999999999999999E-2</v>
      </c>
      <c r="BK68" s="147">
        <f t="shared" si="21"/>
        <v>2.9000000000000001E-2</v>
      </c>
      <c r="BL68" s="147">
        <f t="shared" si="21"/>
        <v>6.5000000000000002E-2</v>
      </c>
      <c r="BM68" s="147">
        <f t="shared" si="21"/>
        <v>1.4E-2</v>
      </c>
      <c r="BN68" s="147">
        <f t="shared" si="21"/>
        <v>0.13200000000000001</v>
      </c>
      <c r="BO68" s="147">
        <f t="shared" si="21"/>
        <v>0.109</v>
      </c>
      <c r="BP68" s="147">
        <f t="shared" si="21"/>
        <v>4.2999999999999997E-2</v>
      </c>
      <c r="BQ68" s="147">
        <f t="shared" si="20"/>
        <v>3.6999999999999998E-2</v>
      </c>
      <c r="BR68" s="147">
        <f t="shared" si="20"/>
        <v>6.0999999999999999E-2</v>
      </c>
      <c r="BS68" s="147">
        <f t="shared" si="20"/>
        <v>0.05</v>
      </c>
      <c r="BT68" s="147">
        <f t="shared" si="20"/>
        <v>6.9000000000000006E-2</v>
      </c>
      <c r="BU68" s="147">
        <f t="shared" si="20"/>
        <v>7.0999999999999994E-2</v>
      </c>
      <c r="BV68" s="147">
        <f t="shared" si="20"/>
        <v>8.8999999999999996E-2</v>
      </c>
      <c r="BW68" s="147">
        <f t="shared" si="20"/>
        <v>4.4999999999999998E-2</v>
      </c>
      <c r="BX68" s="147">
        <f t="shared" si="20"/>
        <v>3.5000000000000003E-2</v>
      </c>
      <c r="BY68" s="147">
        <f t="shared" si="20"/>
        <v>1.7999999999999999E-2</v>
      </c>
      <c r="BZ68" s="147">
        <f t="shared" si="20"/>
        <v>4.5999999999999999E-2</v>
      </c>
      <c r="CA68" s="147">
        <f t="shared" si="20"/>
        <v>4.8000000000000001E-2</v>
      </c>
      <c r="CB68" s="147">
        <f t="shared" si="20"/>
        <v>0.05</v>
      </c>
      <c r="CC68" s="147">
        <f t="shared" si="20"/>
        <v>5.1999999999999998E-2</v>
      </c>
      <c r="CD68" s="147">
        <f t="shared" si="20"/>
        <v>0.05</v>
      </c>
      <c r="CE68" s="147">
        <f t="shared" si="20"/>
        <v>0</v>
      </c>
      <c r="CF68" s="147">
        <f t="shared" si="20"/>
        <v>3.2000000000000001E-2</v>
      </c>
      <c r="CG68" s="147">
        <f t="shared" si="20"/>
        <v>2.7E-2</v>
      </c>
      <c r="CH68" s="147">
        <f t="shared" si="20"/>
        <v>2.7E-2</v>
      </c>
      <c r="CI68" s="147">
        <f t="shared" si="20"/>
        <v>7.9000000000000001E-2</v>
      </c>
      <c r="CJ68" s="147">
        <f t="shared" si="20"/>
        <v>6.6000000000000003E-2</v>
      </c>
      <c r="CK68" s="147">
        <f t="shared" si="20"/>
        <v>4.2999999999999997E-2</v>
      </c>
      <c r="CL68" s="147">
        <f t="shared" si="20"/>
        <v>3.5000000000000003E-2</v>
      </c>
      <c r="CM68" s="147">
        <f t="shared" si="20"/>
        <v>4.4999999999999998E-2</v>
      </c>
      <c r="CN68" s="47">
        <f t="shared" si="20"/>
        <v>0</v>
      </c>
      <c r="CO68" s="147">
        <f t="shared" si="20"/>
        <v>0</v>
      </c>
      <c r="CP68" s="147">
        <f t="shared" si="20"/>
        <v>0</v>
      </c>
      <c r="CQ68" s="147">
        <f t="shared" si="20"/>
        <v>0</v>
      </c>
      <c r="CR68" s="147">
        <f t="shared" si="20"/>
        <v>0</v>
      </c>
      <c r="CS68" s="147">
        <f t="shared" si="20"/>
        <v>0</v>
      </c>
      <c r="CT68" s="147">
        <f t="shared" si="20"/>
        <v>0</v>
      </c>
    </row>
    <row r="69" spans="4:98">
      <c r="D69" s="47">
        <f t="shared" si="12"/>
        <v>0.81399999999999995</v>
      </c>
      <c r="E69" s="47">
        <f t="shared" si="21"/>
        <v>0.74299999999999999</v>
      </c>
      <c r="F69" s="47">
        <f t="shared" si="21"/>
        <v>1.155</v>
      </c>
      <c r="G69" s="47">
        <f t="shared" si="21"/>
        <v>1.524</v>
      </c>
      <c r="H69" s="47">
        <f t="shared" si="21"/>
        <v>1.169</v>
      </c>
      <c r="I69" s="47">
        <f t="shared" si="21"/>
        <v>1.5069999999999999</v>
      </c>
      <c r="J69" s="47">
        <f t="shared" si="21"/>
        <v>0.73099999999999998</v>
      </c>
      <c r="K69" s="47">
        <f t="shared" si="21"/>
        <v>1.4730000000000001</v>
      </c>
      <c r="L69" s="47">
        <f t="shared" si="21"/>
        <v>1.292</v>
      </c>
      <c r="M69" s="47">
        <f t="shared" si="21"/>
        <v>1.202</v>
      </c>
      <c r="N69" s="47">
        <f t="shared" si="21"/>
        <v>1.2170000000000001</v>
      </c>
      <c r="O69" s="47">
        <f t="shared" si="21"/>
        <v>0.89200000000000002</v>
      </c>
      <c r="P69" s="47">
        <f t="shared" si="21"/>
        <v>1.4890000000000001</v>
      </c>
      <c r="Q69" s="47">
        <f t="shared" si="21"/>
        <v>0.79300000000000004</v>
      </c>
      <c r="R69" s="47">
        <f t="shared" si="21"/>
        <v>0.81799999999999995</v>
      </c>
      <c r="S69" s="47">
        <f t="shared" si="21"/>
        <v>1.395</v>
      </c>
      <c r="T69" s="47">
        <f t="shared" si="21"/>
        <v>1.2669999999999999</v>
      </c>
      <c r="U69" s="47">
        <f t="shared" si="21"/>
        <v>1.32</v>
      </c>
      <c r="V69" s="147">
        <f t="shared" si="21"/>
        <v>1.258</v>
      </c>
      <c r="W69" s="147">
        <f t="shared" si="21"/>
        <v>1.1499999999999999</v>
      </c>
      <c r="X69" s="147">
        <f t="shared" si="21"/>
        <v>1.1910000000000001</v>
      </c>
      <c r="Y69" s="147">
        <f t="shared" si="21"/>
        <v>1.0489999999999999</v>
      </c>
      <c r="Z69" s="147">
        <f t="shared" si="21"/>
        <v>0.83399999999999996</v>
      </c>
      <c r="AA69" s="147">
        <f t="shared" si="21"/>
        <v>0.91600000000000004</v>
      </c>
      <c r="AB69" s="147">
        <f t="shared" si="21"/>
        <v>0.92100000000000004</v>
      </c>
      <c r="AC69" s="147">
        <f t="shared" si="21"/>
        <v>0.85399999999999998</v>
      </c>
      <c r="AD69" s="147">
        <f t="shared" si="21"/>
        <v>0.57999999999999996</v>
      </c>
      <c r="AE69" s="147">
        <f t="shared" si="21"/>
        <v>0.51300000000000001</v>
      </c>
      <c r="AF69" s="147">
        <f t="shared" si="21"/>
        <v>0.54800000000000004</v>
      </c>
      <c r="AG69" s="147">
        <f t="shared" si="21"/>
        <v>0.51600000000000001</v>
      </c>
      <c r="AH69" s="147">
        <f t="shared" si="21"/>
        <v>0.92700000000000005</v>
      </c>
      <c r="AI69" s="147">
        <f t="shared" si="21"/>
        <v>0.86699999999999999</v>
      </c>
      <c r="AJ69" s="147">
        <f t="shared" si="21"/>
        <v>0.86799999999999999</v>
      </c>
      <c r="AK69" s="147">
        <f t="shared" si="21"/>
        <v>0.28399999999999997</v>
      </c>
      <c r="AL69" s="147">
        <f t="shared" si="21"/>
        <v>0.83699999999999997</v>
      </c>
      <c r="AM69" s="147">
        <f t="shared" si="21"/>
        <v>0.496</v>
      </c>
      <c r="AN69" s="147">
        <f t="shared" si="21"/>
        <v>0.7</v>
      </c>
      <c r="AO69" s="147">
        <f t="shared" si="21"/>
        <v>1.077</v>
      </c>
      <c r="AP69" s="147">
        <f t="shared" si="21"/>
        <v>1.2230000000000001</v>
      </c>
      <c r="AQ69" s="147">
        <f t="shared" si="21"/>
        <v>0.48199999999999998</v>
      </c>
      <c r="AR69" s="147">
        <f t="shared" si="21"/>
        <v>0.497</v>
      </c>
      <c r="AS69" s="147">
        <f t="shared" si="21"/>
        <v>0.85399999999999998</v>
      </c>
      <c r="AT69" s="147">
        <f t="shared" si="21"/>
        <v>0.51</v>
      </c>
      <c r="AU69" s="147">
        <f t="shared" si="21"/>
        <v>0.56599999999999995</v>
      </c>
      <c r="AV69" s="147">
        <f t="shared" si="21"/>
        <v>0.55400000000000005</v>
      </c>
      <c r="AW69" s="147">
        <f t="shared" si="21"/>
        <v>0.68</v>
      </c>
      <c r="AX69" s="147">
        <f t="shared" si="21"/>
        <v>0.76900000000000002</v>
      </c>
      <c r="AY69" s="147">
        <f t="shared" si="21"/>
        <v>0.69199999999999995</v>
      </c>
      <c r="AZ69" s="147">
        <f t="shared" si="21"/>
        <v>1.1830000000000001</v>
      </c>
      <c r="BA69" s="147">
        <f t="shared" si="21"/>
        <v>0.45100000000000001</v>
      </c>
      <c r="BB69" s="147">
        <f t="shared" si="21"/>
        <v>0.84499999999999997</v>
      </c>
      <c r="BC69" s="147">
        <f t="shared" si="21"/>
        <v>0.5</v>
      </c>
      <c r="BD69" s="147">
        <f t="shared" si="21"/>
        <v>0.85399999999999998</v>
      </c>
      <c r="BE69" s="147">
        <f t="shared" si="21"/>
        <v>1.08</v>
      </c>
      <c r="BF69" s="147">
        <f t="shared" si="21"/>
        <v>1.1339999999999999</v>
      </c>
      <c r="BG69" s="147">
        <f t="shared" si="21"/>
        <v>0.73199999999999998</v>
      </c>
      <c r="BH69" s="147">
        <f t="shared" si="21"/>
        <v>0.74199999999999999</v>
      </c>
      <c r="BI69" s="147">
        <f t="shared" si="21"/>
        <v>0.76900000000000002</v>
      </c>
      <c r="BJ69" s="147">
        <f t="shared" si="21"/>
        <v>0.97699999999999998</v>
      </c>
      <c r="BK69" s="147">
        <f t="shared" si="21"/>
        <v>0.68</v>
      </c>
      <c r="BL69" s="147">
        <f t="shared" si="21"/>
        <v>1.1970000000000001</v>
      </c>
      <c r="BM69" s="147">
        <f t="shared" si="21"/>
        <v>1.147</v>
      </c>
      <c r="BN69" s="147">
        <f t="shared" si="21"/>
        <v>1.5469999999999999</v>
      </c>
      <c r="BO69" s="147">
        <f t="shared" si="21"/>
        <v>0.98499999999999999</v>
      </c>
      <c r="BP69" s="147">
        <f t="shared" si="21"/>
        <v>0.68600000000000005</v>
      </c>
      <c r="BQ69" s="147">
        <f t="shared" si="20"/>
        <v>0.64200000000000002</v>
      </c>
      <c r="BR69" s="147">
        <f t="shared" si="20"/>
        <v>1.093</v>
      </c>
      <c r="BS69" s="147">
        <f t="shared" si="20"/>
        <v>0.96699999999999997</v>
      </c>
      <c r="BT69" s="147">
        <f t="shared" si="20"/>
        <v>1.401</v>
      </c>
      <c r="BU69" s="147">
        <f t="shared" si="20"/>
        <v>0.97299999999999998</v>
      </c>
      <c r="BV69" s="147">
        <f t="shared" si="20"/>
        <v>1.264</v>
      </c>
      <c r="BW69" s="147">
        <f t="shared" si="20"/>
        <v>0.67800000000000005</v>
      </c>
      <c r="BX69" s="147">
        <f t="shared" si="20"/>
        <v>0.91800000000000004</v>
      </c>
      <c r="BY69" s="147">
        <f t="shared" si="20"/>
        <v>0.81499999999999995</v>
      </c>
      <c r="BZ69" s="147">
        <f t="shared" si="20"/>
        <v>0.89800000000000002</v>
      </c>
      <c r="CA69" s="147">
        <f t="shared" si="20"/>
        <v>0.95</v>
      </c>
      <c r="CB69" s="147">
        <f t="shared" si="20"/>
        <v>0.94599999999999995</v>
      </c>
      <c r="CC69" s="147">
        <f t="shared" si="20"/>
        <v>0.79</v>
      </c>
      <c r="CD69" s="147">
        <f t="shared" si="20"/>
        <v>0.81799999999999995</v>
      </c>
      <c r="CE69" s="147">
        <f t="shared" si="20"/>
        <v>0.58099999999999996</v>
      </c>
      <c r="CF69" s="147">
        <f t="shared" si="20"/>
        <v>1.383</v>
      </c>
      <c r="CG69" s="147">
        <f t="shared" si="20"/>
        <v>0.309</v>
      </c>
      <c r="CH69" s="147">
        <f t="shared" si="20"/>
        <v>0.309</v>
      </c>
      <c r="CI69" s="147">
        <f t="shared" si="20"/>
        <v>0.83799999999999997</v>
      </c>
      <c r="CJ69" s="147">
        <f t="shared" si="20"/>
        <v>0.80300000000000005</v>
      </c>
      <c r="CK69" s="147">
        <f t="shared" si="20"/>
        <v>0.35899999999999999</v>
      </c>
      <c r="CL69" s="147">
        <f t="shared" si="20"/>
        <v>0.753</v>
      </c>
      <c r="CM69" s="147">
        <f t="shared" si="20"/>
        <v>9.1999999999999998E-2</v>
      </c>
      <c r="CN69" s="47">
        <f t="shared" si="20"/>
        <v>0.51</v>
      </c>
      <c r="CO69" s="147">
        <f t="shared" si="20"/>
        <v>0.499</v>
      </c>
      <c r="CP69" s="147">
        <f t="shared" si="20"/>
        <v>0.56599999999999995</v>
      </c>
      <c r="CQ69" s="147">
        <f t="shared" si="20"/>
        <v>0.57199999999999995</v>
      </c>
      <c r="CR69" s="147">
        <f t="shared" si="20"/>
        <v>0.53600000000000003</v>
      </c>
      <c r="CS69" s="147">
        <f t="shared" si="20"/>
        <v>0.55500000000000005</v>
      </c>
      <c r="CT69" s="147">
        <f t="shared" si="20"/>
        <v>0.60499999999999998</v>
      </c>
    </row>
    <row r="70" spans="4:98">
      <c r="D70" s="47">
        <f t="shared" si="12"/>
        <v>0</v>
      </c>
      <c r="E70" s="47">
        <f t="shared" si="21"/>
        <v>0</v>
      </c>
      <c r="F70" s="47">
        <f t="shared" si="21"/>
        <v>0</v>
      </c>
      <c r="G70" s="47">
        <f t="shared" si="21"/>
        <v>0</v>
      </c>
      <c r="H70" s="47">
        <f t="shared" si="21"/>
        <v>0</v>
      </c>
      <c r="I70" s="47">
        <f t="shared" si="21"/>
        <v>0</v>
      </c>
      <c r="J70" s="47">
        <f t="shared" si="21"/>
        <v>0</v>
      </c>
      <c r="K70" s="47">
        <f t="shared" si="21"/>
        <v>0</v>
      </c>
      <c r="L70" s="47">
        <f t="shared" si="21"/>
        <v>0</v>
      </c>
      <c r="M70" s="47">
        <f t="shared" si="21"/>
        <v>0</v>
      </c>
      <c r="N70" s="47">
        <f t="shared" si="21"/>
        <v>0</v>
      </c>
      <c r="O70" s="47">
        <f t="shared" si="21"/>
        <v>0</v>
      </c>
      <c r="P70" s="47">
        <f t="shared" si="21"/>
        <v>0</v>
      </c>
      <c r="Q70" s="47">
        <f t="shared" si="21"/>
        <v>0</v>
      </c>
      <c r="R70" s="47">
        <f t="shared" si="21"/>
        <v>0</v>
      </c>
      <c r="S70" s="47">
        <f t="shared" si="21"/>
        <v>0</v>
      </c>
      <c r="T70" s="47">
        <f t="shared" si="21"/>
        <v>0</v>
      </c>
      <c r="U70" s="47">
        <f t="shared" si="21"/>
        <v>0</v>
      </c>
      <c r="V70" s="147">
        <f t="shared" si="21"/>
        <v>0</v>
      </c>
      <c r="W70" s="147">
        <f t="shared" si="21"/>
        <v>0</v>
      </c>
      <c r="X70" s="147">
        <f t="shared" si="21"/>
        <v>0</v>
      </c>
      <c r="Y70" s="147">
        <f t="shared" si="21"/>
        <v>0</v>
      </c>
      <c r="Z70" s="147">
        <f t="shared" si="21"/>
        <v>0</v>
      </c>
      <c r="AA70" s="147">
        <f t="shared" si="21"/>
        <v>0</v>
      </c>
      <c r="AB70" s="147">
        <f t="shared" si="21"/>
        <v>0</v>
      </c>
      <c r="AC70" s="147">
        <f t="shared" si="21"/>
        <v>0</v>
      </c>
      <c r="AD70" s="147">
        <f t="shared" si="21"/>
        <v>0</v>
      </c>
      <c r="AE70" s="147">
        <f t="shared" si="21"/>
        <v>0</v>
      </c>
      <c r="AF70" s="147">
        <f t="shared" si="21"/>
        <v>0</v>
      </c>
      <c r="AG70" s="147">
        <f t="shared" si="21"/>
        <v>0</v>
      </c>
      <c r="AH70" s="147">
        <f t="shared" si="21"/>
        <v>0</v>
      </c>
      <c r="AI70" s="147">
        <f t="shared" si="21"/>
        <v>0</v>
      </c>
      <c r="AJ70" s="147">
        <f t="shared" si="21"/>
        <v>0</v>
      </c>
      <c r="AK70" s="147">
        <f t="shared" si="21"/>
        <v>0</v>
      </c>
      <c r="AL70" s="147">
        <f t="shared" si="21"/>
        <v>0</v>
      </c>
      <c r="AM70" s="147">
        <f t="shared" si="21"/>
        <v>0</v>
      </c>
      <c r="AN70" s="147">
        <f t="shared" si="21"/>
        <v>0</v>
      </c>
      <c r="AO70" s="147">
        <f t="shared" si="21"/>
        <v>0</v>
      </c>
      <c r="AP70" s="147">
        <f t="shared" si="21"/>
        <v>0</v>
      </c>
      <c r="AQ70" s="147">
        <f t="shared" si="21"/>
        <v>0</v>
      </c>
      <c r="AR70" s="147">
        <f t="shared" si="21"/>
        <v>0</v>
      </c>
      <c r="AS70" s="147">
        <f t="shared" si="21"/>
        <v>0</v>
      </c>
      <c r="AT70" s="147">
        <f t="shared" si="21"/>
        <v>0</v>
      </c>
      <c r="AU70" s="147">
        <f t="shared" si="21"/>
        <v>0</v>
      </c>
      <c r="AV70" s="147">
        <f t="shared" si="21"/>
        <v>0</v>
      </c>
      <c r="AW70" s="147">
        <f t="shared" si="21"/>
        <v>0</v>
      </c>
      <c r="AX70" s="147">
        <f t="shared" si="21"/>
        <v>0</v>
      </c>
      <c r="AY70" s="147">
        <f t="shared" si="21"/>
        <v>0</v>
      </c>
      <c r="AZ70" s="147">
        <f t="shared" si="21"/>
        <v>0</v>
      </c>
      <c r="BA70" s="147">
        <f t="shared" si="21"/>
        <v>0</v>
      </c>
      <c r="BB70" s="147">
        <f t="shared" si="21"/>
        <v>0</v>
      </c>
      <c r="BC70" s="147">
        <f t="shared" si="21"/>
        <v>0</v>
      </c>
      <c r="BD70" s="147">
        <f t="shared" si="21"/>
        <v>0</v>
      </c>
      <c r="BE70" s="147">
        <f t="shared" si="21"/>
        <v>0</v>
      </c>
      <c r="BF70" s="147">
        <f t="shared" si="21"/>
        <v>0</v>
      </c>
      <c r="BG70" s="147">
        <f t="shared" si="21"/>
        <v>0</v>
      </c>
      <c r="BH70" s="147">
        <f t="shared" si="21"/>
        <v>0</v>
      </c>
      <c r="BI70" s="147">
        <f t="shared" si="21"/>
        <v>0</v>
      </c>
      <c r="BJ70" s="147">
        <f t="shared" si="21"/>
        <v>0</v>
      </c>
      <c r="BK70" s="147">
        <f t="shared" si="21"/>
        <v>0</v>
      </c>
      <c r="BL70" s="147">
        <f t="shared" si="21"/>
        <v>0</v>
      </c>
      <c r="BM70" s="147">
        <f t="shared" si="21"/>
        <v>0</v>
      </c>
      <c r="BN70" s="147">
        <f t="shared" si="21"/>
        <v>0</v>
      </c>
      <c r="BO70" s="147">
        <f t="shared" si="21"/>
        <v>0</v>
      </c>
      <c r="BP70" s="147">
        <f t="shared" si="21"/>
        <v>0</v>
      </c>
      <c r="BQ70" s="147">
        <f t="shared" si="20"/>
        <v>0</v>
      </c>
      <c r="BR70" s="147">
        <f t="shared" si="20"/>
        <v>0</v>
      </c>
      <c r="BS70" s="147">
        <f t="shared" si="20"/>
        <v>0</v>
      </c>
      <c r="BT70" s="147">
        <f t="shared" si="20"/>
        <v>0</v>
      </c>
      <c r="BU70" s="147">
        <f t="shared" si="20"/>
        <v>0</v>
      </c>
      <c r="BV70" s="147">
        <f t="shared" si="20"/>
        <v>0</v>
      </c>
      <c r="BW70" s="147">
        <f t="shared" si="20"/>
        <v>0</v>
      </c>
      <c r="BX70" s="147">
        <f t="shared" si="20"/>
        <v>0</v>
      </c>
      <c r="BY70" s="147">
        <f t="shared" si="20"/>
        <v>0</v>
      </c>
      <c r="BZ70" s="147">
        <f t="shared" si="20"/>
        <v>0</v>
      </c>
      <c r="CA70" s="147">
        <f t="shared" si="20"/>
        <v>0</v>
      </c>
      <c r="CB70" s="147">
        <f t="shared" si="20"/>
        <v>0</v>
      </c>
      <c r="CC70" s="147">
        <f t="shared" si="20"/>
        <v>0</v>
      </c>
      <c r="CD70" s="147">
        <f t="shared" si="20"/>
        <v>0</v>
      </c>
      <c r="CE70" s="147">
        <f t="shared" si="20"/>
        <v>0</v>
      </c>
      <c r="CF70" s="147">
        <f t="shared" si="20"/>
        <v>0</v>
      </c>
      <c r="CG70" s="147">
        <f t="shared" si="20"/>
        <v>0</v>
      </c>
      <c r="CH70" s="147">
        <f t="shared" si="20"/>
        <v>0</v>
      </c>
      <c r="CI70" s="147">
        <f t="shared" si="20"/>
        <v>0</v>
      </c>
      <c r="CJ70" s="147">
        <f t="shared" si="20"/>
        <v>0</v>
      </c>
      <c r="CK70" s="147">
        <f t="shared" si="20"/>
        <v>0</v>
      </c>
      <c r="CL70" s="147">
        <f t="shared" si="20"/>
        <v>0</v>
      </c>
      <c r="CM70" s="147">
        <f t="shared" si="20"/>
        <v>0</v>
      </c>
      <c r="CN70" s="47">
        <f t="shared" si="20"/>
        <v>0</v>
      </c>
      <c r="CO70" s="147">
        <f t="shared" si="20"/>
        <v>0</v>
      </c>
      <c r="CP70" s="147">
        <f t="shared" si="20"/>
        <v>0</v>
      </c>
      <c r="CQ70" s="147">
        <f t="shared" si="20"/>
        <v>0</v>
      </c>
      <c r="CR70" s="147">
        <f t="shared" si="20"/>
        <v>0</v>
      </c>
      <c r="CS70" s="147">
        <f t="shared" si="20"/>
        <v>0</v>
      </c>
      <c r="CT70" s="147">
        <f t="shared" si="20"/>
        <v>0</v>
      </c>
    </row>
    <row r="71" spans="4:98">
      <c r="D71" s="47">
        <f t="shared" si="12"/>
        <v>0</v>
      </c>
      <c r="E71" s="47">
        <f t="shared" si="21"/>
        <v>0</v>
      </c>
      <c r="F71" s="47">
        <f t="shared" si="21"/>
        <v>0</v>
      </c>
      <c r="G71" s="47">
        <f t="shared" si="21"/>
        <v>0</v>
      </c>
      <c r="H71" s="47">
        <f t="shared" si="21"/>
        <v>0</v>
      </c>
      <c r="I71" s="47">
        <f t="shared" si="21"/>
        <v>0</v>
      </c>
      <c r="J71" s="47">
        <f t="shared" si="21"/>
        <v>0</v>
      </c>
      <c r="K71" s="47">
        <f t="shared" si="21"/>
        <v>0</v>
      </c>
      <c r="L71" s="47">
        <f t="shared" si="21"/>
        <v>0</v>
      </c>
      <c r="M71" s="47">
        <f t="shared" si="21"/>
        <v>0</v>
      </c>
      <c r="N71" s="47">
        <f t="shared" si="21"/>
        <v>0</v>
      </c>
      <c r="O71" s="47">
        <f t="shared" si="21"/>
        <v>0</v>
      </c>
      <c r="P71" s="47">
        <f t="shared" si="21"/>
        <v>0</v>
      </c>
      <c r="Q71" s="47">
        <f t="shared" si="21"/>
        <v>0</v>
      </c>
      <c r="R71" s="47">
        <f t="shared" si="21"/>
        <v>0</v>
      </c>
      <c r="S71" s="47">
        <f t="shared" si="21"/>
        <v>0</v>
      </c>
      <c r="T71" s="47">
        <f t="shared" si="21"/>
        <v>0</v>
      </c>
      <c r="U71" s="47">
        <f t="shared" si="21"/>
        <v>0</v>
      </c>
      <c r="V71" s="147">
        <f t="shared" si="21"/>
        <v>0</v>
      </c>
      <c r="W71" s="147">
        <f t="shared" si="21"/>
        <v>0</v>
      </c>
      <c r="X71" s="147">
        <f t="shared" si="21"/>
        <v>0</v>
      </c>
      <c r="Y71" s="147">
        <f t="shared" si="21"/>
        <v>0</v>
      </c>
      <c r="Z71" s="147">
        <f t="shared" si="21"/>
        <v>0</v>
      </c>
      <c r="AA71" s="147">
        <f t="shared" si="21"/>
        <v>0</v>
      </c>
      <c r="AB71" s="147">
        <f t="shared" si="21"/>
        <v>0</v>
      </c>
      <c r="AC71" s="147">
        <f t="shared" si="21"/>
        <v>0</v>
      </c>
      <c r="AD71" s="147">
        <f t="shared" si="21"/>
        <v>0</v>
      </c>
      <c r="AE71" s="147">
        <f t="shared" si="21"/>
        <v>0</v>
      </c>
      <c r="AF71" s="147">
        <f t="shared" si="21"/>
        <v>0</v>
      </c>
      <c r="AG71" s="147">
        <f t="shared" si="21"/>
        <v>0</v>
      </c>
      <c r="AH71" s="147">
        <f t="shared" si="21"/>
        <v>0</v>
      </c>
      <c r="AI71" s="147">
        <f t="shared" si="21"/>
        <v>0</v>
      </c>
      <c r="AJ71" s="147">
        <f t="shared" si="21"/>
        <v>0</v>
      </c>
      <c r="AK71" s="147">
        <f t="shared" si="21"/>
        <v>0</v>
      </c>
      <c r="AL71" s="147">
        <f t="shared" si="21"/>
        <v>0</v>
      </c>
      <c r="AM71" s="147">
        <f t="shared" si="21"/>
        <v>0</v>
      </c>
      <c r="AN71" s="147">
        <f t="shared" si="21"/>
        <v>0</v>
      </c>
      <c r="AO71" s="147">
        <f t="shared" si="21"/>
        <v>0</v>
      </c>
      <c r="AP71" s="147">
        <f t="shared" si="21"/>
        <v>0</v>
      </c>
      <c r="AQ71" s="147">
        <f t="shared" si="21"/>
        <v>0</v>
      </c>
      <c r="AR71" s="147">
        <f t="shared" si="21"/>
        <v>0</v>
      </c>
      <c r="AS71" s="147">
        <f t="shared" si="21"/>
        <v>0</v>
      </c>
      <c r="AT71" s="147">
        <f t="shared" si="21"/>
        <v>0</v>
      </c>
      <c r="AU71" s="147">
        <f t="shared" si="21"/>
        <v>0</v>
      </c>
      <c r="AV71" s="147">
        <f t="shared" si="21"/>
        <v>0</v>
      </c>
      <c r="AW71" s="147">
        <f t="shared" si="21"/>
        <v>0</v>
      </c>
      <c r="AX71" s="147">
        <f t="shared" si="21"/>
        <v>0</v>
      </c>
      <c r="AY71" s="147">
        <f t="shared" si="21"/>
        <v>0</v>
      </c>
      <c r="AZ71" s="147">
        <f t="shared" si="21"/>
        <v>0</v>
      </c>
      <c r="BA71" s="147">
        <f t="shared" si="21"/>
        <v>0</v>
      </c>
      <c r="BB71" s="147">
        <f t="shared" si="21"/>
        <v>0</v>
      </c>
      <c r="BC71" s="147">
        <f t="shared" si="21"/>
        <v>0</v>
      </c>
      <c r="BD71" s="147">
        <f t="shared" si="21"/>
        <v>0</v>
      </c>
      <c r="BE71" s="147">
        <f t="shared" si="21"/>
        <v>0</v>
      </c>
      <c r="BF71" s="147">
        <f t="shared" si="21"/>
        <v>0</v>
      </c>
      <c r="BG71" s="147">
        <f t="shared" si="21"/>
        <v>0</v>
      </c>
      <c r="BH71" s="147">
        <f t="shared" si="21"/>
        <v>0</v>
      </c>
      <c r="BI71" s="147">
        <f t="shared" si="21"/>
        <v>0</v>
      </c>
      <c r="BJ71" s="147">
        <f t="shared" si="21"/>
        <v>0</v>
      </c>
      <c r="BK71" s="147">
        <f t="shared" si="21"/>
        <v>0</v>
      </c>
      <c r="BL71" s="147">
        <f t="shared" si="21"/>
        <v>0</v>
      </c>
      <c r="BM71" s="147">
        <f t="shared" si="21"/>
        <v>0</v>
      </c>
      <c r="BN71" s="147">
        <f t="shared" si="21"/>
        <v>0</v>
      </c>
      <c r="BO71" s="147">
        <f t="shared" si="21"/>
        <v>0</v>
      </c>
      <c r="BP71" s="147">
        <f t="shared" ref="BP71:CT74" si="22">BP34/1.01</f>
        <v>0</v>
      </c>
      <c r="BQ71" s="147">
        <f t="shared" si="22"/>
        <v>0</v>
      </c>
      <c r="BR71" s="147">
        <f t="shared" si="22"/>
        <v>0</v>
      </c>
      <c r="BS71" s="147">
        <f t="shared" si="22"/>
        <v>0</v>
      </c>
      <c r="BT71" s="147">
        <f t="shared" si="22"/>
        <v>0</v>
      </c>
      <c r="BU71" s="147">
        <f t="shared" si="22"/>
        <v>0</v>
      </c>
      <c r="BV71" s="147">
        <f t="shared" si="22"/>
        <v>0</v>
      </c>
      <c r="BW71" s="147">
        <f t="shared" si="22"/>
        <v>0</v>
      </c>
      <c r="BX71" s="147">
        <f t="shared" si="22"/>
        <v>0</v>
      </c>
      <c r="BY71" s="147">
        <f t="shared" si="22"/>
        <v>0</v>
      </c>
      <c r="BZ71" s="147">
        <f t="shared" si="22"/>
        <v>0</v>
      </c>
      <c r="CA71" s="147">
        <f t="shared" si="22"/>
        <v>0</v>
      </c>
      <c r="CB71" s="147">
        <f t="shared" si="22"/>
        <v>0</v>
      </c>
      <c r="CC71" s="147">
        <f t="shared" si="22"/>
        <v>0</v>
      </c>
      <c r="CD71" s="147">
        <f t="shared" si="22"/>
        <v>0</v>
      </c>
      <c r="CE71" s="147">
        <f t="shared" si="22"/>
        <v>0</v>
      </c>
      <c r="CF71" s="147">
        <f t="shared" si="22"/>
        <v>0</v>
      </c>
      <c r="CG71" s="147">
        <f t="shared" si="22"/>
        <v>0</v>
      </c>
      <c r="CH71" s="147">
        <f t="shared" si="22"/>
        <v>0</v>
      </c>
      <c r="CI71" s="147">
        <f t="shared" si="22"/>
        <v>0</v>
      </c>
      <c r="CJ71" s="147">
        <f t="shared" si="22"/>
        <v>0</v>
      </c>
      <c r="CK71" s="147">
        <f t="shared" si="22"/>
        <v>0</v>
      </c>
      <c r="CL71" s="147">
        <f t="shared" si="22"/>
        <v>0</v>
      </c>
      <c r="CM71" s="147">
        <f t="shared" si="22"/>
        <v>0</v>
      </c>
      <c r="CN71" s="47">
        <f t="shared" si="22"/>
        <v>0</v>
      </c>
      <c r="CO71" s="147">
        <f t="shared" si="22"/>
        <v>0</v>
      </c>
      <c r="CP71" s="147">
        <f t="shared" si="22"/>
        <v>0</v>
      </c>
      <c r="CQ71" s="147">
        <f t="shared" si="22"/>
        <v>0</v>
      </c>
      <c r="CR71" s="147">
        <f t="shared" si="22"/>
        <v>0</v>
      </c>
      <c r="CS71" s="147">
        <f t="shared" si="22"/>
        <v>0</v>
      </c>
      <c r="CT71" s="147">
        <f t="shared" si="22"/>
        <v>0</v>
      </c>
    </row>
    <row r="72" spans="4:98">
      <c r="D72" s="47">
        <f t="shared" si="12"/>
        <v>0</v>
      </c>
      <c r="E72" s="47">
        <f t="shared" ref="E72:BP75" si="23">E35/1.01</f>
        <v>0</v>
      </c>
      <c r="F72" s="47">
        <f t="shared" si="23"/>
        <v>0</v>
      </c>
      <c r="G72" s="47">
        <f t="shared" si="23"/>
        <v>0</v>
      </c>
      <c r="H72" s="47">
        <f t="shared" si="23"/>
        <v>0</v>
      </c>
      <c r="I72" s="47">
        <f t="shared" si="23"/>
        <v>0</v>
      </c>
      <c r="J72" s="47">
        <f t="shared" si="23"/>
        <v>0</v>
      </c>
      <c r="K72" s="47">
        <f t="shared" si="23"/>
        <v>0</v>
      </c>
      <c r="L72" s="47">
        <f t="shared" si="23"/>
        <v>0</v>
      </c>
      <c r="M72" s="47">
        <f t="shared" si="23"/>
        <v>0</v>
      </c>
      <c r="N72" s="47">
        <f t="shared" si="23"/>
        <v>0</v>
      </c>
      <c r="O72" s="47">
        <f t="shared" si="23"/>
        <v>0</v>
      </c>
      <c r="P72" s="47">
        <f t="shared" si="23"/>
        <v>0</v>
      </c>
      <c r="Q72" s="47">
        <f t="shared" si="23"/>
        <v>0</v>
      </c>
      <c r="R72" s="47">
        <f t="shared" si="23"/>
        <v>0</v>
      </c>
      <c r="S72" s="47">
        <f t="shared" si="23"/>
        <v>0</v>
      </c>
      <c r="T72" s="47">
        <f t="shared" si="23"/>
        <v>0</v>
      </c>
      <c r="U72" s="47">
        <f t="shared" si="23"/>
        <v>0</v>
      </c>
      <c r="V72" s="147">
        <f t="shared" si="23"/>
        <v>0</v>
      </c>
      <c r="W72" s="147">
        <f t="shared" si="23"/>
        <v>0</v>
      </c>
      <c r="X72" s="147">
        <f t="shared" si="23"/>
        <v>0</v>
      </c>
      <c r="Y72" s="147">
        <f t="shared" si="23"/>
        <v>0</v>
      </c>
      <c r="Z72" s="147">
        <f t="shared" si="23"/>
        <v>0</v>
      </c>
      <c r="AA72" s="147">
        <f t="shared" si="23"/>
        <v>0</v>
      </c>
      <c r="AB72" s="147">
        <f t="shared" si="23"/>
        <v>0</v>
      </c>
      <c r="AC72" s="147">
        <f t="shared" si="23"/>
        <v>0</v>
      </c>
      <c r="AD72" s="147">
        <f t="shared" si="23"/>
        <v>0</v>
      </c>
      <c r="AE72" s="147">
        <f t="shared" si="23"/>
        <v>0</v>
      </c>
      <c r="AF72" s="147">
        <f t="shared" si="23"/>
        <v>0</v>
      </c>
      <c r="AG72" s="147">
        <f t="shared" si="23"/>
        <v>0</v>
      </c>
      <c r="AH72" s="147">
        <f t="shared" si="23"/>
        <v>0</v>
      </c>
      <c r="AI72" s="147">
        <f t="shared" si="23"/>
        <v>0</v>
      </c>
      <c r="AJ72" s="147">
        <f t="shared" si="23"/>
        <v>0</v>
      </c>
      <c r="AK72" s="147">
        <f t="shared" si="23"/>
        <v>0</v>
      </c>
      <c r="AL72" s="147">
        <f t="shared" si="23"/>
        <v>0</v>
      </c>
      <c r="AM72" s="147">
        <f t="shared" si="23"/>
        <v>0</v>
      </c>
      <c r="AN72" s="147">
        <f t="shared" si="23"/>
        <v>0</v>
      </c>
      <c r="AO72" s="147">
        <f t="shared" si="23"/>
        <v>0</v>
      </c>
      <c r="AP72" s="147">
        <f t="shared" si="23"/>
        <v>0</v>
      </c>
      <c r="AQ72" s="147">
        <f t="shared" si="23"/>
        <v>0</v>
      </c>
      <c r="AR72" s="147">
        <f t="shared" si="23"/>
        <v>0</v>
      </c>
      <c r="AS72" s="147">
        <f t="shared" si="23"/>
        <v>0</v>
      </c>
      <c r="AT72" s="147">
        <f t="shared" si="23"/>
        <v>0</v>
      </c>
      <c r="AU72" s="147">
        <f t="shared" si="23"/>
        <v>0</v>
      </c>
      <c r="AV72" s="147">
        <f t="shared" si="23"/>
        <v>0</v>
      </c>
      <c r="AW72" s="147">
        <f t="shared" si="23"/>
        <v>0</v>
      </c>
      <c r="AX72" s="147">
        <f t="shared" si="23"/>
        <v>0</v>
      </c>
      <c r="AY72" s="147">
        <f t="shared" si="23"/>
        <v>0</v>
      </c>
      <c r="AZ72" s="147">
        <f t="shared" si="23"/>
        <v>0</v>
      </c>
      <c r="BA72" s="147">
        <f t="shared" si="23"/>
        <v>0</v>
      </c>
      <c r="BB72" s="147">
        <f t="shared" si="23"/>
        <v>0</v>
      </c>
      <c r="BC72" s="147">
        <f t="shared" si="23"/>
        <v>0</v>
      </c>
      <c r="BD72" s="147">
        <f t="shared" si="23"/>
        <v>0</v>
      </c>
      <c r="BE72" s="147">
        <f t="shared" si="23"/>
        <v>0</v>
      </c>
      <c r="BF72" s="147">
        <f t="shared" si="23"/>
        <v>0</v>
      </c>
      <c r="BG72" s="147">
        <f t="shared" si="23"/>
        <v>0</v>
      </c>
      <c r="BH72" s="147">
        <f t="shared" si="23"/>
        <v>0</v>
      </c>
      <c r="BI72" s="147">
        <f t="shared" si="23"/>
        <v>0</v>
      </c>
      <c r="BJ72" s="147">
        <f t="shared" si="23"/>
        <v>0</v>
      </c>
      <c r="BK72" s="147">
        <f t="shared" si="23"/>
        <v>0</v>
      </c>
      <c r="BL72" s="147">
        <f t="shared" si="23"/>
        <v>0</v>
      </c>
      <c r="BM72" s="147">
        <f t="shared" si="23"/>
        <v>0</v>
      </c>
      <c r="BN72" s="147">
        <f t="shared" si="23"/>
        <v>0</v>
      </c>
      <c r="BO72" s="147">
        <f t="shared" si="23"/>
        <v>0</v>
      </c>
      <c r="BP72" s="147">
        <f t="shared" si="23"/>
        <v>0</v>
      </c>
      <c r="BQ72" s="147">
        <f t="shared" si="22"/>
        <v>0</v>
      </c>
      <c r="BR72" s="147">
        <f t="shared" si="22"/>
        <v>0</v>
      </c>
      <c r="BS72" s="147">
        <f t="shared" si="22"/>
        <v>0</v>
      </c>
      <c r="BT72" s="147">
        <f t="shared" si="22"/>
        <v>0</v>
      </c>
      <c r="BU72" s="147">
        <f t="shared" si="22"/>
        <v>0</v>
      </c>
      <c r="BV72" s="147">
        <f t="shared" si="22"/>
        <v>0</v>
      </c>
      <c r="BW72" s="147">
        <f t="shared" si="22"/>
        <v>0</v>
      </c>
      <c r="BX72" s="147">
        <f t="shared" si="22"/>
        <v>0</v>
      </c>
      <c r="BY72" s="147">
        <f t="shared" si="22"/>
        <v>0</v>
      </c>
      <c r="BZ72" s="147">
        <f t="shared" si="22"/>
        <v>0</v>
      </c>
      <c r="CA72" s="147">
        <f t="shared" si="22"/>
        <v>0</v>
      </c>
      <c r="CB72" s="147">
        <f t="shared" si="22"/>
        <v>0</v>
      </c>
      <c r="CC72" s="147">
        <f t="shared" si="22"/>
        <v>0</v>
      </c>
      <c r="CD72" s="147">
        <f t="shared" si="22"/>
        <v>0</v>
      </c>
      <c r="CE72" s="147">
        <f t="shared" si="22"/>
        <v>0</v>
      </c>
      <c r="CF72" s="147">
        <f t="shared" si="22"/>
        <v>0</v>
      </c>
      <c r="CG72" s="147">
        <f t="shared" si="22"/>
        <v>0</v>
      </c>
      <c r="CH72" s="147">
        <f t="shared" si="22"/>
        <v>0</v>
      </c>
      <c r="CI72" s="147">
        <f t="shared" si="22"/>
        <v>0</v>
      </c>
      <c r="CJ72" s="147">
        <f t="shared" si="22"/>
        <v>0</v>
      </c>
      <c r="CK72" s="147">
        <f t="shared" si="22"/>
        <v>0</v>
      </c>
      <c r="CL72" s="147">
        <f t="shared" si="22"/>
        <v>0</v>
      </c>
      <c r="CM72" s="147">
        <f t="shared" si="22"/>
        <v>0</v>
      </c>
      <c r="CN72" s="47">
        <f t="shared" si="22"/>
        <v>0</v>
      </c>
      <c r="CO72" s="147">
        <f t="shared" si="22"/>
        <v>0</v>
      </c>
      <c r="CP72" s="147">
        <f t="shared" si="22"/>
        <v>0</v>
      </c>
      <c r="CQ72" s="147">
        <f t="shared" si="22"/>
        <v>0</v>
      </c>
      <c r="CR72" s="147">
        <f t="shared" si="22"/>
        <v>0</v>
      </c>
      <c r="CS72" s="147">
        <f t="shared" si="22"/>
        <v>0</v>
      </c>
      <c r="CT72" s="147">
        <f t="shared" si="22"/>
        <v>0</v>
      </c>
    </row>
    <row r="73" spans="4:98">
      <c r="D73" s="47">
        <f t="shared" si="12"/>
        <v>0</v>
      </c>
      <c r="E73" s="47">
        <f t="shared" si="23"/>
        <v>0</v>
      </c>
      <c r="F73" s="47">
        <f t="shared" si="23"/>
        <v>0</v>
      </c>
      <c r="G73" s="47">
        <f t="shared" si="23"/>
        <v>0</v>
      </c>
      <c r="H73" s="47">
        <f t="shared" si="23"/>
        <v>0</v>
      </c>
      <c r="I73" s="47">
        <f t="shared" si="23"/>
        <v>0</v>
      </c>
      <c r="J73" s="47">
        <f t="shared" si="23"/>
        <v>0</v>
      </c>
      <c r="K73" s="47">
        <f t="shared" si="23"/>
        <v>0</v>
      </c>
      <c r="L73" s="47">
        <f t="shared" si="23"/>
        <v>0</v>
      </c>
      <c r="M73" s="47">
        <f t="shared" si="23"/>
        <v>0</v>
      </c>
      <c r="N73" s="47">
        <f t="shared" si="23"/>
        <v>0</v>
      </c>
      <c r="O73" s="47">
        <f t="shared" si="23"/>
        <v>0</v>
      </c>
      <c r="P73" s="47">
        <f t="shared" si="23"/>
        <v>0</v>
      </c>
      <c r="Q73" s="47">
        <f t="shared" si="23"/>
        <v>0</v>
      </c>
      <c r="R73" s="47">
        <f t="shared" si="23"/>
        <v>0</v>
      </c>
      <c r="S73" s="47">
        <f t="shared" si="23"/>
        <v>0</v>
      </c>
      <c r="T73" s="47">
        <f t="shared" si="23"/>
        <v>0</v>
      </c>
      <c r="U73" s="47">
        <f t="shared" si="23"/>
        <v>0</v>
      </c>
      <c r="V73" s="147">
        <f t="shared" si="23"/>
        <v>0</v>
      </c>
      <c r="W73" s="147">
        <f t="shared" si="23"/>
        <v>0</v>
      </c>
      <c r="X73" s="147">
        <f t="shared" si="23"/>
        <v>0</v>
      </c>
      <c r="Y73" s="147">
        <f t="shared" si="23"/>
        <v>0</v>
      </c>
      <c r="Z73" s="147">
        <f t="shared" si="23"/>
        <v>0</v>
      </c>
      <c r="AA73" s="147">
        <f t="shared" si="23"/>
        <v>0</v>
      </c>
      <c r="AB73" s="147">
        <f t="shared" si="23"/>
        <v>0</v>
      </c>
      <c r="AC73" s="147">
        <f t="shared" si="23"/>
        <v>0</v>
      </c>
      <c r="AD73" s="147">
        <f t="shared" si="23"/>
        <v>0</v>
      </c>
      <c r="AE73" s="147">
        <f t="shared" si="23"/>
        <v>0</v>
      </c>
      <c r="AF73" s="147">
        <f t="shared" si="23"/>
        <v>0</v>
      </c>
      <c r="AG73" s="147">
        <f t="shared" si="23"/>
        <v>0</v>
      </c>
      <c r="AH73" s="147">
        <f t="shared" si="23"/>
        <v>0</v>
      </c>
      <c r="AI73" s="147">
        <f t="shared" si="23"/>
        <v>0</v>
      </c>
      <c r="AJ73" s="147">
        <f t="shared" si="23"/>
        <v>0</v>
      </c>
      <c r="AK73" s="147">
        <f t="shared" si="23"/>
        <v>0</v>
      </c>
      <c r="AL73" s="147">
        <f t="shared" si="23"/>
        <v>0</v>
      </c>
      <c r="AM73" s="147">
        <f t="shared" si="23"/>
        <v>0</v>
      </c>
      <c r="AN73" s="147">
        <f t="shared" si="23"/>
        <v>0</v>
      </c>
      <c r="AO73" s="147">
        <f t="shared" si="23"/>
        <v>0</v>
      </c>
      <c r="AP73" s="147">
        <f t="shared" si="23"/>
        <v>0</v>
      </c>
      <c r="AQ73" s="147">
        <f t="shared" si="23"/>
        <v>0</v>
      </c>
      <c r="AR73" s="147">
        <f t="shared" si="23"/>
        <v>0</v>
      </c>
      <c r="AS73" s="147">
        <f t="shared" si="23"/>
        <v>0</v>
      </c>
      <c r="AT73" s="147">
        <f t="shared" si="23"/>
        <v>0</v>
      </c>
      <c r="AU73" s="147">
        <f t="shared" si="23"/>
        <v>0</v>
      </c>
      <c r="AV73" s="147">
        <f t="shared" si="23"/>
        <v>0</v>
      </c>
      <c r="AW73" s="147">
        <f t="shared" si="23"/>
        <v>0</v>
      </c>
      <c r="AX73" s="147">
        <f t="shared" si="23"/>
        <v>0</v>
      </c>
      <c r="AY73" s="147">
        <f t="shared" si="23"/>
        <v>0</v>
      </c>
      <c r="AZ73" s="147">
        <f t="shared" si="23"/>
        <v>0</v>
      </c>
      <c r="BA73" s="147">
        <f t="shared" si="23"/>
        <v>0</v>
      </c>
      <c r="BB73" s="147">
        <f t="shared" si="23"/>
        <v>0</v>
      </c>
      <c r="BC73" s="147">
        <f t="shared" si="23"/>
        <v>0</v>
      </c>
      <c r="BD73" s="147">
        <f t="shared" si="23"/>
        <v>0</v>
      </c>
      <c r="BE73" s="147">
        <f t="shared" si="23"/>
        <v>0</v>
      </c>
      <c r="BF73" s="147">
        <f t="shared" si="23"/>
        <v>0</v>
      </c>
      <c r="BG73" s="147">
        <f t="shared" si="23"/>
        <v>0</v>
      </c>
      <c r="BH73" s="147">
        <f t="shared" si="23"/>
        <v>0</v>
      </c>
      <c r="BI73" s="147">
        <f t="shared" si="23"/>
        <v>0</v>
      </c>
      <c r="BJ73" s="147">
        <f t="shared" si="23"/>
        <v>0</v>
      </c>
      <c r="BK73" s="147">
        <f t="shared" si="23"/>
        <v>0</v>
      </c>
      <c r="BL73" s="147">
        <f t="shared" si="23"/>
        <v>0</v>
      </c>
      <c r="BM73" s="147">
        <f t="shared" si="23"/>
        <v>0</v>
      </c>
      <c r="BN73" s="147">
        <f t="shared" si="23"/>
        <v>0</v>
      </c>
      <c r="BO73" s="147">
        <f t="shared" si="23"/>
        <v>0</v>
      </c>
      <c r="BP73" s="147">
        <f t="shared" si="23"/>
        <v>0</v>
      </c>
      <c r="BQ73" s="147">
        <f t="shared" si="22"/>
        <v>0</v>
      </c>
      <c r="BR73" s="147">
        <f t="shared" si="22"/>
        <v>0</v>
      </c>
      <c r="BS73" s="147">
        <f t="shared" si="22"/>
        <v>0</v>
      </c>
      <c r="BT73" s="147">
        <f t="shared" si="22"/>
        <v>0</v>
      </c>
      <c r="BU73" s="147">
        <f t="shared" si="22"/>
        <v>0</v>
      </c>
      <c r="BV73" s="147">
        <f t="shared" si="22"/>
        <v>0</v>
      </c>
      <c r="BW73" s="147">
        <f t="shared" si="22"/>
        <v>0</v>
      </c>
      <c r="BX73" s="147">
        <f t="shared" si="22"/>
        <v>0</v>
      </c>
      <c r="BY73" s="147">
        <f t="shared" si="22"/>
        <v>0</v>
      </c>
      <c r="BZ73" s="147">
        <f t="shared" si="22"/>
        <v>0</v>
      </c>
      <c r="CA73" s="147">
        <f t="shared" si="22"/>
        <v>0</v>
      </c>
      <c r="CB73" s="147">
        <f t="shared" si="22"/>
        <v>0</v>
      </c>
      <c r="CC73" s="147">
        <f t="shared" si="22"/>
        <v>0</v>
      </c>
      <c r="CD73" s="147">
        <f t="shared" si="22"/>
        <v>0</v>
      </c>
      <c r="CE73" s="147">
        <f t="shared" si="22"/>
        <v>0</v>
      </c>
      <c r="CF73" s="147">
        <f t="shared" si="22"/>
        <v>0</v>
      </c>
      <c r="CG73" s="147">
        <f t="shared" si="22"/>
        <v>0</v>
      </c>
      <c r="CH73" s="147">
        <f t="shared" si="22"/>
        <v>0</v>
      </c>
      <c r="CI73" s="147">
        <f t="shared" si="22"/>
        <v>0</v>
      </c>
      <c r="CJ73" s="147">
        <f t="shared" si="22"/>
        <v>0</v>
      </c>
      <c r="CK73" s="147">
        <f t="shared" si="22"/>
        <v>0</v>
      </c>
      <c r="CL73" s="147">
        <f t="shared" si="22"/>
        <v>0</v>
      </c>
      <c r="CM73" s="147">
        <f t="shared" si="22"/>
        <v>0</v>
      </c>
      <c r="CN73" s="47">
        <f t="shared" si="22"/>
        <v>0</v>
      </c>
      <c r="CO73" s="147">
        <f t="shared" si="22"/>
        <v>0</v>
      </c>
      <c r="CP73" s="147">
        <f t="shared" si="22"/>
        <v>0</v>
      </c>
      <c r="CQ73" s="147">
        <f t="shared" si="22"/>
        <v>0</v>
      </c>
      <c r="CR73" s="147">
        <f t="shared" si="22"/>
        <v>0</v>
      </c>
      <c r="CS73" s="147">
        <f t="shared" si="22"/>
        <v>0</v>
      </c>
      <c r="CT73" s="147">
        <f t="shared" si="22"/>
        <v>0</v>
      </c>
    </row>
    <row r="74" spans="4:98">
      <c r="D74" s="47">
        <f t="shared" si="12"/>
        <v>0</v>
      </c>
      <c r="E74" s="47">
        <f t="shared" si="23"/>
        <v>0</v>
      </c>
      <c r="F74" s="47">
        <f t="shared" si="23"/>
        <v>0</v>
      </c>
      <c r="G74" s="47">
        <f t="shared" si="23"/>
        <v>0</v>
      </c>
      <c r="H74" s="47">
        <f t="shared" si="23"/>
        <v>0</v>
      </c>
      <c r="I74" s="47">
        <f t="shared" si="23"/>
        <v>0</v>
      </c>
      <c r="J74" s="47">
        <f t="shared" si="23"/>
        <v>0</v>
      </c>
      <c r="K74" s="47">
        <f t="shared" si="23"/>
        <v>0</v>
      </c>
      <c r="L74" s="47">
        <f t="shared" si="23"/>
        <v>0</v>
      </c>
      <c r="M74" s="47">
        <f t="shared" si="23"/>
        <v>0</v>
      </c>
      <c r="N74" s="47">
        <f t="shared" si="23"/>
        <v>0</v>
      </c>
      <c r="O74" s="47">
        <f t="shared" si="23"/>
        <v>0</v>
      </c>
      <c r="P74" s="47">
        <f t="shared" si="23"/>
        <v>0</v>
      </c>
      <c r="Q74" s="47">
        <f t="shared" si="23"/>
        <v>0</v>
      </c>
      <c r="R74" s="47">
        <f t="shared" si="23"/>
        <v>0</v>
      </c>
      <c r="S74" s="47">
        <f t="shared" si="23"/>
        <v>0</v>
      </c>
      <c r="T74" s="47">
        <f t="shared" si="23"/>
        <v>0</v>
      </c>
      <c r="U74" s="47">
        <f t="shared" si="23"/>
        <v>0</v>
      </c>
      <c r="V74" s="147">
        <f t="shared" si="23"/>
        <v>0</v>
      </c>
      <c r="W74" s="147">
        <f t="shared" si="23"/>
        <v>0</v>
      </c>
      <c r="X74" s="147">
        <f t="shared" si="23"/>
        <v>0</v>
      </c>
      <c r="Y74" s="147">
        <f t="shared" si="23"/>
        <v>0</v>
      </c>
      <c r="Z74" s="147">
        <f t="shared" si="23"/>
        <v>0</v>
      </c>
      <c r="AA74" s="147">
        <f t="shared" si="23"/>
        <v>0</v>
      </c>
      <c r="AB74" s="147">
        <f t="shared" si="23"/>
        <v>0</v>
      </c>
      <c r="AC74" s="147">
        <f t="shared" si="23"/>
        <v>0</v>
      </c>
      <c r="AD74" s="147">
        <f t="shared" si="23"/>
        <v>0</v>
      </c>
      <c r="AE74" s="147">
        <f t="shared" si="23"/>
        <v>0</v>
      </c>
      <c r="AF74" s="147">
        <f t="shared" si="23"/>
        <v>0</v>
      </c>
      <c r="AG74" s="147">
        <f t="shared" si="23"/>
        <v>0</v>
      </c>
      <c r="AH74" s="147">
        <f t="shared" si="23"/>
        <v>0</v>
      </c>
      <c r="AI74" s="147">
        <f t="shared" si="23"/>
        <v>0</v>
      </c>
      <c r="AJ74" s="147">
        <f t="shared" si="23"/>
        <v>0</v>
      </c>
      <c r="AK74" s="147">
        <f t="shared" si="23"/>
        <v>0</v>
      </c>
      <c r="AL74" s="147">
        <f t="shared" si="23"/>
        <v>0</v>
      </c>
      <c r="AM74" s="147">
        <f t="shared" si="23"/>
        <v>0</v>
      </c>
      <c r="AN74" s="147">
        <f t="shared" si="23"/>
        <v>0</v>
      </c>
      <c r="AO74" s="147">
        <f t="shared" si="23"/>
        <v>0</v>
      </c>
      <c r="AP74" s="147">
        <f t="shared" si="23"/>
        <v>0</v>
      </c>
      <c r="AQ74" s="147">
        <f t="shared" si="23"/>
        <v>0</v>
      </c>
      <c r="AR74" s="147">
        <f t="shared" si="23"/>
        <v>0</v>
      </c>
      <c r="AS74" s="147">
        <f t="shared" si="23"/>
        <v>0</v>
      </c>
      <c r="AT74" s="147">
        <f t="shared" si="23"/>
        <v>0</v>
      </c>
      <c r="AU74" s="147">
        <f t="shared" si="23"/>
        <v>0</v>
      </c>
      <c r="AV74" s="147">
        <f t="shared" si="23"/>
        <v>0</v>
      </c>
      <c r="AW74" s="147">
        <f t="shared" si="23"/>
        <v>0</v>
      </c>
      <c r="AX74" s="147">
        <f t="shared" si="23"/>
        <v>0</v>
      </c>
      <c r="AY74" s="147">
        <f t="shared" si="23"/>
        <v>0</v>
      </c>
      <c r="AZ74" s="147">
        <f t="shared" si="23"/>
        <v>0</v>
      </c>
      <c r="BA74" s="147">
        <f t="shared" si="23"/>
        <v>0</v>
      </c>
      <c r="BB74" s="147">
        <f t="shared" si="23"/>
        <v>0</v>
      </c>
      <c r="BC74" s="147">
        <f t="shared" si="23"/>
        <v>0</v>
      </c>
      <c r="BD74" s="147">
        <f t="shared" si="23"/>
        <v>0</v>
      </c>
      <c r="BE74" s="147">
        <f t="shared" si="23"/>
        <v>0</v>
      </c>
      <c r="BF74" s="147">
        <f t="shared" si="23"/>
        <v>0</v>
      </c>
      <c r="BG74" s="147">
        <f t="shared" si="23"/>
        <v>0</v>
      </c>
      <c r="BH74" s="147">
        <f t="shared" si="23"/>
        <v>0</v>
      </c>
      <c r="BI74" s="147">
        <f t="shared" si="23"/>
        <v>0</v>
      </c>
      <c r="BJ74" s="147">
        <f t="shared" si="23"/>
        <v>0</v>
      </c>
      <c r="BK74" s="147">
        <f t="shared" si="23"/>
        <v>0</v>
      </c>
      <c r="BL74" s="147">
        <f t="shared" si="23"/>
        <v>0</v>
      </c>
      <c r="BM74" s="147">
        <f t="shared" si="23"/>
        <v>0</v>
      </c>
      <c r="BN74" s="147">
        <f t="shared" si="23"/>
        <v>0</v>
      </c>
      <c r="BO74" s="147">
        <f t="shared" si="23"/>
        <v>0</v>
      </c>
      <c r="BP74" s="147">
        <f t="shared" si="23"/>
        <v>0</v>
      </c>
      <c r="BQ74" s="147">
        <f t="shared" si="22"/>
        <v>0</v>
      </c>
      <c r="BR74" s="147">
        <f t="shared" si="22"/>
        <v>0</v>
      </c>
      <c r="BS74" s="147">
        <f t="shared" si="22"/>
        <v>0</v>
      </c>
      <c r="BT74" s="147">
        <f t="shared" si="22"/>
        <v>0</v>
      </c>
      <c r="BU74" s="147">
        <f t="shared" si="22"/>
        <v>0</v>
      </c>
      <c r="BV74" s="147">
        <f t="shared" si="22"/>
        <v>0</v>
      </c>
      <c r="BW74" s="147">
        <f t="shared" si="22"/>
        <v>0</v>
      </c>
      <c r="BX74" s="147">
        <f t="shared" si="22"/>
        <v>0</v>
      </c>
      <c r="BY74" s="147">
        <f t="shared" si="22"/>
        <v>0</v>
      </c>
      <c r="BZ74" s="147">
        <f t="shared" si="22"/>
        <v>0</v>
      </c>
      <c r="CA74" s="147">
        <f t="shared" si="22"/>
        <v>0</v>
      </c>
      <c r="CB74" s="147">
        <f t="shared" si="22"/>
        <v>0</v>
      </c>
      <c r="CC74" s="147">
        <f t="shared" si="22"/>
        <v>0</v>
      </c>
      <c r="CD74" s="147">
        <f t="shared" si="22"/>
        <v>0</v>
      </c>
      <c r="CE74" s="147">
        <f t="shared" si="22"/>
        <v>0</v>
      </c>
      <c r="CF74" s="147">
        <f t="shared" si="22"/>
        <v>0</v>
      </c>
      <c r="CG74" s="147">
        <f t="shared" si="22"/>
        <v>0</v>
      </c>
      <c r="CH74" s="147">
        <f t="shared" si="22"/>
        <v>0</v>
      </c>
      <c r="CI74" s="147">
        <f t="shared" si="22"/>
        <v>0</v>
      </c>
      <c r="CJ74" s="147">
        <f t="shared" si="22"/>
        <v>0</v>
      </c>
      <c r="CK74" s="147">
        <f t="shared" si="22"/>
        <v>0</v>
      </c>
      <c r="CL74" s="147">
        <f t="shared" si="22"/>
        <v>0</v>
      </c>
      <c r="CM74" s="147">
        <f t="shared" si="22"/>
        <v>0</v>
      </c>
      <c r="CN74" s="47">
        <f t="shared" si="22"/>
        <v>0</v>
      </c>
      <c r="CO74" s="147">
        <f t="shared" si="22"/>
        <v>0</v>
      </c>
      <c r="CP74" s="147">
        <f t="shared" si="22"/>
        <v>0</v>
      </c>
      <c r="CQ74" s="147">
        <f t="shared" si="22"/>
        <v>0</v>
      </c>
      <c r="CR74" s="147">
        <f t="shared" si="22"/>
        <v>0</v>
      </c>
      <c r="CS74" s="147">
        <f t="shared" si="22"/>
        <v>0</v>
      </c>
      <c r="CT74" s="147">
        <f t="shared" si="22"/>
        <v>0</v>
      </c>
    </row>
    <row r="75" spans="4:98">
      <c r="D75" s="47">
        <f t="shared" si="12"/>
        <v>0</v>
      </c>
      <c r="E75" s="47">
        <f t="shared" si="23"/>
        <v>0</v>
      </c>
      <c r="F75" s="47">
        <f t="shared" si="23"/>
        <v>0</v>
      </c>
      <c r="G75" s="47">
        <f t="shared" si="23"/>
        <v>0</v>
      </c>
      <c r="H75" s="47">
        <f t="shared" si="23"/>
        <v>0</v>
      </c>
      <c r="I75" s="47">
        <f t="shared" si="23"/>
        <v>0</v>
      </c>
      <c r="J75" s="47">
        <f t="shared" si="23"/>
        <v>0</v>
      </c>
      <c r="K75" s="47">
        <f t="shared" si="23"/>
        <v>0</v>
      </c>
      <c r="L75" s="47">
        <f t="shared" si="23"/>
        <v>0</v>
      </c>
      <c r="M75" s="47">
        <f t="shared" si="23"/>
        <v>0</v>
      </c>
      <c r="N75" s="47">
        <f t="shared" si="23"/>
        <v>0</v>
      </c>
      <c r="O75" s="47">
        <f t="shared" si="23"/>
        <v>0</v>
      </c>
      <c r="P75" s="47">
        <f t="shared" si="23"/>
        <v>0</v>
      </c>
      <c r="Q75" s="47">
        <f t="shared" si="23"/>
        <v>0</v>
      </c>
      <c r="R75" s="47">
        <f t="shared" si="23"/>
        <v>0</v>
      </c>
      <c r="S75" s="47">
        <f t="shared" si="23"/>
        <v>0</v>
      </c>
      <c r="T75" s="47">
        <f t="shared" si="23"/>
        <v>0</v>
      </c>
      <c r="U75" s="47">
        <f t="shared" si="23"/>
        <v>0</v>
      </c>
      <c r="V75" s="147">
        <f t="shared" si="23"/>
        <v>0</v>
      </c>
      <c r="W75" s="147">
        <f t="shared" si="23"/>
        <v>0</v>
      </c>
      <c r="X75" s="147">
        <f t="shared" si="23"/>
        <v>0</v>
      </c>
      <c r="Y75" s="147">
        <f t="shared" si="23"/>
        <v>0</v>
      </c>
      <c r="Z75" s="147">
        <f t="shared" si="23"/>
        <v>0</v>
      </c>
      <c r="AA75" s="147">
        <f t="shared" si="23"/>
        <v>0</v>
      </c>
      <c r="AB75" s="147">
        <f t="shared" si="23"/>
        <v>0</v>
      </c>
      <c r="AC75" s="147">
        <f t="shared" si="23"/>
        <v>0</v>
      </c>
      <c r="AD75" s="147">
        <f t="shared" si="23"/>
        <v>0</v>
      </c>
      <c r="AE75" s="147">
        <f t="shared" si="23"/>
        <v>0</v>
      </c>
      <c r="AF75" s="147">
        <f t="shared" si="23"/>
        <v>0</v>
      </c>
      <c r="AG75" s="147">
        <f t="shared" si="23"/>
        <v>0</v>
      </c>
      <c r="AH75" s="147">
        <f t="shared" si="23"/>
        <v>0</v>
      </c>
      <c r="AI75" s="147">
        <f t="shared" si="23"/>
        <v>0</v>
      </c>
      <c r="AJ75" s="147">
        <f t="shared" si="23"/>
        <v>0</v>
      </c>
      <c r="AK75" s="147">
        <f t="shared" si="23"/>
        <v>0</v>
      </c>
      <c r="AL75" s="147">
        <f t="shared" si="23"/>
        <v>0</v>
      </c>
      <c r="AM75" s="147">
        <f t="shared" si="23"/>
        <v>0</v>
      </c>
      <c r="AN75" s="147">
        <f t="shared" si="23"/>
        <v>0</v>
      </c>
      <c r="AO75" s="147">
        <f t="shared" si="23"/>
        <v>0</v>
      </c>
      <c r="AP75" s="147">
        <f t="shared" si="23"/>
        <v>0</v>
      </c>
      <c r="AQ75" s="147">
        <f t="shared" si="23"/>
        <v>0</v>
      </c>
      <c r="AR75" s="147">
        <f t="shared" si="23"/>
        <v>0</v>
      </c>
      <c r="AS75" s="147">
        <f t="shared" si="23"/>
        <v>0</v>
      </c>
      <c r="AT75" s="147">
        <f t="shared" si="23"/>
        <v>0</v>
      </c>
      <c r="AU75" s="147">
        <f t="shared" si="23"/>
        <v>0</v>
      </c>
      <c r="AV75" s="147">
        <f t="shared" si="23"/>
        <v>0</v>
      </c>
      <c r="AW75" s="147">
        <f t="shared" si="23"/>
        <v>0</v>
      </c>
      <c r="AX75" s="147">
        <f t="shared" si="23"/>
        <v>0</v>
      </c>
      <c r="AY75" s="147">
        <f t="shared" si="23"/>
        <v>0</v>
      </c>
      <c r="AZ75" s="147">
        <f t="shared" si="23"/>
        <v>0</v>
      </c>
      <c r="BA75" s="147">
        <f t="shared" si="23"/>
        <v>0</v>
      </c>
      <c r="BB75" s="147">
        <f t="shared" si="23"/>
        <v>0</v>
      </c>
      <c r="BC75" s="147">
        <f t="shared" si="23"/>
        <v>0</v>
      </c>
      <c r="BD75" s="147">
        <f t="shared" si="23"/>
        <v>0</v>
      </c>
      <c r="BE75" s="147">
        <f t="shared" si="23"/>
        <v>0</v>
      </c>
      <c r="BF75" s="147">
        <f t="shared" si="23"/>
        <v>0</v>
      </c>
      <c r="BG75" s="147">
        <f t="shared" si="23"/>
        <v>0</v>
      </c>
      <c r="BH75" s="147">
        <f t="shared" si="23"/>
        <v>0</v>
      </c>
      <c r="BI75" s="147">
        <f t="shared" si="23"/>
        <v>0</v>
      </c>
      <c r="BJ75" s="147">
        <f t="shared" si="23"/>
        <v>0</v>
      </c>
      <c r="BK75" s="147">
        <f t="shared" si="23"/>
        <v>0</v>
      </c>
      <c r="BL75" s="147">
        <f t="shared" si="23"/>
        <v>0</v>
      </c>
      <c r="BM75" s="147">
        <f t="shared" si="23"/>
        <v>0</v>
      </c>
      <c r="BN75" s="147">
        <f t="shared" si="23"/>
        <v>0</v>
      </c>
      <c r="BO75" s="147">
        <f t="shared" si="23"/>
        <v>0</v>
      </c>
      <c r="BP75" s="147">
        <f t="shared" ref="BP75:CT78" si="24">BP38/1.01</f>
        <v>0</v>
      </c>
      <c r="BQ75" s="147">
        <f t="shared" si="24"/>
        <v>0</v>
      </c>
      <c r="BR75" s="147">
        <f t="shared" si="24"/>
        <v>0</v>
      </c>
      <c r="BS75" s="147">
        <f t="shared" si="24"/>
        <v>0</v>
      </c>
      <c r="BT75" s="147">
        <f t="shared" si="24"/>
        <v>0</v>
      </c>
      <c r="BU75" s="147">
        <f t="shared" si="24"/>
        <v>0</v>
      </c>
      <c r="BV75" s="147">
        <f t="shared" si="24"/>
        <v>0</v>
      </c>
      <c r="BW75" s="147">
        <f t="shared" si="24"/>
        <v>0</v>
      </c>
      <c r="BX75" s="147">
        <f t="shared" si="24"/>
        <v>0</v>
      </c>
      <c r="BY75" s="147">
        <f t="shared" si="24"/>
        <v>0</v>
      </c>
      <c r="BZ75" s="147">
        <f t="shared" si="24"/>
        <v>0</v>
      </c>
      <c r="CA75" s="147">
        <f t="shared" si="24"/>
        <v>0</v>
      </c>
      <c r="CB75" s="147">
        <f t="shared" si="24"/>
        <v>0</v>
      </c>
      <c r="CC75" s="147">
        <f t="shared" si="24"/>
        <v>0</v>
      </c>
      <c r="CD75" s="147">
        <f t="shared" si="24"/>
        <v>0</v>
      </c>
      <c r="CE75" s="147">
        <f t="shared" si="24"/>
        <v>0</v>
      </c>
      <c r="CF75" s="147">
        <f t="shared" si="24"/>
        <v>0</v>
      </c>
      <c r="CG75" s="147">
        <f t="shared" si="24"/>
        <v>0</v>
      </c>
      <c r="CH75" s="147">
        <f t="shared" si="24"/>
        <v>0</v>
      </c>
      <c r="CI75" s="147">
        <f t="shared" si="24"/>
        <v>0</v>
      </c>
      <c r="CJ75" s="147">
        <f t="shared" si="24"/>
        <v>0</v>
      </c>
      <c r="CK75" s="147">
        <f t="shared" si="24"/>
        <v>0</v>
      </c>
      <c r="CL75" s="147">
        <f t="shared" si="24"/>
        <v>0</v>
      </c>
      <c r="CM75" s="147">
        <f t="shared" si="24"/>
        <v>0</v>
      </c>
      <c r="CN75" s="47">
        <f t="shared" si="24"/>
        <v>0</v>
      </c>
      <c r="CO75" s="147">
        <f t="shared" si="24"/>
        <v>0</v>
      </c>
      <c r="CP75" s="147">
        <f t="shared" si="24"/>
        <v>0</v>
      </c>
      <c r="CQ75" s="147">
        <f t="shared" si="24"/>
        <v>0</v>
      </c>
      <c r="CR75" s="147">
        <f t="shared" si="24"/>
        <v>0</v>
      </c>
      <c r="CS75" s="147">
        <f t="shared" si="24"/>
        <v>0</v>
      </c>
      <c r="CT75" s="147">
        <f t="shared" si="24"/>
        <v>0</v>
      </c>
    </row>
    <row r="76" spans="4:98">
      <c r="D76" s="47">
        <f t="shared" si="12"/>
        <v>0</v>
      </c>
      <c r="E76" s="47">
        <f t="shared" ref="E76:BP79" si="25">E39/1.01</f>
        <v>0</v>
      </c>
      <c r="F76" s="47">
        <f t="shared" si="25"/>
        <v>0</v>
      </c>
      <c r="G76" s="47">
        <f t="shared" si="25"/>
        <v>0</v>
      </c>
      <c r="H76" s="47">
        <f t="shared" si="25"/>
        <v>0</v>
      </c>
      <c r="I76" s="47">
        <f t="shared" si="25"/>
        <v>0</v>
      </c>
      <c r="J76" s="47">
        <f t="shared" si="25"/>
        <v>0</v>
      </c>
      <c r="K76" s="47">
        <f t="shared" si="25"/>
        <v>0</v>
      </c>
      <c r="L76" s="47">
        <f t="shared" si="25"/>
        <v>0</v>
      </c>
      <c r="M76" s="47">
        <f t="shared" si="25"/>
        <v>0</v>
      </c>
      <c r="N76" s="47">
        <f t="shared" si="25"/>
        <v>0</v>
      </c>
      <c r="O76" s="47">
        <f t="shared" si="25"/>
        <v>0</v>
      </c>
      <c r="P76" s="47">
        <f t="shared" si="25"/>
        <v>0</v>
      </c>
      <c r="Q76" s="47">
        <f t="shared" si="25"/>
        <v>0</v>
      </c>
      <c r="R76" s="47">
        <f t="shared" si="25"/>
        <v>0</v>
      </c>
      <c r="S76" s="47">
        <f t="shared" si="25"/>
        <v>0</v>
      </c>
      <c r="T76" s="47">
        <f t="shared" si="25"/>
        <v>0</v>
      </c>
      <c r="U76" s="47">
        <f t="shared" si="25"/>
        <v>0</v>
      </c>
      <c r="V76" s="147">
        <f t="shared" si="25"/>
        <v>0</v>
      </c>
      <c r="W76" s="147">
        <f t="shared" si="25"/>
        <v>0</v>
      </c>
      <c r="X76" s="147">
        <f t="shared" si="25"/>
        <v>0</v>
      </c>
      <c r="Y76" s="147">
        <f t="shared" si="25"/>
        <v>0</v>
      </c>
      <c r="Z76" s="147">
        <f t="shared" si="25"/>
        <v>0</v>
      </c>
      <c r="AA76" s="147">
        <f t="shared" si="25"/>
        <v>0</v>
      </c>
      <c r="AB76" s="147">
        <f t="shared" si="25"/>
        <v>0</v>
      </c>
      <c r="AC76" s="147">
        <f t="shared" si="25"/>
        <v>0</v>
      </c>
      <c r="AD76" s="147">
        <f t="shared" si="25"/>
        <v>0</v>
      </c>
      <c r="AE76" s="147">
        <f t="shared" si="25"/>
        <v>0</v>
      </c>
      <c r="AF76" s="147">
        <f t="shared" si="25"/>
        <v>0</v>
      </c>
      <c r="AG76" s="147">
        <f t="shared" si="25"/>
        <v>0</v>
      </c>
      <c r="AH76" s="147">
        <f t="shared" si="25"/>
        <v>0</v>
      </c>
      <c r="AI76" s="147">
        <f t="shared" si="25"/>
        <v>0</v>
      </c>
      <c r="AJ76" s="147">
        <f t="shared" si="25"/>
        <v>0</v>
      </c>
      <c r="AK76" s="147">
        <f t="shared" si="25"/>
        <v>0</v>
      </c>
      <c r="AL76" s="147">
        <f t="shared" si="25"/>
        <v>0</v>
      </c>
      <c r="AM76" s="147">
        <f t="shared" si="25"/>
        <v>0</v>
      </c>
      <c r="AN76" s="147">
        <f t="shared" si="25"/>
        <v>0</v>
      </c>
      <c r="AO76" s="147">
        <f t="shared" si="25"/>
        <v>0</v>
      </c>
      <c r="AP76" s="147">
        <f t="shared" si="25"/>
        <v>0</v>
      </c>
      <c r="AQ76" s="147">
        <f t="shared" si="25"/>
        <v>0</v>
      </c>
      <c r="AR76" s="147">
        <f t="shared" si="25"/>
        <v>0</v>
      </c>
      <c r="AS76" s="147">
        <f t="shared" si="25"/>
        <v>0</v>
      </c>
      <c r="AT76" s="147">
        <f t="shared" si="25"/>
        <v>0</v>
      </c>
      <c r="AU76" s="147">
        <f t="shared" si="25"/>
        <v>0</v>
      </c>
      <c r="AV76" s="147">
        <f t="shared" si="25"/>
        <v>0</v>
      </c>
      <c r="AW76" s="147">
        <f t="shared" si="25"/>
        <v>0</v>
      </c>
      <c r="AX76" s="147">
        <f t="shared" si="25"/>
        <v>0</v>
      </c>
      <c r="AY76" s="147">
        <f t="shared" si="25"/>
        <v>0</v>
      </c>
      <c r="AZ76" s="147">
        <f t="shared" si="25"/>
        <v>0</v>
      </c>
      <c r="BA76" s="147">
        <f t="shared" si="25"/>
        <v>0</v>
      </c>
      <c r="BB76" s="147">
        <f t="shared" si="25"/>
        <v>0</v>
      </c>
      <c r="BC76" s="147">
        <f t="shared" si="25"/>
        <v>0</v>
      </c>
      <c r="BD76" s="147">
        <f t="shared" si="25"/>
        <v>0</v>
      </c>
      <c r="BE76" s="147">
        <f t="shared" si="25"/>
        <v>0</v>
      </c>
      <c r="BF76" s="147">
        <f t="shared" si="25"/>
        <v>0</v>
      </c>
      <c r="BG76" s="147">
        <f t="shared" si="25"/>
        <v>0</v>
      </c>
      <c r="BH76" s="147">
        <f t="shared" si="25"/>
        <v>0</v>
      </c>
      <c r="BI76" s="147">
        <f t="shared" si="25"/>
        <v>0</v>
      </c>
      <c r="BJ76" s="147">
        <f t="shared" si="25"/>
        <v>0</v>
      </c>
      <c r="BK76" s="147">
        <f t="shared" si="25"/>
        <v>0</v>
      </c>
      <c r="BL76" s="147">
        <f t="shared" si="25"/>
        <v>0</v>
      </c>
      <c r="BM76" s="147">
        <f t="shared" si="25"/>
        <v>0</v>
      </c>
      <c r="BN76" s="147">
        <f t="shared" si="25"/>
        <v>0</v>
      </c>
      <c r="BO76" s="147">
        <f t="shared" si="25"/>
        <v>0</v>
      </c>
      <c r="BP76" s="147">
        <f t="shared" si="25"/>
        <v>0</v>
      </c>
      <c r="BQ76" s="147">
        <f t="shared" si="24"/>
        <v>0</v>
      </c>
      <c r="BR76" s="147">
        <f t="shared" si="24"/>
        <v>0</v>
      </c>
      <c r="BS76" s="147">
        <f t="shared" si="24"/>
        <v>0</v>
      </c>
      <c r="BT76" s="147">
        <f t="shared" si="24"/>
        <v>0</v>
      </c>
      <c r="BU76" s="147">
        <f t="shared" si="24"/>
        <v>0</v>
      </c>
      <c r="BV76" s="147">
        <f t="shared" si="24"/>
        <v>0</v>
      </c>
      <c r="BW76" s="147">
        <f t="shared" si="24"/>
        <v>0</v>
      </c>
      <c r="BX76" s="147">
        <f t="shared" si="24"/>
        <v>0</v>
      </c>
      <c r="BY76" s="147">
        <f t="shared" si="24"/>
        <v>0</v>
      </c>
      <c r="BZ76" s="147">
        <f t="shared" si="24"/>
        <v>0</v>
      </c>
      <c r="CA76" s="147">
        <f t="shared" si="24"/>
        <v>0</v>
      </c>
      <c r="CB76" s="147">
        <f t="shared" si="24"/>
        <v>0</v>
      </c>
      <c r="CC76" s="147">
        <f t="shared" si="24"/>
        <v>0</v>
      </c>
      <c r="CD76" s="147">
        <f t="shared" si="24"/>
        <v>0</v>
      </c>
      <c r="CE76" s="147">
        <f t="shared" si="24"/>
        <v>0</v>
      </c>
      <c r="CF76" s="147">
        <f t="shared" si="24"/>
        <v>0</v>
      </c>
      <c r="CG76" s="147">
        <f t="shared" si="24"/>
        <v>0</v>
      </c>
      <c r="CH76" s="147">
        <f t="shared" si="24"/>
        <v>0</v>
      </c>
      <c r="CI76" s="147">
        <f t="shared" si="24"/>
        <v>0</v>
      </c>
      <c r="CJ76" s="147">
        <f t="shared" si="24"/>
        <v>0</v>
      </c>
      <c r="CK76" s="147">
        <f t="shared" si="24"/>
        <v>0</v>
      </c>
      <c r="CL76" s="147">
        <f t="shared" si="24"/>
        <v>0</v>
      </c>
      <c r="CM76" s="147">
        <f t="shared" si="24"/>
        <v>0</v>
      </c>
      <c r="CN76" s="47">
        <f t="shared" si="24"/>
        <v>0</v>
      </c>
      <c r="CO76" s="147">
        <f t="shared" si="24"/>
        <v>0</v>
      </c>
      <c r="CP76" s="147">
        <f t="shared" si="24"/>
        <v>0</v>
      </c>
      <c r="CQ76" s="147">
        <f t="shared" si="24"/>
        <v>0</v>
      </c>
      <c r="CR76" s="147">
        <f t="shared" si="24"/>
        <v>0</v>
      </c>
      <c r="CS76" s="147">
        <f t="shared" si="24"/>
        <v>0</v>
      </c>
      <c r="CT76" s="147">
        <f t="shared" si="24"/>
        <v>0</v>
      </c>
    </row>
    <row r="77" spans="4:98">
      <c r="D77" s="47">
        <f t="shared" si="12"/>
        <v>0</v>
      </c>
      <c r="E77" s="47">
        <f t="shared" si="25"/>
        <v>0</v>
      </c>
      <c r="F77" s="47">
        <f t="shared" si="25"/>
        <v>0</v>
      </c>
      <c r="G77" s="47">
        <f t="shared" si="25"/>
        <v>0</v>
      </c>
      <c r="H77" s="47">
        <f t="shared" si="25"/>
        <v>0</v>
      </c>
      <c r="I77" s="47">
        <f t="shared" si="25"/>
        <v>0</v>
      </c>
      <c r="J77" s="47">
        <f t="shared" si="25"/>
        <v>0</v>
      </c>
      <c r="K77" s="47">
        <f t="shared" si="25"/>
        <v>0</v>
      </c>
      <c r="L77" s="47">
        <f t="shared" si="25"/>
        <v>0</v>
      </c>
      <c r="M77" s="47">
        <f t="shared" si="25"/>
        <v>0</v>
      </c>
      <c r="N77" s="47">
        <f t="shared" si="25"/>
        <v>0</v>
      </c>
      <c r="O77" s="47">
        <f t="shared" si="25"/>
        <v>0</v>
      </c>
      <c r="P77" s="47">
        <f t="shared" si="25"/>
        <v>0</v>
      </c>
      <c r="Q77" s="47">
        <f t="shared" si="25"/>
        <v>0</v>
      </c>
      <c r="R77" s="47">
        <f t="shared" si="25"/>
        <v>0</v>
      </c>
      <c r="S77" s="47">
        <f t="shared" si="25"/>
        <v>0</v>
      </c>
      <c r="T77" s="47">
        <f t="shared" si="25"/>
        <v>0</v>
      </c>
      <c r="U77" s="47">
        <f t="shared" si="25"/>
        <v>0</v>
      </c>
      <c r="V77" s="147">
        <f t="shared" si="25"/>
        <v>0</v>
      </c>
      <c r="W77" s="147">
        <f t="shared" si="25"/>
        <v>0</v>
      </c>
      <c r="X77" s="147">
        <f t="shared" si="25"/>
        <v>0</v>
      </c>
      <c r="Y77" s="147">
        <f t="shared" si="25"/>
        <v>0</v>
      </c>
      <c r="Z77" s="147">
        <f t="shared" si="25"/>
        <v>0</v>
      </c>
      <c r="AA77" s="147">
        <f t="shared" si="25"/>
        <v>0</v>
      </c>
      <c r="AB77" s="147">
        <f t="shared" si="25"/>
        <v>0</v>
      </c>
      <c r="AC77" s="147">
        <f t="shared" si="25"/>
        <v>0</v>
      </c>
      <c r="AD77" s="147">
        <f t="shared" si="25"/>
        <v>0</v>
      </c>
      <c r="AE77" s="147">
        <f t="shared" si="25"/>
        <v>0</v>
      </c>
      <c r="AF77" s="147">
        <f t="shared" si="25"/>
        <v>0</v>
      </c>
      <c r="AG77" s="147">
        <f t="shared" si="25"/>
        <v>0</v>
      </c>
      <c r="AH77" s="147">
        <f t="shared" si="25"/>
        <v>0</v>
      </c>
      <c r="AI77" s="147">
        <f t="shared" si="25"/>
        <v>0</v>
      </c>
      <c r="AJ77" s="147">
        <f t="shared" si="25"/>
        <v>0</v>
      </c>
      <c r="AK77" s="147">
        <f t="shared" si="25"/>
        <v>0</v>
      </c>
      <c r="AL77" s="147">
        <f t="shared" si="25"/>
        <v>0</v>
      </c>
      <c r="AM77" s="147">
        <f t="shared" si="25"/>
        <v>0</v>
      </c>
      <c r="AN77" s="147">
        <f t="shared" si="25"/>
        <v>0</v>
      </c>
      <c r="AO77" s="147">
        <f t="shared" si="25"/>
        <v>0</v>
      </c>
      <c r="AP77" s="147">
        <f t="shared" si="25"/>
        <v>0</v>
      </c>
      <c r="AQ77" s="147">
        <f t="shared" si="25"/>
        <v>0</v>
      </c>
      <c r="AR77" s="147">
        <f t="shared" si="25"/>
        <v>0</v>
      </c>
      <c r="AS77" s="147">
        <f t="shared" si="25"/>
        <v>0</v>
      </c>
      <c r="AT77" s="147">
        <f t="shared" si="25"/>
        <v>0</v>
      </c>
      <c r="AU77" s="147">
        <f t="shared" si="25"/>
        <v>0</v>
      </c>
      <c r="AV77" s="147">
        <f t="shared" si="25"/>
        <v>0</v>
      </c>
      <c r="AW77" s="147">
        <f t="shared" si="25"/>
        <v>0</v>
      </c>
      <c r="AX77" s="147">
        <f t="shared" si="25"/>
        <v>0</v>
      </c>
      <c r="AY77" s="147">
        <f t="shared" si="25"/>
        <v>0</v>
      </c>
      <c r="AZ77" s="147">
        <f t="shared" si="25"/>
        <v>0</v>
      </c>
      <c r="BA77" s="147">
        <f t="shared" si="25"/>
        <v>0</v>
      </c>
      <c r="BB77" s="147">
        <f t="shared" si="25"/>
        <v>0</v>
      </c>
      <c r="BC77" s="147">
        <f t="shared" si="25"/>
        <v>0</v>
      </c>
      <c r="BD77" s="147">
        <f t="shared" si="25"/>
        <v>0</v>
      </c>
      <c r="BE77" s="147">
        <f t="shared" si="25"/>
        <v>0</v>
      </c>
      <c r="BF77" s="147">
        <f t="shared" si="25"/>
        <v>0</v>
      </c>
      <c r="BG77" s="147">
        <f t="shared" si="25"/>
        <v>0</v>
      </c>
      <c r="BH77" s="147">
        <f t="shared" si="25"/>
        <v>0</v>
      </c>
      <c r="BI77" s="147">
        <f t="shared" si="25"/>
        <v>0</v>
      </c>
      <c r="BJ77" s="147">
        <f t="shared" si="25"/>
        <v>0</v>
      </c>
      <c r="BK77" s="147">
        <f t="shared" si="25"/>
        <v>0</v>
      </c>
      <c r="BL77" s="147">
        <f t="shared" si="25"/>
        <v>0</v>
      </c>
      <c r="BM77" s="147">
        <f t="shared" si="25"/>
        <v>0</v>
      </c>
      <c r="BN77" s="147">
        <f t="shared" si="25"/>
        <v>0</v>
      </c>
      <c r="BO77" s="147">
        <f t="shared" si="25"/>
        <v>0</v>
      </c>
      <c r="BP77" s="147">
        <f t="shared" si="25"/>
        <v>0</v>
      </c>
      <c r="BQ77" s="147">
        <f t="shared" si="24"/>
        <v>0</v>
      </c>
      <c r="BR77" s="147">
        <f t="shared" si="24"/>
        <v>0</v>
      </c>
      <c r="BS77" s="147">
        <f t="shared" si="24"/>
        <v>0</v>
      </c>
      <c r="BT77" s="147">
        <f t="shared" si="24"/>
        <v>0</v>
      </c>
      <c r="BU77" s="147">
        <f t="shared" si="24"/>
        <v>0</v>
      </c>
      <c r="BV77" s="147">
        <f t="shared" si="24"/>
        <v>0</v>
      </c>
      <c r="BW77" s="147">
        <f t="shared" si="24"/>
        <v>0</v>
      </c>
      <c r="BX77" s="147">
        <f t="shared" si="24"/>
        <v>0</v>
      </c>
      <c r="BY77" s="147">
        <f t="shared" si="24"/>
        <v>0</v>
      </c>
      <c r="BZ77" s="147">
        <f t="shared" si="24"/>
        <v>0</v>
      </c>
      <c r="CA77" s="147">
        <f t="shared" si="24"/>
        <v>0</v>
      </c>
      <c r="CB77" s="147">
        <f t="shared" si="24"/>
        <v>0</v>
      </c>
      <c r="CC77" s="147">
        <f t="shared" si="24"/>
        <v>0</v>
      </c>
      <c r="CD77" s="147">
        <f t="shared" si="24"/>
        <v>0</v>
      </c>
      <c r="CE77" s="147">
        <f t="shared" si="24"/>
        <v>0</v>
      </c>
      <c r="CF77" s="147">
        <f t="shared" si="24"/>
        <v>0</v>
      </c>
      <c r="CG77" s="147">
        <f t="shared" si="24"/>
        <v>0</v>
      </c>
      <c r="CH77" s="147">
        <f t="shared" si="24"/>
        <v>0</v>
      </c>
      <c r="CI77" s="147">
        <f t="shared" si="24"/>
        <v>0</v>
      </c>
      <c r="CJ77" s="147">
        <f t="shared" si="24"/>
        <v>0</v>
      </c>
      <c r="CK77" s="147">
        <f t="shared" si="24"/>
        <v>0</v>
      </c>
      <c r="CL77" s="147">
        <f t="shared" si="24"/>
        <v>0</v>
      </c>
      <c r="CM77" s="147">
        <f t="shared" si="24"/>
        <v>0</v>
      </c>
      <c r="CN77" s="47">
        <f t="shared" si="24"/>
        <v>0</v>
      </c>
      <c r="CO77" s="147">
        <f t="shared" si="24"/>
        <v>0</v>
      </c>
      <c r="CP77" s="147">
        <f t="shared" si="24"/>
        <v>0</v>
      </c>
      <c r="CQ77" s="147">
        <f t="shared" si="24"/>
        <v>0</v>
      </c>
      <c r="CR77" s="147">
        <f t="shared" si="24"/>
        <v>0</v>
      </c>
      <c r="CS77" s="147">
        <f t="shared" si="24"/>
        <v>0</v>
      </c>
      <c r="CT77" s="147">
        <f t="shared" si="24"/>
        <v>0</v>
      </c>
    </row>
    <row r="78" spans="4:98">
      <c r="D78" s="47">
        <f t="shared" si="12"/>
        <v>0</v>
      </c>
      <c r="E78" s="47">
        <f t="shared" si="25"/>
        <v>0</v>
      </c>
      <c r="F78" s="47">
        <f t="shared" si="25"/>
        <v>0</v>
      </c>
      <c r="G78" s="47">
        <f t="shared" si="25"/>
        <v>0</v>
      </c>
      <c r="H78" s="47">
        <f t="shared" si="25"/>
        <v>0</v>
      </c>
      <c r="I78" s="47">
        <f t="shared" si="25"/>
        <v>0</v>
      </c>
      <c r="J78" s="47">
        <f t="shared" si="25"/>
        <v>0</v>
      </c>
      <c r="K78" s="47">
        <f t="shared" si="25"/>
        <v>0</v>
      </c>
      <c r="L78" s="47">
        <f t="shared" si="25"/>
        <v>0</v>
      </c>
      <c r="M78" s="47">
        <f t="shared" si="25"/>
        <v>0</v>
      </c>
      <c r="N78" s="47">
        <f t="shared" si="25"/>
        <v>0</v>
      </c>
      <c r="O78" s="47">
        <f t="shared" si="25"/>
        <v>0</v>
      </c>
      <c r="P78" s="47">
        <f t="shared" si="25"/>
        <v>0</v>
      </c>
      <c r="Q78" s="47">
        <f t="shared" si="25"/>
        <v>0</v>
      </c>
      <c r="R78" s="47">
        <f t="shared" si="25"/>
        <v>0</v>
      </c>
      <c r="S78" s="47">
        <f t="shared" si="25"/>
        <v>0</v>
      </c>
      <c r="T78" s="47">
        <f t="shared" si="25"/>
        <v>0</v>
      </c>
      <c r="U78" s="47">
        <f t="shared" si="25"/>
        <v>0</v>
      </c>
      <c r="V78" s="147">
        <f t="shared" si="25"/>
        <v>0</v>
      </c>
      <c r="W78" s="147">
        <f t="shared" si="25"/>
        <v>0</v>
      </c>
      <c r="X78" s="147">
        <f t="shared" si="25"/>
        <v>0</v>
      </c>
      <c r="Y78" s="147">
        <f t="shared" si="25"/>
        <v>0</v>
      </c>
      <c r="Z78" s="147">
        <f t="shared" si="25"/>
        <v>0</v>
      </c>
      <c r="AA78" s="147">
        <f t="shared" si="25"/>
        <v>0</v>
      </c>
      <c r="AB78" s="147">
        <f t="shared" si="25"/>
        <v>0</v>
      </c>
      <c r="AC78" s="147">
        <f t="shared" si="25"/>
        <v>0</v>
      </c>
      <c r="AD78" s="147">
        <f t="shared" si="25"/>
        <v>0</v>
      </c>
      <c r="AE78" s="147">
        <f t="shared" si="25"/>
        <v>0</v>
      </c>
      <c r="AF78" s="147">
        <f t="shared" si="25"/>
        <v>0</v>
      </c>
      <c r="AG78" s="147">
        <f t="shared" si="25"/>
        <v>0</v>
      </c>
      <c r="AH78" s="147">
        <f t="shared" si="25"/>
        <v>0</v>
      </c>
      <c r="AI78" s="147">
        <f t="shared" si="25"/>
        <v>0</v>
      </c>
      <c r="AJ78" s="147">
        <f t="shared" si="25"/>
        <v>0</v>
      </c>
      <c r="AK78" s="147">
        <f t="shared" si="25"/>
        <v>0</v>
      </c>
      <c r="AL78" s="147">
        <f t="shared" si="25"/>
        <v>0</v>
      </c>
      <c r="AM78" s="147">
        <f t="shared" si="25"/>
        <v>0</v>
      </c>
      <c r="AN78" s="147">
        <f t="shared" si="25"/>
        <v>0</v>
      </c>
      <c r="AO78" s="147">
        <f t="shared" si="25"/>
        <v>0</v>
      </c>
      <c r="AP78" s="147">
        <f t="shared" si="25"/>
        <v>0</v>
      </c>
      <c r="AQ78" s="147">
        <f t="shared" si="25"/>
        <v>0</v>
      </c>
      <c r="AR78" s="147">
        <f t="shared" si="25"/>
        <v>0</v>
      </c>
      <c r="AS78" s="147">
        <f t="shared" si="25"/>
        <v>0</v>
      </c>
      <c r="AT78" s="147">
        <f t="shared" si="25"/>
        <v>0</v>
      </c>
      <c r="AU78" s="147">
        <f t="shared" si="25"/>
        <v>0</v>
      </c>
      <c r="AV78" s="147">
        <f t="shared" si="25"/>
        <v>0</v>
      </c>
      <c r="AW78" s="147">
        <f t="shared" si="25"/>
        <v>0</v>
      </c>
      <c r="AX78" s="147">
        <f t="shared" si="25"/>
        <v>0</v>
      </c>
      <c r="AY78" s="147">
        <f t="shared" si="25"/>
        <v>0</v>
      </c>
      <c r="AZ78" s="147">
        <f t="shared" si="25"/>
        <v>0</v>
      </c>
      <c r="BA78" s="147">
        <f t="shared" si="25"/>
        <v>0</v>
      </c>
      <c r="BB78" s="147">
        <f t="shared" si="25"/>
        <v>0</v>
      </c>
      <c r="BC78" s="147">
        <f t="shared" si="25"/>
        <v>0</v>
      </c>
      <c r="BD78" s="147">
        <f t="shared" si="25"/>
        <v>0</v>
      </c>
      <c r="BE78" s="147">
        <f t="shared" si="25"/>
        <v>0</v>
      </c>
      <c r="BF78" s="147">
        <f t="shared" si="25"/>
        <v>0</v>
      </c>
      <c r="BG78" s="147">
        <f t="shared" si="25"/>
        <v>0</v>
      </c>
      <c r="BH78" s="147">
        <f t="shared" si="25"/>
        <v>0</v>
      </c>
      <c r="BI78" s="147">
        <f t="shared" si="25"/>
        <v>0</v>
      </c>
      <c r="BJ78" s="147">
        <f t="shared" si="25"/>
        <v>0</v>
      </c>
      <c r="BK78" s="147">
        <f t="shared" si="25"/>
        <v>0</v>
      </c>
      <c r="BL78" s="147">
        <f t="shared" si="25"/>
        <v>0</v>
      </c>
      <c r="BM78" s="147">
        <f t="shared" si="25"/>
        <v>0</v>
      </c>
      <c r="BN78" s="147">
        <f t="shared" si="25"/>
        <v>0</v>
      </c>
      <c r="BO78" s="147">
        <f t="shared" si="25"/>
        <v>0</v>
      </c>
      <c r="BP78" s="147">
        <f t="shared" si="25"/>
        <v>0</v>
      </c>
      <c r="BQ78" s="147">
        <f t="shared" si="24"/>
        <v>0</v>
      </c>
      <c r="BR78" s="147">
        <f t="shared" si="24"/>
        <v>0</v>
      </c>
      <c r="BS78" s="147">
        <f t="shared" si="24"/>
        <v>0</v>
      </c>
      <c r="BT78" s="147">
        <f t="shared" si="24"/>
        <v>0</v>
      </c>
      <c r="BU78" s="147">
        <f t="shared" si="24"/>
        <v>0</v>
      </c>
      <c r="BV78" s="147">
        <f t="shared" si="24"/>
        <v>0</v>
      </c>
      <c r="BW78" s="147">
        <f t="shared" si="24"/>
        <v>0</v>
      </c>
      <c r="BX78" s="147">
        <f t="shared" si="24"/>
        <v>0</v>
      </c>
      <c r="BY78" s="147">
        <f t="shared" si="24"/>
        <v>0</v>
      </c>
      <c r="BZ78" s="147">
        <f t="shared" si="24"/>
        <v>0</v>
      </c>
      <c r="CA78" s="147">
        <f t="shared" si="24"/>
        <v>0</v>
      </c>
      <c r="CB78" s="147">
        <f t="shared" si="24"/>
        <v>0</v>
      </c>
      <c r="CC78" s="147">
        <f t="shared" si="24"/>
        <v>0</v>
      </c>
      <c r="CD78" s="147">
        <f t="shared" si="24"/>
        <v>0</v>
      </c>
      <c r="CE78" s="147">
        <f t="shared" si="24"/>
        <v>0</v>
      </c>
      <c r="CF78" s="147">
        <f t="shared" si="24"/>
        <v>0</v>
      </c>
      <c r="CG78" s="147">
        <f t="shared" si="24"/>
        <v>0</v>
      </c>
      <c r="CH78" s="147">
        <f t="shared" si="24"/>
        <v>0</v>
      </c>
      <c r="CI78" s="147">
        <f t="shared" si="24"/>
        <v>0</v>
      </c>
      <c r="CJ78" s="147">
        <f t="shared" si="24"/>
        <v>0</v>
      </c>
      <c r="CK78" s="147">
        <f t="shared" si="24"/>
        <v>0</v>
      </c>
      <c r="CL78" s="147">
        <f t="shared" si="24"/>
        <v>0</v>
      </c>
      <c r="CM78" s="147">
        <f t="shared" si="24"/>
        <v>0</v>
      </c>
      <c r="CN78" s="47">
        <f t="shared" si="24"/>
        <v>0</v>
      </c>
      <c r="CO78" s="147">
        <f t="shared" si="24"/>
        <v>0</v>
      </c>
      <c r="CP78" s="147">
        <f t="shared" si="24"/>
        <v>0</v>
      </c>
      <c r="CQ78" s="147">
        <f t="shared" si="24"/>
        <v>0</v>
      </c>
      <c r="CR78" s="147">
        <f t="shared" si="24"/>
        <v>0</v>
      </c>
      <c r="CS78" s="147">
        <f t="shared" si="24"/>
        <v>0</v>
      </c>
      <c r="CT78" s="147">
        <f t="shared" si="24"/>
        <v>0</v>
      </c>
    </row>
    <row r="79" spans="4:98">
      <c r="D79" s="47">
        <f t="shared" si="12"/>
        <v>1E-3</v>
      </c>
      <c r="E79" s="47">
        <f t="shared" si="25"/>
        <v>1E-3</v>
      </c>
      <c r="F79" s="47">
        <f t="shared" si="25"/>
        <v>1E-3</v>
      </c>
      <c r="G79" s="47">
        <f t="shared" si="25"/>
        <v>1E-3</v>
      </c>
      <c r="H79" s="47">
        <f t="shared" si="25"/>
        <v>1E-3</v>
      </c>
      <c r="I79" s="47">
        <f t="shared" si="25"/>
        <v>1E-3</v>
      </c>
      <c r="J79" s="47">
        <f t="shared" si="25"/>
        <v>1E-3</v>
      </c>
      <c r="K79" s="47">
        <f t="shared" si="25"/>
        <v>1E-3</v>
      </c>
      <c r="L79" s="47">
        <f t="shared" si="25"/>
        <v>1E-3</v>
      </c>
      <c r="M79" s="47">
        <f t="shared" si="25"/>
        <v>1E-3</v>
      </c>
      <c r="N79" s="47">
        <f t="shared" si="25"/>
        <v>1E-3</v>
      </c>
      <c r="O79" s="47">
        <f t="shared" si="25"/>
        <v>1E-3</v>
      </c>
      <c r="P79" s="47">
        <f t="shared" si="25"/>
        <v>1E-3</v>
      </c>
      <c r="Q79" s="47">
        <f t="shared" si="25"/>
        <v>1E-3</v>
      </c>
      <c r="R79" s="47">
        <f t="shared" si="25"/>
        <v>1E-3</v>
      </c>
      <c r="S79" s="47">
        <f t="shared" si="25"/>
        <v>1E-3</v>
      </c>
      <c r="T79" s="47">
        <f t="shared" si="25"/>
        <v>1E-3</v>
      </c>
      <c r="U79" s="47">
        <f t="shared" si="25"/>
        <v>1E-3</v>
      </c>
      <c r="V79" s="147">
        <f t="shared" si="25"/>
        <v>1E-3</v>
      </c>
      <c r="W79" s="147">
        <f t="shared" si="25"/>
        <v>1E-3</v>
      </c>
      <c r="X79" s="147">
        <f t="shared" si="25"/>
        <v>1E-3</v>
      </c>
      <c r="Y79" s="147">
        <f t="shared" si="25"/>
        <v>1E-3</v>
      </c>
      <c r="Z79" s="147">
        <f t="shared" si="25"/>
        <v>1E-3</v>
      </c>
      <c r="AA79" s="147">
        <f t="shared" si="25"/>
        <v>1E-3</v>
      </c>
      <c r="AB79" s="147">
        <f t="shared" si="25"/>
        <v>1E-3</v>
      </c>
      <c r="AC79" s="147">
        <f t="shared" si="25"/>
        <v>1E-3</v>
      </c>
      <c r="AD79" s="147">
        <f t="shared" si="25"/>
        <v>0</v>
      </c>
      <c r="AE79" s="147">
        <f t="shared" si="25"/>
        <v>0</v>
      </c>
      <c r="AF79" s="147">
        <f t="shared" si="25"/>
        <v>0</v>
      </c>
      <c r="AG79" s="147">
        <f t="shared" si="25"/>
        <v>0</v>
      </c>
      <c r="AH79" s="147">
        <f t="shared" si="25"/>
        <v>1E-3</v>
      </c>
      <c r="AI79" s="147">
        <f t="shared" si="25"/>
        <v>1E-3</v>
      </c>
      <c r="AJ79" s="147">
        <f t="shared" si="25"/>
        <v>1E-3</v>
      </c>
      <c r="AK79" s="147">
        <f t="shared" si="25"/>
        <v>1E-3</v>
      </c>
      <c r="AL79" s="147">
        <f t="shared" si="25"/>
        <v>1E-3</v>
      </c>
      <c r="AM79" s="147">
        <f t="shared" si="25"/>
        <v>0</v>
      </c>
      <c r="AN79" s="147">
        <f t="shared" si="25"/>
        <v>1E-3</v>
      </c>
      <c r="AO79" s="147">
        <f t="shared" si="25"/>
        <v>1E-3</v>
      </c>
      <c r="AP79" s="147">
        <f t="shared" si="25"/>
        <v>3.0000000000000001E-3</v>
      </c>
      <c r="AQ79" s="147">
        <f t="shared" si="25"/>
        <v>0</v>
      </c>
      <c r="AR79" s="147">
        <f t="shared" si="25"/>
        <v>0</v>
      </c>
      <c r="AS79" s="147">
        <f t="shared" si="25"/>
        <v>1E-3</v>
      </c>
      <c r="AT79" s="147">
        <f t="shared" si="25"/>
        <v>1E-3</v>
      </c>
      <c r="AU79" s="147">
        <f t="shared" si="25"/>
        <v>1E-3</v>
      </c>
      <c r="AV79" s="147">
        <f t="shared" si="25"/>
        <v>1E-3</v>
      </c>
      <c r="AW79" s="147">
        <f t="shared" si="25"/>
        <v>1E-3</v>
      </c>
      <c r="AX79" s="147">
        <f t="shared" si="25"/>
        <v>1E-3</v>
      </c>
      <c r="AY79" s="147">
        <f t="shared" si="25"/>
        <v>1E-3</v>
      </c>
      <c r="AZ79" s="147">
        <f t="shared" si="25"/>
        <v>1E-3</v>
      </c>
      <c r="BA79" s="147">
        <f t="shared" si="25"/>
        <v>1E-3</v>
      </c>
      <c r="BB79" s="147">
        <f t="shared" si="25"/>
        <v>1E-3</v>
      </c>
      <c r="BC79" s="147">
        <f t="shared" si="25"/>
        <v>1E-3</v>
      </c>
      <c r="BD79" s="147">
        <f t="shared" si="25"/>
        <v>1E-3</v>
      </c>
      <c r="BE79" s="147">
        <f t="shared" si="25"/>
        <v>1E-3</v>
      </c>
      <c r="BF79" s="147">
        <f t="shared" si="25"/>
        <v>1E-3</v>
      </c>
      <c r="BG79" s="147">
        <f t="shared" si="25"/>
        <v>3.0000000000000001E-3</v>
      </c>
      <c r="BH79" s="147">
        <f t="shared" si="25"/>
        <v>1E-3</v>
      </c>
      <c r="BI79" s="147">
        <f t="shared" si="25"/>
        <v>3.0000000000000001E-3</v>
      </c>
      <c r="BJ79" s="147">
        <f t="shared" si="25"/>
        <v>1E-3</v>
      </c>
      <c r="BK79" s="147">
        <f t="shared" si="25"/>
        <v>1E-3</v>
      </c>
      <c r="BL79" s="147">
        <f t="shared" si="25"/>
        <v>1E-3</v>
      </c>
      <c r="BM79" s="147">
        <f t="shared" si="25"/>
        <v>1E-3</v>
      </c>
      <c r="BN79" s="147">
        <f t="shared" si="25"/>
        <v>1E-3</v>
      </c>
      <c r="BO79" s="147">
        <f t="shared" si="25"/>
        <v>1E-3</v>
      </c>
      <c r="BP79" s="147">
        <f t="shared" ref="BP79:CT81" si="26">BP42/1.01</f>
        <v>3.0000000000000001E-3</v>
      </c>
      <c r="BQ79" s="147">
        <f t="shared" si="26"/>
        <v>3.0000000000000001E-3</v>
      </c>
      <c r="BR79" s="147">
        <f t="shared" si="26"/>
        <v>1E-3</v>
      </c>
      <c r="BS79" s="147">
        <f t="shared" si="26"/>
        <v>1E-3</v>
      </c>
      <c r="BT79" s="147">
        <f t="shared" si="26"/>
        <v>1E-3</v>
      </c>
      <c r="BU79" s="147">
        <f t="shared" si="26"/>
        <v>1E-3</v>
      </c>
      <c r="BV79" s="147">
        <f t="shared" si="26"/>
        <v>1E-3</v>
      </c>
      <c r="BW79" s="147">
        <f t="shared" si="26"/>
        <v>1E-3</v>
      </c>
      <c r="BX79" s="147">
        <f t="shared" si="26"/>
        <v>1E-3</v>
      </c>
      <c r="BY79" s="147">
        <f t="shared" si="26"/>
        <v>1E-3</v>
      </c>
      <c r="BZ79" s="147">
        <f t="shared" si="26"/>
        <v>1E-3</v>
      </c>
      <c r="CA79" s="147">
        <f t="shared" si="26"/>
        <v>1E-3</v>
      </c>
      <c r="CB79" s="147">
        <f t="shared" si="26"/>
        <v>1E-3</v>
      </c>
      <c r="CC79" s="147">
        <f t="shared" si="26"/>
        <v>1E-3</v>
      </c>
      <c r="CD79" s="147">
        <f t="shared" si="26"/>
        <v>1E-3</v>
      </c>
      <c r="CE79" s="147">
        <f t="shared" si="26"/>
        <v>0</v>
      </c>
      <c r="CF79" s="147">
        <f t="shared" si="26"/>
        <v>1E-3</v>
      </c>
      <c r="CG79" s="147">
        <f t="shared" si="26"/>
        <v>1E-3</v>
      </c>
      <c r="CH79" s="147">
        <f t="shared" si="26"/>
        <v>1E-3</v>
      </c>
      <c r="CI79" s="147">
        <f t="shared" si="26"/>
        <v>4.0000000000000001E-3</v>
      </c>
      <c r="CJ79" s="147">
        <f t="shared" si="26"/>
        <v>4.0000000000000001E-3</v>
      </c>
      <c r="CK79" s="147">
        <f t="shared" si="26"/>
        <v>1E-3</v>
      </c>
      <c r="CL79" s="147">
        <f t="shared" si="26"/>
        <v>1E-3</v>
      </c>
      <c r="CM79" s="147">
        <f t="shared" si="26"/>
        <v>1E-3</v>
      </c>
      <c r="CN79" s="47">
        <f t="shared" si="26"/>
        <v>0</v>
      </c>
      <c r="CO79" s="147">
        <f t="shared" si="26"/>
        <v>0</v>
      </c>
      <c r="CP79" s="147">
        <f t="shared" si="26"/>
        <v>0</v>
      </c>
      <c r="CQ79" s="147">
        <f t="shared" si="26"/>
        <v>0</v>
      </c>
      <c r="CR79" s="147">
        <f t="shared" si="26"/>
        <v>0</v>
      </c>
      <c r="CS79" s="147">
        <f t="shared" si="26"/>
        <v>0</v>
      </c>
      <c r="CT79" s="147">
        <f t="shared" si="26"/>
        <v>0</v>
      </c>
    </row>
    <row r="80" spans="4:98">
      <c r="D80" s="47">
        <f t="shared" si="12"/>
        <v>0.32</v>
      </c>
      <c r="E80" s="47">
        <f t="shared" ref="E80:BP81" si="27">E43/1.01</f>
        <v>0.33</v>
      </c>
      <c r="F80" s="47">
        <f t="shared" si="27"/>
        <v>0.27900000000000003</v>
      </c>
      <c r="G80" s="47">
        <f t="shared" si="27"/>
        <v>0.28399999999999997</v>
      </c>
      <c r="H80" s="47">
        <f t="shared" si="27"/>
        <v>0.248</v>
      </c>
      <c r="I80" s="47">
        <f t="shared" si="27"/>
        <v>0.28899999999999998</v>
      </c>
      <c r="J80" s="47">
        <f t="shared" si="27"/>
        <v>0.30399999999999999</v>
      </c>
      <c r="K80" s="47">
        <f t="shared" si="27"/>
        <v>0.29099999999999998</v>
      </c>
      <c r="L80" s="47">
        <f t="shared" si="27"/>
        <v>0.251</v>
      </c>
      <c r="M80" s="47">
        <f t="shared" si="27"/>
        <v>0.251</v>
      </c>
      <c r="N80" s="47">
        <f t="shared" si="27"/>
        <v>0.25900000000000001</v>
      </c>
      <c r="O80" s="47">
        <f t="shared" si="27"/>
        <v>0.32500000000000001</v>
      </c>
      <c r="P80" s="47">
        <f t="shared" si="27"/>
        <v>0.27800000000000002</v>
      </c>
      <c r="Q80" s="47">
        <f t="shared" si="27"/>
        <v>0.33300000000000002</v>
      </c>
      <c r="R80" s="47">
        <f t="shared" si="27"/>
        <v>0.33300000000000002</v>
      </c>
      <c r="S80" s="47">
        <f t="shared" si="27"/>
        <v>0.26100000000000001</v>
      </c>
      <c r="T80" s="47">
        <f t="shared" si="27"/>
        <v>0.247</v>
      </c>
      <c r="U80" s="47">
        <f t="shared" si="27"/>
        <v>0.24199999999999999</v>
      </c>
      <c r="V80" s="147">
        <f t="shared" si="27"/>
        <v>0.252</v>
      </c>
      <c r="W80" s="147">
        <f t="shared" si="27"/>
        <v>0.29099999999999998</v>
      </c>
      <c r="X80" s="147">
        <f t="shared" si="27"/>
        <v>0.28299999999999997</v>
      </c>
      <c r="Y80" s="147">
        <f t="shared" si="27"/>
        <v>0.27900000000000003</v>
      </c>
      <c r="Z80" s="147">
        <f t="shared" si="27"/>
        <v>0.27800000000000002</v>
      </c>
      <c r="AA80" s="147">
        <f t="shared" si="27"/>
        <v>0.28799999999999998</v>
      </c>
      <c r="AB80" s="147">
        <f t="shared" si="27"/>
        <v>0.29899999999999999</v>
      </c>
      <c r="AC80" s="147">
        <f t="shared" si="27"/>
        <v>0.28599999999999998</v>
      </c>
      <c r="AD80" s="147">
        <f t="shared" si="27"/>
        <v>0</v>
      </c>
      <c r="AE80" s="147">
        <f t="shared" si="27"/>
        <v>0</v>
      </c>
      <c r="AF80" s="147">
        <f t="shared" si="27"/>
        <v>0</v>
      </c>
      <c r="AG80" s="147">
        <f t="shared" si="27"/>
        <v>0</v>
      </c>
      <c r="AH80" s="147">
        <f t="shared" si="27"/>
        <v>0.35899999999999999</v>
      </c>
      <c r="AI80" s="147">
        <f t="shared" si="27"/>
        <v>0.28299999999999997</v>
      </c>
      <c r="AJ80" s="147">
        <f t="shared" si="27"/>
        <v>0.29599999999999999</v>
      </c>
      <c r="AK80" s="147">
        <f t="shared" si="27"/>
        <v>0.39400000000000002</v>
      </c>
      <c r="AL80" s="147">
        <f t="shared" si="27"/>
        <v>0.33600000000000002</v>
      </c>
      <c r="AM80" s="147">
        <f t="shared" si="27"/>
        <v>0</v>
      </c>
      <c r="AN80" s="147">
        <f t="shared" si="27"/>
        <v>0.223</v>
      </c>
      <c r="AO80" s="147">
        <f t="shared" si="27"/>
        <v>0.25900000000000001</v>
      </c>
      <c r="AP80" s="147">
        <f t="shared" si="27"/>
        <v>0.216</v>
      </c>
      <c r="AQ80" s="147">
        <f t="shared" si="27"/>
        <v>0</v>
      </c>
      <c r="AR80" s="147">
        <f t="shared" si="27"/>
        <v>0</v>
      </c>
      <c r="AS80" s="147">
        <f t="shared" si="27"/>
        <v>0.19500000000000001</v>
      </c>
      <c r="AT80" s="147">
        <f t="shared" si="27"/>
        <v>0.47</v>
      </c>
      <c r="AU80" s="147">
        <f t="shared" si="27"/>
        <v>0.245</v>
      </c>
      <c r="AV80" s="147">
        <f t="shared" si="27"/>
        <v>0.41699999999999998</v>
      </c>
      <c r="AW80" s="147">
        <f t="shared" si="27"/>
        <v>0.32500000000000001</v>
      </c>
      <c r="AX80" s="147">
        <f t="shared" si="27"/>
        <v>0.33100000000000002</v>
      </c>
      <c r="AY80" s="147">
        <f t="shared" si="27"/>
        <v>0.218</v>
      </c>
      <c r="AZ80" s="147">
        <f t="shared" si="27"/>
        <v>0.27800000000000002</v>
      </c>
      <c r="BA80" s="147">
        <f t="shared" si="27"/>
        <v>0.28799999999999998</v>
      </c>
      <c r="BB80" s="147">
        <f t="shared" si="27"/>
        <v>9.2999999999999999E-2</v>
      </c>
      <c r="BC80" s="147">
        <f t="shared" si="27"/>
        <v>0.64200000000000002</v>
      </c>
      <c r="BD80" s="147">
        <f t="shared" si="27"/>
        <v>0.26400000000000001</v>
      </c>
      <c r="BE80" s="147">
        <f t="shared" si="27"/>
        <v>0.29799999999999999</v>
      </c>
      <c r="BF80" s="147">
        <f t="shared" si="27"/>
        <v>0.254</v>
      </c>
      <c r="BG80" s="147">
        <f t="shared" si="27"/>
        <v>0.39600000000000002</v>
      </c>
      <c r="BH80" s="147">
        <f t="shared" si="27"/>
        <v>0.32100000000000001</v>
      </c>
      <c r="BI80" s="147">
        <f t="shared" si="27"/>
        <v>0.39400000000000002</v>
      </c>
      <c r="BJ80" s="147">
        <f t="shared" si="27"/>
        <v>0.26100000000000001</v>
      </c>
      <c r="BK80" s="147">
        <f t="shared" si="27"/>
        <v>0.43099999999999999</v>
      </c>
      <c r="BL80" s="147">
        <f t="shared" si="27"/>
        <v>0.27300000000000002</v>
      </c>
      <c r="BM80" s="147">
        <f t="shared" si="27"/>
        <v>0.32600000000000001</v>
      </c>
      <c r="BN80" s="147">
        <f t="shared" si="27"/>
        <v>0.22800000000000001</v>
      </c>
      <c r="BO80" s="147">
        <f t="shared" si="27"/>
        <v>0.38100000000000001</v>
      </c>
      <c r="BP80" s="147">
        <f t="shared" si="27"/>
        <v>0.40400000000000003</v>
      </c>
      <c r="BQ80" s="147">
        <f t="shared" si="26"/>
        <v>0.41099999999999998</v>
      </c>
      <c r="BR80" s="147">
        <f t="shared" si="26"/>
        <v>0.29099999999999998</v>
      </c>
      <c r="BS80" s="147">
        <f t="shared" si="26"/>
        <v>0.25</v>
      </c>
      <c r="BT80" s="147">
        <f t="shared" si="26"/>
        <v>0.27900000000000003</v>
      </c>
      <c r="BU80" s="147">
        <f t="shared" si="26"/>
        <v>0.19800000000000001</v>
      </c>
      <c r="BV80" s="147">
        <f t="shared" si="26"/>
        <v>0.23699999999999999</v>
      </c>
      <c r="BW80" s="147">
        <f t="shared" si="26"/>
        <v>0.28399999999999997</v>
      </c>
      <c r="BX80" s="147">
        <f t="shared" si="26"/>
        <v>0.34</v>
      </c>
      <c r="BY80" s="147">
        <f t="shared" si="26"/>
        <v>0.33100000000000002</v>
      </c>
      <c r="BZ80" s="147">
        <f t="shared" si="26"/>
        <v>0.30399999999999999</v>
      </c>
      <c r="CA80" s="147">
        <f t="shared" si="26"/>
        <v>0.28599999999999998</v>
      </c>
      <c r="CB80" s="147">
        <f t="shared" si="26"/>
        <v>0.25900000000000001</v>
      </c>
      <c r="CC80" s="147">
        <f t="shared" si="26"/>
        <v>0.26200000000000001</v>
      </c>
      <c r="CD80" s="147">
        <f t="shared" si="26"/>
        <v>0.26100000000000001</v>
      </c>
      <c r="CE80" s="147">
        <f t="shared" si="26"/>
        <v>0</v>
      </c>
      <c r="CF80" s="147">
        <f t="shared" si="26"/>
        <v>0.29099999999999998</v>
      </c>
      <c r="CG80" s="147">
        <f t="shared" si="26"/>
        <v>0.29799999999999999</v>
      </c>
      <c r="CH80" s="147">
        <f t="shared" si="26"/>
        <v>0.29599999999999999</v>
      </c>
      <c r="CI80" s="147">
        <f t="shared" si="26"/>
        <v>0.40600000000000003</v>
      </c>
      <c r="CJ80" s="147">
        <f t="shared" si="26"/>
        <v>0.41899999999999998</v>
      </c>
      <c r="CK80" s="147">
        <f t="shared" si="26"/>
        <v>0.42099999999999999</v>
      </c>
      <c r="CL80" s="147">
        <f t="shared" si="26"/>
        <v>0.434</v>
      </c>
      <c r="CM80" s="147">
        <f t="shared" si="26"/>
        <v>0.26100000000000001</v>
      </c>
      <c r="CN80" s="47">
        <f t="shared" si="26"/>
        <v>0</v>
      </c>
      <c r="CO80" s="147">
        <f t="shared" si="26"/>
        <v>1.359</v>
      </c>
      <c r="CP80" s="147">
        <f t="shared" si="26"/>
        <v>1.359</v>
      </c>
      <c r="CQ80" s="147">
        <f t="shared" si="26"/>
        <v>1.359</v>
      </c>
      <c r="CR80" s="147">
        <f t="shared" si="26"/>
        <v>1.359</v>
      </c>
      <c r="CS80" s="147">
        <f t="shared" si="26"/>
        <v>1.359</v>
      </c>
      <c r="CT80" s="147">
        <f t="shared" si="26"/>
        <v>1.359</v>
      </c>
    </row>
    <row r="81" spans="4:98">
      <c r="D81" s="47">
        <f t="shared" si="12"/>
        <v>0</v>
      </c>
      <c r="E81" s="47">
        <f t="shared" si="27"/>
        <v>0.318</v>
      </c>
      <c r="F81" s="47">
        <f t="shared" si="27"/>
        <v>0</v>
      </c>
      <c r="G81" s="47">
        <f t="shared" si="27"/>
        <v>0</v>
      </c>
      <c r="H81" s="47">
        <f t="shared" si="27"/>
        <v>0</v>
      </c>
      <c r="I81" s="47">
        <f t="shared" si="27"/>
        <v>0</v>
      </c>
      <c r="J81" s="47">
        <f t="shared" si="27"/>
        <v>0</v>
      </c>
      <c r="K81" s="47">
        <f t="shared" si="27"/>
        <v>0</v>
      </c>
      <c r="L81" s="47">
        <f t="shared" si="27"/>
        <v>0</v>
      </c>
      <c r="M81" s="47">
        <f t="shared" si="27"/>
        <v>0</v>
      </c>
      <c r="N81" s="47">
        <f t="shared" si="27"/>
        <v>0</v>
      </c>
      <c r="O81" s="47">
        <f t="shared" si="27"/>
        <v>0</v>
      </c>
      <c r="P81" s="47">
        <f t="shared" si="27"/>
        <v>0</v>
      </c>
      <c r="Q81" s="47">
        <f t="shared" si="27"/>
        <v>0</v>
      </c>
      <c r="R81" s="47">
        <f t="shared" si="27"/>
        <v>0.32300000000000001</v>
      </c>
      <c r="S81" s="47">
        <f t="shared" si="27"/>
        <v>0</v>
      </c>
      <c r="T81" s="47">
        <f t="shared" si="27"/>
        <v>0.24</v>
      </c>
      <c r="U81" s="47">
        <f t="shared" si="27"/>
        <v>0</v>
      </c>
      <c r="V81" s="147">
        <f t="shared" si="27"/>
        <v>0.27900000000000003</v>
      </c>
      <c r="W81" s="147">
        <f t="shared" si="27"/>
        <v>0.32100000000000001</v>
      </c>
      <c r="X81" s="147">
        <f t="shared" si="27"/>
        <v>0.313</v>
      </c>
      <c r="Y81" s="147">
        <f t="shared" si="27"/>
        <v>0.309</v>
      </c>
      <c r="Z81" s="147">
        <f t="shared" si="27"/>
        <v>0.30299999999999999</v>
      </c>
      <c r="AA81" s="147">
        <f t="shared" si="27"/>
        <v>0.311</v>
      </c>
      <c r="AB81" s="147">
        <f t="shared" si="27"/>
        <v>0.46</v>
      </c>
      <c r="AC81" s="147">
        <f t="shared" si="27"/>
        <v>0.434</v>
      </c>
      <c r="AD81" s="147">
        <f t="shared" si="27"/>
        <v>0</v>
      </c>
      <c r="AE81" s="147">
        <f t="shared" si="27"/>
        <v>0</v>
      </c>
      <c r="AF81" s="147">
        <f t="shared" si="27"/>
        <v>0</v>
      </c>
      <c r="AG81" s="147">
        <f t="shared" si="27"/>
        <v>0</v>
      </c>
      <c r="AH81" s="147">
        <f t="shared" si="27"/>
        <v>0</v>
      </c>
      <c r="AI81" s="147">
        <f t="shared" si="27"/>
        <v>0</v>
      </c>
      <c r="AJ81" s="147">
        <f t="shared" si="27"/>
        <v>0</v>
      </c>
      <c r="AK81" s="147">
        <f t="shared" si="27"/>
        <v>0.377</v>
      </c>
      <c r="AL81" s="147">
        <f t="shared" si="27"/>
        <v>0</v>
      </c>
      <c r="AM81" s="147">
        <f t="shared" si="27"/>
        <v>0</v>
      </c>
      <c r="AN81" s="147">
        <f t="shared" si="27"/>
        <v>0</v>
      </c>
      <c r="AO81" s="147">
        <f t="shared" si="27"/>
        <v>0</v>
      </c>
      <c r="AP81" s="147">
        <f t="shared" si="27"/>
        <v>0</v>
      </c>
      <c r="AQ81" s="147">
        <f t="shared" si="27"/>
        <v>0</v>
      </c>
      <c r="AR81" s="147">
        <f t="shared" si="27"/>
        <v>0</v>
      </c>
      <c r="AS81" s="147">
        <f t="shared" si="27"/>
        <v>0</v>
      </c>
      <c r="AT81" s="147">
        <f t="shared" si="27"/>
        <v>0.45900000000000002</v>
      </c>
      <c r="AU81" s="147">
        <f t="shared" si="27"/>
        <v>0.41399999999999998</v>
      </c>
      <c r="AV81" s="147">
        <f t="shared" si="27"/>
        <v>0.45</v>
      </c>
      <c r="AW81" s="147">
        <f t="shared" si="27"/>
        <v>0.315</v>
      </c>
      <c r="AX81" s="147">
        <f t="shared" si="27"/>
        <v>0.32100000000000001</v>
      </c>
      <c r="AY81" s="147">
        <f t="shared" si="27"/>
        <v>0</v>
      </c>
      <c r="AZ81" s="147">
        <f t="shared" si="27"/>
        <v>0</v>
      </c>
      <c r="BA81" s="147">
        <f t="shared" si="27"/>
        <v>0</v>
      </c>
      <c r="BB81" s="147">
        <f t="shared" si="27"/>
        <v>0.252</v>
      </c>
      <c r="BC81" s="147">
        <f t="shared" si="27"/>
        <v>0.58199999999999996</v>
      </c>
      <c r="BD81" s="147">
        <f t="shared" si="27"/>
        <v>0</v>
      </c>
      <c r="BE81" s="147">
        <f t="shared" si="27"/>
        <v>0</v>
      </c>
      <c r="BF81" s="147">
        <f t="shared" si="27"/>
        <v>0</v>
      </c>
      <c r="BG81" s="147">
        <f t="shared" si="27"/>
        <v>0</v>
      </c>
      <c r="BH81" s="147">
        <f t="shared" si="27"/>
        <v>0</v>
      </c>
      <c r="BI81" s="147">
        <f t="shared" si="27"/>
        <v>0</v>
      </c>
      <c r="BJ81" s="147">
        <f t="shared" si="27"/>
        <v>0</v>
      </c>
      <c r="BK81" s="147">
        <f t="shared" si="27"/>
        <v>0</v>
      </c>
      <c r="BL81" s="147">
        <f t="shared" si="27"/>
        <v>0</v>
      </c>
      <c r="BM81" s="147">
        <f t="shared" si="27"/>
        <v>0.313</v>
      </c>
      <c r="BN81" s="147">
        <f t="shared" si="27"/>
        <v>0</v>
      </c>
      <c r="BO81" s="147">
        <f t="shared" si="27"/>
        <v>0</v>
      </c>
      <c r="BP81" s="147">
        <f t="shared" si="27"/>
        <v>0</v>
      </c>
      <c r="BQ81" s="147">
        <f t="shared" si="26"/>
        <v>0</v>
      </c>
      <c r="BR81" s="147">
        <f t="shared" si="26"/>
        <v>0</v>
      </c>
      <c r="BS81" s="147">
        <f t="shared" si="26"/>
        <v>0</v>
      </c>
      <c r="BT81" s="147">
        <f t="shared" si="26"/>
        <v>0</v>
      </c>
      <c r="BU81" s="147">
        <f t="shared" si="26"/>
        <v>0</v>
      </c>
      <c r="BV81" s="147">
        <f t="shared" si="26"/>
        <v>0</v>
      </c>
      <c r="BW81" s="147">
        <f t="shared" si="26"/>
        <v>0</v>
      </c>
      <c r="BX81" s="147">
        <f t="shared" si="26"/>
        <v>0.32300000000000001</v>
      </c>
      <c r="BY81" s="147">
        <f t="shared" si="26"/>
        <v>0.32100000000000001</v>
      </c>
      <c r="BZ81" s="147">
        <f t="shared" si="26"/>
        <v>0.49199999999999999</v>
      </c>
      <c r="CA81" s="147">
        <f t="shared" si="26"/>
        <v>0.315</v>
      </c>
      <c r="CB81" s="147">
        <f t="shared" si="26"/>
        <v>0.27100000000000002</v>
      </c>
      <c r="CC81" s="147">
        <f t="shared" si="26"/>
        <v>0.28899999999999998</v>
      </c>
      <c r="CD81" s="147">
        <f t="shared" si="26"/>
        <v>0.28899999999999998</v>
      </c>
      <c r="CE81" s="147">
        <f t="shared" si="26"/>
        <v>0</v>
      </c>
      <c r="CF81" s="147">
        <f t="shared" si="26"/>
        <v>0</v>
      </c>
      <c r="CG81" s="147">
        <f t="shared" si="26"/>
        <v>0.28799999999999998</v>
      </c>
      <c r="CH81" s="147">
        <f t="shared" si="26"/>
        <v>0.28799999999999998</v>
      </c>
      <c r="CI81" s="147">
        <f t="shared" si="26"/>
        <v>0</v>
      </c>
      <c r="CJ81" s="147">
        <f t="shared" si="26"/>
        <v>0</v>
      </c>
      <c r="CK81" s="147">
        <f t="shared" si="26"/>
        <v>0</v>
      </c>
      <c r="CL81" s="147">
        <f t="shared" si="26"/>
        <v>0</v>
      </c>
      <c r="CM81" s="147">
        <f t="shared" si="26"/>
        <v>0</v>
      </c>
      <c r="CN81" s="47">
        <f t="shared" si="26"/>
        <v>0</v>
      </c>
      <c r="CO81" s="147">
        <f t="shared" si="26"/>
        <v>0</v>
      </c>
      <c r="CP81" s="147">
        <f t="shared" si="26"/>
        <v>0</v>
      </c>
      <c r="CQ81" s="147">
        <f t="shared" si="26"/>
        <v>0</v>
      </c>
      <c r="CR81" s="147">
        <f t="shared" si="26"/>
        <v>0</v>
      </c>
      <c r="CS81" s="147">
        <f t="shared" si="26"/>
        <v>0</v>
      </c>
      <c r="CT81" s="147">
        <f t="shared" si="26"/>
        <v>0</v>
      </c>
    </row>
    <row r="82" spans="4:98">
      <c r="D82" s="47"/>
    </row>
    <row r="83" spans="4:98">
      <c r="D83" s="47"/>
    </row>
    <row r="84" spans="4:98">
      <c r="D84" s="47"/>
    </row>
    <row r="85" spans="4:98">
      <c r="D85" s="47"/>
    </row>
    <row r="86" spans="4:98">
      <c r="D86" s="47"/>
    </row>
    <row r="87" spans="4:98">
      <c r="D87" s="47"/>
    </row>
    <row r="88" spans="4:98">
      <c r="D88" s="47"/>
    </row>
    <row r="89" spans="4:98">
      <c r="D89" s="47"/>
    </row>
    <row r="90" spans="4:98">
      <c r="D90" s="47"/>
    </row>
    <row r="91" spans="4:98">
      <c r="D91" s="47"/>
    </row>
    <row r="92" spans="4:98">
      <c r="D92" s="47"/>
    </row>
    <row r="93" spans="4:98">
      <c r="D93" s="47"/>
    </row>
    <row r="94" spans="4:98">
      <c r="D94" s="47"/>
    </row>
    <row r="95" spans="4:98">
      <c r="D95" s="47"/>
    </row>
    <row r="96" spans="4:98">
      <c r="D96" s="47"/>
    </row>
    <row r="97" spans="4:4">
      <c r="D97" s="47"/>
    </row>
    <row r="98" spans="4:4">
      <c r="D98" s="47"/>
    </row>
    <row r="99" spans="4:4">
      <c r="D99" s="47"/>
    </row>
  </sheetData>
  <mergeCells count="8">
    <mergeCell ref="B41:C41"/>
    <mergeCell ref="B11:C11"/>
    <mergeCell ref="A19:A25"/>
    <mergeCell ref="C19:C25"/>
    <mergeCell ref="B30:C30"/>
    <mergeCell ref="A32:A40"/>
    <mergeCell ref="C32:C40"/>
    <mergeCell ref="B12:C12"/>
  </mergeCells>
  <phoneticPr fontId="7" type="noConversion"/>
  <pageMargins left="0.7" right="0.7" top="0.75" bottom="0.75" header="0.3" footer="0.3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2:CV64"/>
  <sheetViews>
    <sheetView showZeros="0" tabSelected="1" zoomScale="70" zoomScaleNormal="70" workbookViewId="0">
      <pane xSplit="3" ySplit="11" topLeftCell="BN42" activePane="bottomRight" state="frozen"/>
      <selection pane="topRight" activeCell="D1" sqref="D1"/>
      <selection pane="bottomLeft" activeCell="A8" sqref="A8"/>
      <selection pane="bottomRight" activeCell="CL63" sqref="CL63"/>
    </sheetView>
  </sheetViews>
  <sheetFormatPr defaultRowHeight="15" outlineLevelCol="1"/>
  <cols>
    <col min="1" max="1" width="7.140625" bestFit="1" customWidth="1"/>
    <col min="2" max="2" width="82.85546875" customWidth="1"/>
    <col min="3" max="3" width="27.85546875" hidden="1" customWidth="1"/>
    <col min="4" max="26" width="9" customWidth="1" outlineLevel="1"/>
    <col min="27" max="27" width="10.85546875" customWidth="1" outlineLevel="1"/>
    <col min="28" max="28" width="10" customWidth="1" outlineLevel="1"/>
    <col min="29" max="38" width="9.42578125" customWidth="1" outlineLevel="1"/>
    <col min="39" max="48" width="10.42578125" customWidth="1" outlineLevel="1"/>
    <col min="49" max="77" width="9.42578125" customWidth="1" outlineLevel="1"/>
    <col min="78" max="82" width="9" customWidth="1" outlineLevel="1"/>
    <col min="83" max="86" width="10" customWidth="1" outlineLevel="1"/>
    <col min="87" max="97" width="9" customWidth="1" outlineLevel="1"/>
    <col min="98" max="98" width="10.85546875" bestFit="1" customWidth="1"/>
    <col min="99" max="99" width="11.140625" customWidth="1"/>
    <col min="100" max="100" width="11.5703125" bestFit="1" customWidth="1"/>
  </cols>
  <sheetData>
    <row r="2" spans="1:100" ht="33.75">
      <c r="T2" s="250"/>
      <c r="U2" s="251" t="s">
        <v>253</v>
      </c>
      <c r="V2" s="250"/>
      <c r="W2" s="250"/>
      <c r="X2" s="251"/>
      <c r="Y2" s="251"/>
      <c r="Z2" s="251"/>
      <c r="AA2" s="251"/>
      <c r="AB2" s="246"/>
      <c r="AC2" s="246"/>
      <c r="AD2" s="244"/>
      <c r="AE2" s="244"/>
      <c r="AF2" s="244"/>
    </row>
    <row r="3" spans="1:100" ht="33.75">
      <c r="T3" s="250"/>
      <c r="U3" s="251" t="s">
        <v>254</v>
      </c>
      <c r="V3" s="250"/>
      <c r="W3" s="250"/>
      <c r="X3" s="251"/>
      <c r="Y3" s="250"/>
      <c r="Z3" s="250"/>
      <c r="AA3" s="251"/>
      <c r="AB3" s="246"/>
      <c r="AC3" s="246"/>
      <c r="AD3" s="246"/>
      <c r="AE3" s="246"/>
      <c r="AF3" s="244"/>
    </row>
    <row r="4" spans="1:100" ht="33.75">
      <c r="D4" s="241" t="s">
        <v>250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T4" s="250"/>
      <c r="U4" s="251" t="s">
        <v>255</v>
      </c>
      <c r="V4" s="250"/>
      <c r="W4" s="250"/>
      <c r="X4" s="251"/>
      <c r="Y4" s="250"/>
      <c r="Z4" s="250"/>
      <c r="AA4" s="251"/>
      <c r="AB4" s="246"/>
      <c r="AC4" s="246"/>
      <c r="AD4" s="246"/>
      <c r="AE4" s="246"/>
      <c r="AF4" s="244"/>
    </row>
    <row r="5" spans="1:100" ht="26.25">
      <c r="D5" s="241" t="s">
        <v>247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U5" s="245" t="s">
        <v>256</v>
      </c>
      <c r="V5" s="245"/>
      <c r="W5" s="242" t="s">
        <v>259</v>
      </c>
      <c r="X5" s="242"/>
      <c r="Y5" s="242"/>
      <c r="Z5" s="245" t="s">
        <v>257</v>
      </c>
      <c r="AA5" s="245"/>
      <c r="AB5" s="244" t="s">
        <v>258</v>
      </c>
      <c r="AC5" s="246"/>
      <c r="AD5" s="245"/>
      <c r="AE5" s="245"/>
      <c r="AF5" s="244"/>
    </row>
    <row r="6" spans="1:100" ht="26.25">
      <c r="D6" s="241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U6" s="247"/>
      <c r="V6" s="247"/>
      <c r="W6" s="19"/>
      <c r="X6" s="19"/>
      <c r="Y6" s="19"/>
      <c r="Z6" s="247"/>
      <c r="AA6" s="247"/>
      <c r="AB6" s="244"/>
      <c r="AC6" s="246"/>
      <c r="AD6" s="247"/>
      <c r="AE6" s="247"/>
      <c r="AF6" s="244"/>
    </row>
    <row r="7" spans="1:100" ht="18.75">
      <c r="B7" s="2"/>
      <c r="D7" s="49">
        <v>1.17</v>
      </c>
      <c r="AA7" s="248" t="s">
        <v>260</v>
      </c>
      <c r="AB7" s="243"/>
      <c r="AC7" s="243"/>
      <c r="AD7" s="243"/>
      <c r="AE7" s="243"/>
    </row>
    <row r="8" spans="1:100" ht="16.5" thickBot="1">
      <c r="D8" s="53" t="s">
        <v>2</v>
      </c>
    </row>
    <row r="9" spans="1:100" ht="19.5" hidden="1" thickBot="1">
      <c r="A9" s="4"/>
      <c r="D9" s="48" t="s">
        <v>150</v>
      </c>
      <c r="E9" s="48" t="s">
        <v>151</v>
      </c>
      <c r="F9" s="48" t="s">
        <v>152</v>
      </c>
      <c r="G9" s="48" t="s">
        <v>153</v>
      </c>
      <c r="H9" s="48" t="s">
        <v>154</v>
      </c>
      <c r="I9" s="48" t="s">
        <v>155</v>
      </c>
      <c r="J9" s="48" t="s">
        <v>156</v>
      </c>
      <c r="K9" s="48" t="s">
        <v>157</v>
      </c>
      <c r="L9" s="48" t="s">
        <v>158</v>
      </c>
      <c r="M9" s="48" t="s">
        <v>159</v>
      </c>
      <c r="N9" s="48" t="s">
        <v>160</v>
      </c>
      <c r="O9" s="48" t="s">
        <v>161</v>
      </c>
      <c r="P9" s="48" t="s">
        <v>162</v>
      </c>
      <c r="Q9" s="48" t="s">
        <v>163</v>
      </c>
      <c r="R9" s="48" t="s">
        <v>164</v>
      </c>
      <c r="S9" s="48" t="s">
        <v>165</v>
      </c>
      <c r="T9" s="48" t="s">
        <v>166</v>
      </c>
      <c r="U9" s="48" t="s">
        <v>167</v>
      </c>
      <c r="V9" s="48" t="s">
        <v>168</v>
      </c>
      <c r="W9" s="48" t="s">
        <v>169</v>
      </c>
      <c r="X9" s="48" t="s">
        <v>170</v>
      </c>
      <c r="Y9" s="48" t="s">
        <v>171</v>
      </c>
      <c r="Z9" s="48" t="s">
        <v>172</v>
      </c>
      <c r="AA9" s="48" t="s">
        <v>173</v>
      </c>
      <c r="AB9" s="48" t="s">
        <v>174</v>
      </c>
      <c r="AC9" s="48" t="s">
        <v>175</v>
      </c>
      <c r="AD9" s="48" t="s">
        <v>176</v>
      </c>
      <c r="AE9" s="48" t="s">
        <v>177</v>
      </c>
      <c r="AF9" s="48" t="s">
        <v>178</v>
      </c>
      <c r="AG9" s="48" t="s">
        <v>179</v>
      </c>
      <c r="AH9" s="48" t="s">
        <v>180</v>
      </c>
      <c r="AI9" s="48" t="s">
        <v>181</v>
      </c>
      <c r="AJ9" s="48" t="s">
        <v>182</v>
      </c>
      <c r="AK9" s="48" t="s">
        <v>183</v>
      </c>
      <c r="AL9" s="48" t="s">
        <v>184</v>
      </c>
      <c r="AM9" s="48" t="s">
        <v>185</v>
      </c>
      <c r="AN9" s="48" t="s">
        <v>186</v>
      </c>
      <c r="AO9" s="48" t="s">
        <v>187</v>
      </c>
      <c r="AP9" s="48" t="s">
        <v>188</v>
      </c>
      <c r="AQ9" s="48" t="s">
        <v>189</v>
      </c>
      <c r="AR9" s="48" t="s">
        <v>190</v>
      </c>
      <c r="AS9" s="48" t="s">
        <v>191</v>
      </c>
      <c r="AT9" s="48" t="s">
        <v>192</v>
      </c>
      <c r="AU9" s="48" t="s">
        <v>193</v>
      </c>
      <c r="AV9" s="48" t="s">
        <v>194</v>
      </c>
      <c r="AW9" s="48" t="s">
        <v>195</v>
      </c>
      <c r="AX9" s="48" t="s">
        <v>196</v>
      </c>
      <c r="AY9" s="48" t="s">
        <v>197</v>
      </c>
      <c r="AZ9" s="48" t="s">
        <v>198</v>
      </c>
      <c r="BA9" s="48" t="s">
        <v>199</v>
      </c>
      <c r="BB9" s="48" t="s">
        <v>200</v>
      </c>
      <c r="BC9" s="48" t="s">
        <v>201</v>
      </c>
      <c r="BD9" s="48" t="s">
        <v>202</v>
      </c>
      <c r="BE9" s="48" t="s">
        <v>203</v>
      </c>
      <c r="BF9" s="48" t="s">
        <v>204</v>
      </c>
      <c r="BG9" s="48" t="s">
        <v>205</v>
      </c>
      <c r="BH9" s="48" t="s">
        <v>206</v>
      </c>
      <c r="BI9" s="48" t="s">
        <v>207</v>
      </c>
      <c r="BJ9" s="48" t="s">
        <v>208</v>
      </c>
      <c r="BK9" s="48" t="s">
        <v>209</v>
      </c>
      <c r="BL9" s="48" t="s">
        <v>210</v>
      </c>
      <c r="BM9" s="48" t="s">
        <v>211</v>
      </c>
      <c r="BN9" s="48" t="s">
        <v>212</v>
      </c>
      <c r="BO9" s="48" t="s">
        <v>213</v>
      </c>
      <c r="BP9" s="48" t="s">
        <v>214</v>
      </c>
      <c r="BQ9" s="48" t="s">
        <v>215</v>
      </c>
      <c r="BR9" s="48" t="s">
        <v>216</v>
      </c>
      <c r="BS9" s="48" t="s">
        <v>217</v>
      </c>
      <c r="BT9" s="48" t="s">
        <v>218</v>
      </c>
      <c r="BU9" s="48" t="s">
        <v>219</v>
      </c>
      <c r="BV9" s="48" t="s">
        <v>220</v>
      </c>
      <c r="BW9" s="48" t="s">
        <v>221</v>
      </c>
      <c r="BX9" s="48" t="s">
        <v>222</v>
      </c>
      <c r="BY9" s="48" t="s">
        <v>223</v>
      </c>
      <c r="BZ9" s="48" t="s">
        <v>224</v>
      </c>
      <c r="CA9" s="48" t="s">
        <v>225</v>
      </c>
      <c r="CB9" s="48" t="s">
        <v>226</v>
      </c>
      <c r="CC9" s="48" t="s">
        <v>227</v>
      </c>
      <c r="CD9" s="48" t="s">
        <v>228</v>
      </c>
      <c r="CE9" s="48" t="s">
        <v>229</v>
      </c>
      <c r="CF9" s="48" t="s">
        <v>230</v>
      </c>
      <c r="CG9" s="48" t="s">
        <v>231</v>
      </c>
      <c r="CH9" s="48" t="s">
        <v>232</v>
      </c>
      <c r="CI9" s="48" t="s">
        <v>233</v>
      </c>
      <c r="CJ9" s="48" t="s">
        <v>234</v>
      </c>
      <c r="CK9" s="48" t="s">
        <v>235</v>
      </c>
      <c r="CL9" s="48" t="s">
        <v>236</v>
      </c>
      <c r="CM9" s="48" t="s">
        <v>237</v>
      </c>
      <c r="CN9" s="48" t="s">
        <v>238</v>
      </c>
      <c r="CO9" s="48" t="s">
        <v>239</v>
      </c>
      <c r="CP9" s="48" t="s">
        <v>240</v>
      </c>
      <c r="CQ9" s="48" t="s">
        <v>241</v>
      </c>
      <c r="CR9" s="48" t="s">
        <v>242</v>
      </c>
      <c r="CS9" s="48" t="s">
        <v>243</v>
      </c>
      <c r="CT9" s="48" t="s">
        <v>244</v>
      </c>
    </row>
    <row r="10" spans="1:100" s="136" customFormat="1" ht="101.25">
      <c r="A10" s="181" t="s">
        <v>3</v>
      </c>
      <c r="B10" s="182" t="s">
        <v>4</v>
      </c>
      <c r="C10" s="182" t="s">
        <v>5</v>
      </c>
      <c r="D10" s="182" t="s">
        <v>61</v>
      </c>
      <c r="E10" s="182" t="s">
        <v>60</v>
      </c>
      <c r="F10" s="182" t="s">
        <v>60</v>
      </c>
      <c r="G10" s="182" t="s">
        <v>60</v>
      </c>
      <c r="H10" s="182" t="s">
        <v>60</v>
      </c>
      <c r="I10" s="182" t="s">
        <v>60</v>
      </c>
      <c r="J10" s="182" t="s">
        <v>60</v>
      </c>
      <c r="K10" s="182" t="s">
        <v>60</v>
      </c>
      <c r="L10" s="182" t="s">
        <v>60</v>
      </c>
      <c r="M10" s="182" t="s">
        <v>60</v>
      </c>
      <c r="N10" s="182" t="s">
        <v>60</v>
      </c>
      <c r="O10" s="182" t="s">
        <v>60</v>
      </c>
      <c r="P10" s="182" t="s">
        <v>60</v>
      </c>
      <c r="Q10" s="182" t="s">
        <v>60</v>
      </c>
      <c r="R10" s="182" t="s">
        <v>60</v>
      </c>
      <c r="S10" s="182" t="s">
        <v>60</v>
      </c>
      <c r="T10" s="182" t="s">
        <v>61</v>
      </c>
      <c r="U10" s="182" t="s">
        <v>61</v>
      </c>
      <c r="V10" s="182" t="s">
        <v>62</v>
      </c>
      <c r="W10" s="182" t="s">
        <v>62</v>
      </c>
      <c r="X10" s="182" t="s">
        <v>62</v>
      </c>
      <c r="Y10" s="182" t="s">
        <v>62</v>
      </c>
      <c r="Z10" s="182" t="s">
        <v>62</v>
      </c>
      <c r="AA10" s="182" t="s">
        <v>62</v>
      </c>
      <c r="AB10" s="182" t="s">
        <v>63</v>
      </c>
      <c r="AC10" s="182" t="s">
        <v>63</v>
      </c>
      <c r="AD10" s="182" t="s">
        <v>63</v>
      </c>
      <c r="AE10" s="182" t="s">
        <v>63</v>
      </c>
      <c r="AF10" s="182" t="s">
        <v>63</v>
      </c>
      <c r="AG10" s="182" t="s">
        <v>63</v>
      </c>
      <c r="AH10" s="182" t="s">
        <v>64</v>
      </c>
      <c r="AI10" s="182" t="s">
        <v>64</v>
      </c>
      <c r="AJ10" s="182" t="s">
        <v>64</v>
      </c>
      <c r="AK10" s="182" t="s">
        <v>64</v>
      </c>
      <c r="AL10" s="182" t="s">
        <v>64</v>
      </c>
      <c r="AM10" s="182" t="s">
        <v>65</v>
      </c>
      <c r="AN10" s="182" t="s">
        <v>65</v>
      </c>
      <c r="AO10" s="182" t="s">
        <v>65</v>
      </c>
      <c r="AP10" s="182" t="s">
        <v>65</v>
      </c>
      <c r="AQ10" s="182" t="s">
        <v>65</v>
      </c>
      <c r="AR10" s="182" t="s">
        <v>65</v>
      </c>
      <c r="AS10" s="182" t="s">
        <v>65</v>
      </c>
      <c r="AT10" s="182" t="s">
        <v>65</v>
      </c>
      <c r="AU10" s="182" t="s">
        <v>65</v>
      </c>
      <c r="AV10" s="182" t="s">
        <v>65</v>
      </c>
      <c r="AW10" s="182" t="s">
        <v>66</v>
      </c>
      <c r="AX10" s="182" t="s">
        <v>66</v>
      </c>
      <c r="AY10" s="182" t="s">
        <v>66</v>
      </c>
      <c r="AZ10" s="182" t="s">
        <v>66</v>
      </c>
      <c r="BA10" s="182" t="s">
        <v>66</v>
      </c>
      <c r="BB10" s="182" t="s">
        <v>66</v>
      </c>
      <c r="BC10" s="182" t="s">
        <v>66</v>
      </c>
      <c r="BD10" s="182" t="s">
        <v>66</v>
      </c>
      <c r="BE10" s="182" t="s">
        <v>66</v>
      </c>
      <c r="BF10" s="182" t="s">
        <v>66</v>
      </c>
      <c r="BG10" s="182" t="s">
        <v>66</v>
      </c>
      <c r="BH10" s="182" t="s">
        <v>66</v>
      </c>
      <c r="BI10" s="182" t="s">
        <v>66</v>
      </c>
      <c r="BJ10" s="182" t="s">
        <v>66</v>
      </c>
      <c r="BK10" s="182" t="s">
        <v>66</v>
      </c>
      <c r="BL10" s="182" t="s">
        <v>66</v>
      </c>
      <c r="BM10" s="182" t="s">
        <v>66</v>
      </c>
      <c r="BN10" s="182" t="s">
        <v>66</v>
      </c>
      <c r="BO10" s="182" t="s">
        <v>66</v>
      </c>
      <c r="BP10" s="182" t="s">
        <v>66</v>
      </c>
      <c r="BQ10" s="182" t="s">
        <v>66</v>
      </c>
      <c r="BR10" s="182" t="s">
        <v>66</v>
      </c>
      <c r="BS10" s="182" t="s">
        <v>66</v>
      </c>
      <c r="BT10" s="182" t="s">
        <v>66</v>
      </c>
      <c r="BU10" s="182" t="s">
        <v>66</v>
      </c>
      <c r="BV10" s="182" t="s">
        <v>66</v>
      </c>
      <c r="BW10" s="182" t="s">
        <v>66</v>
      </c>
      <c r="BX10" s="182" t="s">
        <v>66</v>
      </c>
      <c r="BY10" s="182" t="s">
        <v>66</v>
      </c>
      <c r="BZ10" s="182" t="s">
        <v>67</v>
      </c>
      <c r="CA10" s="182" t="s">
        <v>67</v>
      </c>
      <c r="CB10" s="182" t="s">
        <v>67</v>
      </c>
      <c r="CC10" s="182" t="s">
        <v>67</v>
      </c>
      <c r="CD10" s="182" t="s">
        <v>67</v>
      </c>
      <c r="CE10" s="182" t="s">
        <v>68</v>
      </c>
      <c r="CF10" s="182" t="s">
        <v>69</v>
      </c>
      <c r="CG10" s="182" t="s">
        <v>69</v>
      </c>
      <c r="CH10" s="182" t="s">
        <v>69</v>
      </c>
      <c r="CI10" s="182" t="s">
        <v>70</v>
      </c>
      <c r="CJ10" s="182" t="s">
        <v>70</v>
      </c>
      <c r="CK10" s="182" t="s">
        <v>70</v>
      </c>
      <c r="CL10" s="182" t="s">
        <v>70</v>
      </c>
      <c r="CM10" s="182" t="s">
        <v>70</v>
      </c>
      <c r="CN10" s="182" t="s">
        <v>71</v>
      </c>
      <c r="CO10" s="182" t="s">
        <v>72</v>
      </c>
      <c r="CP10" s="182" t="s">
        <v>73</v>
      </c>
      <c r="CQ10" s="182" t="s">
        <v>73</v>
      </c>
      <c r="CR10" s="182" t="s">
        <v>73</v>
      </c>
      <c r="CS10" s="182" t="s">
        <v>73</v>
      </c>
      <c r="CT10" s="183" t="s">
        <v>73</v>
      </c>
    </row>
    <row r="11" spans="1:100" s="188" customFormat="1" ht="21.75" thickBot="1">
      <c r="A11" s="184"/>
      <c r="B11" s="185" t="s">
        <v>245</v>
      </c>
      <c r="C11" s="185"/>
      <c r="D11" s="186" t="s">
        <v>74</v>
      </c>
      <c r="E11" s="186" t="s">
        <v>75</v>
      </c>
      <c r="F11" s="186" t="s">
        <v>76</v>
      </c>
      <c r="G11" s="186" t="s">
        <v>77</v>
      </c>
      <c r="H11" s="186" t="s">
        <v>78</v>
      </c>
      <c r="I11" s="186" t="s">
        <v>79</v>
      </c>
      <c r="J11" s="186" t="s">
        <v>80</v>
      </c>
      <c r="K11" s="186" t="s">
        <v>81</v>
      </c>
      <c r="L11" s="186" t="s">
        <v>82</v>
      </c>
      <c r="M11" s="186" t="s">
        <v>83</v>
      </c>
      <c r="N11" s="186" t="s">
        <v>84</v>
      </c>
      <c r="O11" s="186" t="s">
        <v>85</v>
      </c>
      <c r="P11" s="186" t="s">
        <v>86</v>
      </c>
      <c r="Q11" s="186" t="s">
        <v>87</v>
      </c>
      <c r="R11" s="186" t="s">
        <v>88</v>
      </c>
      <c r="S11" s="186" t="s">
        <v>89</v>
      </c>
      <c r="T11" s="186" t="s">
        <v>90</v>
      </c>
      <c r="U11" s="186" t="s">
        <v>91</v>
      </c>
      <c r="V11" s="186">
        <v>2</v>
      </c>
      <c r="W11" s="186">
        <v>6</v>
      </c>
      <c r="X11" s="186">
        <v>10</v>
      </c>
      <c r="Y11" s="186">
        <v>4</v>
      </c>
      <c r="Z11" s="186">
        <v>31</v>
      </c>
      <c r="AA11" s="186">
        <v>35</v>
      </c>
      <c r="AB11" s="186">
        <v>28</v>
      </c>
      <c r="AC11" s="186">
        <v>30</v>
      </c>
      <c r="AD11" s="186">
        <v>43</v>
      </c>
      <c r="AE11" s="186">
        <v>60</v>
      </c>
      <c r="AF11" s="186">
        <v>62</v>
      </c>
      <c r="AG11" s="186">
        <v>64</v>
      </c>
      <c r="AH11" s="186" t="s">
        <v>92</v>
      </c>
      <c r="AI11" s="186" t="s">
        <v>93</v>
      </c>
      <c r="AJ11" s="186" t="s">
        <v>94</v>
      </c>
      <c r="AK11" s="186" t="s">
        <v>95</v>
      </c>
      <c r="AL11" s="186" t="s">
        <v>96</v>
      </c>
      <c r="AM11" s="186">
        <v>10</v>
      </c>
      <c r="AN11" s="186">
        <v>11</v>
      </c>
      <c r="AO11" s="186">
        <v>13</v>
      </c>
      <c r="AP11" s="186">
        <v>29</v>
      </c>
      <c r="AQ11" s="186">
        <v>16</v>
      </c>
      <c r="AR11" s="186" t="s">
        <v>97</v>
      </c>
      <c r="AS11" s="186" t="s">
        <v>98</v>
      </c>
      <c r="AT11" s="186" t="s">
        <v>99</v>
      </c>
      <c r="AU11" s="186" t="s">
        <v>100</v>
      </c>
      <c r="AV11" s="186" t="s">
        <v>101</v>
      </c>
      <c r="AW11" s="186" t="s">
        <v>102</v>
      </c>
      <c r="AX11" s="186" t="s">
        <v>103</v>
      </c>
      <c r="AY11" s="186" t="s">
        <v>104</v>
      </c>
      <c r="AZ11" s="186" t="s">
        <v>77</v>
      </c>
      <c r="BA11" s="186" t="s">
        <v>105</v>
      </c>
      <c r="BB11" s="186" t="s">
        <v>78</v>
      </c>
      <c r="BC11" s="186" t="s">
        <v>106</v>
      </c>
      <c r="BD11" s="186" t="s">
        <v>79</v>
      </c>
      <c r="BE11" s="186" t="s">
        <v>107</v>
      </c>
      <c r="BF11" s="186" t="s">
        <v>81</v>
      </c>
      <c r="BG11" s="186" t="s">
        <v>82</v>
      </c>
      <c r="BH11" s="186" t="s">
        <v>108</v>
      </c>
      <c r="BI11" s="186" t="s">
        <v>83</v>
      </c>
      <c r="BJ11" s="186" t="s">
        <v>109</v>
      </c>
      <c r="BK11" s="186" t="s">
        <v>84</v>
      </c>
      <c r="BL11" s="186" t="s">
        <v>110</v>
      </c>
      <c r="BM11" s="186" t="s">
        <v>111</v>
      </c>
      <c r="BN11" s="186" t="s">
        <v>112</v>
      </c>
      <c r="BO11" s="186" t="s">
        <v>85</v>
      </c>
      <c r="BP11" s="186" t="s">
        <v>113</v>
      </c>
      <c r="BQ11" s="186" t="s">
        <v>114</v>
      </c>
      <c r="BR11" s="186" t="s">
        <v>115</v>
      </c>
      <c r="BS11" s="186" t="s">
        <v>116</v>
      </c>
      <c r="BT11" s="186" t="s">
        <v>117</v>
      </c>
      <c r="BU11" s="186" t="s">
        <v>118</v>
      </c>
      <c r="BV11" s="186" t="s">
        <v>87</v>
      </c>
      <c r="BW11" s="186" t="s">
        <v>119</v>
      </c>
      <c r="BX11" s="186" t="s">
        <v>91</v>
      </c>
      <c r="BY11" s="186" t="s">
        <v>120</v>
      </c>
      <c r="BZ11" s="186">
        <v>2</v>
      </c>
      <c r="CA11" s="186">
        <v>6</v>
      </c>
      <c r="CB11" s="186">
        <v>8</v>
      </c>
      <c r="CC11" s="186">
        <v>10</v>
      </c>
      <c r="CD11" s="186">
        <v>12</v>
      </c>
      <c r="CE11" s="186" t="s">
        <v>76</v>
      </c>
      <c r="CF11" s="186" t="s">
        <v>104</v>
      </c>
      <c r="CG11" s="186" t="s">
        <v>121</v>
      </c>
      <c r="CH11" s="186" t="s">
        <v>117</v>
      </c>
      <c r="CI11" s="186" t="s">
        <v>74</v>
      </c>
      <c r="CJ11" s="186" t="s">
        <v>121</v>
      </c>
      <c r="CK11" s="186" t="s">
        <v>85</v>
      </c>
      <c r="CL11" s="186" t="s">
        <v>117</v>
      </c>
      <c r="CM11" s="186" t="s">
        <v>86</v>
      </c>
      <c r="CN11" s="186">
        <v>12</v>
      </c>
      <c r="CO11" s="186" t="s">
        <v>74</v>
      </c>
      <c r="CP11" s="186" t="s">
        <v>121</v>
      </c>
      <c r="CQ11" s="186" t="s">
        <v>85</v>
      </c>
      <c r="CR11" s="186" t="s">
        <v>117</v>
      </c>
      <c r="CS11" s="186" t="s">
        <v>86</v>
      </c>
      <c r="CT11" s="187" t="s">
        <v>87</v>
      </c>
    </row>
    <row r="12" spans="1:100" s="136" customFormat="1" ht="19.5" customHeight="1">
      <c r="A12" s="189">
        <v>1</v>
      </c>
      <c r="B12" s="190" t="s">
        <v>252</v>
      </c>
      <c r="C12" s="190"/>
      <c r="D12" s="191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3"/>
    </row>
    <row r="13" spans="1:100" s="136" customFormat="1" ht="21">
      <c r="A13" s="194" t="s">
        <v>7</v>
      </c>
      <c r="B13" s="195" t="s">
        <v>8</v>
      </c>
      <c r="C13" s="196"/>
      <c r="D13" s="197">
        <f>'17% Управителю (З ПДВ)'!D13/1.2/1.17</f>
        <v>0.60599999999999998</v>
      </c>
      <c r="E13" s="197">
        <f>'17% Управителю (З ПДВ)'!E13/1.2/1.17</f>
        <v>0.499</v>
      </c>
      <c r="F13" s="197">
        <f>'17% Управителю (З ПДВ)'!F13/1.2/1.17</f>
        <v>0.46400000000000002</v>
      </c>
      <c r="G13" s="197">
        <f>'17% Управителю (З ПДВ)'!G13/1.2/1.17</f>
        <v>0.42299999999999999</v>
      </c>
      <c r="H13" s="197">
        <f>'17% Управителю (З ПДВ)'!H13/1.2/1.17</f>
        <v>0.29299999999999998</v>
      </c>
      <c r="I13" s="197">
        <f>'17% Управителю (З ПДВ)'!I13/1.2/1.17</f>
        <v>0.314</v>
      </c>
      <c r="J13" s="197">
        <f>'17% Управителю (З ПДВ)'!J13/1.2/1.17</f>
        <v>0.48599999999999999</v>
      </c>
      <c r="K13" s="197">
        <f>'17% Управителю (З ПДВ)'!K13/1.2/1.17</f>
        <v>0.45900000000000002</v>
      </c>
      <c r="L13" s="197">
        <f>'17% Управителю (З ПДВ)'!L13/1.2/1.17</f>
        <v>0.40600000000000003</v>
      </c>
      <c r="M13" s="197">
        <f>'17% Управителю (З ПДВ)'!M13/1.2/1.17</f>
        <v>0.38600000000000001</v>
      </c>
      <c r="N13" s="197">
        <f>'17% Управителю (З ПДВ)'!N13/1.2/1.17</f>
        <v>0.46899999999999997</v>
      </c>
      <c r="O13" s="197">
        <f>'17% Управителю (З ПДВ)'!O13/1.2/1.17</f>
        <v>0.45600000000000002</v>
      </c>
      <c r="P13" s="197">
        <f>'17% Управителю (З ПДВ)'!P13/1.2/1.17</f>
        <v>0.45600000000000002</v>
      </c>
      <c r="Q13" s="197">
        <f>'17% Управителю (З ПДВ)'!Q13/1.2/1.17</f>
        <v>0.56599999999999995</v>
      </c>
      <c r="R13" s="197">
        <f>'17% Управителю (З ПДВ)'!R13/1.2/1.17</f>
        <v>0.55800000000000005</v>
      </c>
      <c r="S13" s="197">
        <f>'17% Управителю (З ПДВ)'!S13/1.2/1.17</f>
        <v>0.41299999999999998</v>
      </c>
      <c r="T13" s="197">
        <f>'17% Управителю (З ПДВ)'!T13/1.2/1.17</f>
        <v>0.48299999999999998</v>
      </c>
      <c r="U13" s="197">
        <f>'17% Управителю (З ПДВ)'!U13/1.2/1.17</f>
        <v>0.40799999999999997</v>
      </c>
      <c r="V13" s="197">
        <f>'17% Управителю (З ПДВ)'!V13/1.2/1.17</f>
        <v>0.47899999999999998</v>
      </c>
      <c r="W13" s="197">
        <f>'17% Управителю (З ПДВ)'!W13/1.2/1.17</f>
        <v>0.439</v>
      </c>
      <c r="X13" s="197">
        <f>'17% Управителю (З ПДВ)'!X13/1.2/1.17</f>
        <v>0.46400000000000002</v>
      </c>
      <c r="Y13" s="197">
        <f>'17% Управителю (З ПДВ)'!Y13/1.2/1.17</f>
        <v>0.47799999999999998</v>
      </c>
      <c r="Z13" s="197">
        <f>'17% Управителю (З ПДВ)'!Z13/1.2/1.17</f>
        <v>0.45400000000000001</v>
      </c>
      <c r="AA13" s="197">
        <f>'17% Управителю (З ПДВ)'!AA13/1.2/1.17</f>
        <v>0.41399999999999998</v>
      </c>
      <c r="AB13" s="197">
        <f>'17% Управителю (З ПДВ)'!AB13/1.2/1.17</f>
        <v>0.35499999999999998</v>
      </c>
      <c r="AC13" s="197">
        <f>'17% Управителю (З ПДВ)'!AC13/1.2/1.17</f>
        <v>0.42899999999999999</v>
      </c>
      <c r="AD13" s="197">
        <f>'17% Управителю (З ПДВ)'!AD13/1.2/1.17</f>
        <v>0</v>
      </c>
      <c r="AE13" s="197">
        <f>'17% Управителю (З ПДВ)'!AE13/1.2/1.17</f>
        <v>0</v>
      </c>
      <c r="AF13" s="197">
        <f>'17% Управителю (З ПДВ)'!AF13/1.2/1.17</f>
        <v>0</v>
      </c>
      <c r="AG13" s="197">
        <f>'17% Управителю (З ПДВ)'!AG13/1.2/1.17</f>
        <v>0</v>
      </c>
      <c r="AH13" s="197">
        <f>'17% Управителю (З ПДВ)'!AH13/1.2/1.17</f>
        <v>0.15</v>
      </c>
      <c r="AI13" s="197">
        <f>'17% Управителю (З ПДВ)'!AI13/1.2/1.17</f>
        <v>0.32500000000000001</v>
      </c>
      <c r="AJ13" s="197">
        <f>'17% Управителю (З ПДВ)'!AJ13/1.2/1.17</f>
        <v>0.224</v>
      </c>
      <c r="AK13" s="197">
        <f>'17% Управителю (З ПДВ)'!AK13/1.2/1.17</f>
        <v>0.64500000000000002</v>
      </c>
      <c r="AL13" s="197">
        <f>'17% Управителю (З ПДВ)'!AL13/1.2/1.17</f>
        <v>0.40699999999999997</v>
      </c>
      <c r="AM13" s="197">
        <f>'17% Управителю (З ПДВ)'!AM13/1.2/1.17</f>
        <v>0</v>
      </c>
      <c r="AN13" s="197">
        <f>'17% Управителю (З ПДВ)'!AN13/1.2/1.17</f>
        <v>0.89</v>
      </c>
      <c r="AO13" s="197">
        <f>'17% Управителю (З ПДВ)'!AO13/1.2/1.17</f>
        <v>0.48099999999999998</v>
      </c>
      <c r="AP13" s="197">
        <f>'17% Управителю (З ПДВ)'!AP13/1.2/1.17</f>
        <v>0.35599999999999998</v>
      </c>
      <c r="AQ13" s="197">
        <f>'17% Управителю (З ПДВ)'!AQ13/1.2/1.17</f>
        <v>0</v>
      </c>
      <c r="AR13" s="197">
        <f>'17% Управителю (З ПДВ)'!AR13/1.2/1.17</f>
        <v>0</v>
      </c>
      <c r="AS13" s="197">
        <f>'17% Управителю (З ПДВ)'!AS13/1.2/1.17</f>
        <v>0.48299999999999998</v>
      </c>
      <c r="AT13" s="197">
        <f>'17% Управителю (З ПДВ)'!AT13/1.2/1.17</f>
        <v>0.24</v>
      </c>
      <c r="AU13" s="197">
        <f>'17% Управителю (З ПДВ)'!AU13/1.2/1.17</f>
        <v>0.25</v>
      </c>
      <c r="AV13" s="197">
        <f>'17% Управителю (З ПДВ)'!AV13/1.2/1.17</f>
        <v>0.26600000000000001</v>
      </c>
      <c r="AW13" s="197">
        <f>'17% Управителю (З ПДВ)'!AW13/1.2/1.17</f>
        <v>0.52400000000000002</v>
      </c>
      <c r="AX13" s="197">
        <f>'17% Управителю (З ПДВ)'!AX13/1.2/1.17</f>
        <v>0.60099999999999998</v>
      </c>
      <c r="AY13" s="197">
        <f>'17% Управителю (З ПДВ)'!AY13/1.2/1.17</f>
        <v>0.34</v>
      </c>
      <c r="AZ13" s="197">
        <f>'17% Управителю (З ПДВ)'!AZ13/1.2/1.17</f>
        <v>0.42499999999999999</v>
      </c>
      <c r="BA13" s="197">
        <f>'17% Управителю (З ПДВ)'!BA13/1.2/1.17</f>
        <v>1.1819999999999999</v>
      </c>
      <c r="BB13" s="197">
        <f>'17% Управителю (З ПДВ)'!BB13/1.2/1.17</f>
        <v>0.59</v>
      </c>
      <c r="BC13" s="197">
        <f>'17% Управителю (З ПДВ)'!BC13/1.2/1.17</f>
        <v>0.41899999999999998</v>
      </c>
      <c r="BD13" s="197">
        <f>'17% Управителю (З ПДВ)'!BD13/1.2/1.17</f>
        <v>0.51800000000000002</v>
      </c>
      <c r="BE13" s="197">
        <f>'17% Управителю (З ПДВ)'!BE13/1.2/1.17</f>
        <v>0.47299999999999998</v>
      </c>
      <c r="BF13" s="197">
        <f>'17% Управителю (З ПДВ)'!BF13/1.2/1.17</f>
        <v>0.33800000000000002</v>
      </c>
      <c r="BG13" s="197">
        <f>'17% Управителю (З ПДВ)'!BG13/1.2/1.17</f>
        <v>0.66400000000000003</v>
      </c>
      <c r="BH13" s="197">
        <f>'17% Управителю (З ПДВ)'!BH13/1.2/1.17</f>
        <v>0.82299999999999995</v>
      </c>
      <c r="BI13" s="197">
        <f>'17% Управителю (З ПДВ)'!BI13/1.2/1.17</f>
        <v>0.66400000000000003</v>
      </c>
      <c r="BJ13" s="197">
        <f>'17% Управителю (З ПДВ)'!BJ13/1.2/1.17</f>
        <v>0.41899999999999998</v>
      </c>
      <c r="BK13" s="197">
        <f>'17% Управителю (З ПДВ)'!BK13/1.2/1.17</f>
        <v>0.74099999999999999</v>
      </c>
      <c r="BL13" s="197">
        <f>'17% Управителю (З ПДВ)'!BL13/1.2/1.17</f>
        <v>0.48599999999999999</v>
      </c>
      <c r="BM13" s="197">
        <f>'17% Управителю (З ПДВ)'!BM13/1.2/1.17</f>
        <v>0.57599999999999996</v>
      </c>
      <c r="BN13" s="197">
        <f>'17% Управителю (З ПДВ)'!BN13/1.2/1.17</f>
        <v>0.34399999999999997</v>
      </c>
      <c r="BO13" s="197">
        <f>'17% Управителю (З ПДВ)'!BO13/1.2/1.17</f>
        <v>0.11899999999999999</v>
      </c>
      <c r="BP13" s="197">
        <f>'17% Управителю (З ПДВ)'!BP13/1.2/1.17</f>
        <v>0.72699999999999998</v>
      </c>
      <c r="BQ13" s="197">
        <f>'17% Управителю (З ПДВ)'!BQ13/1.2/1.17</f>
        <v>0.66500000000000004</v>
      </c>
      <c r="BR13" s="197">
        <f>'17% Управителю (З ПДВ)'!BR13/1.2/1.17</f>
        <v>0.378</v>
      </c>
      <c r="BS13" s="197">
        <f>'17% Управителю (З ПДВ)'!BS13/1.2/1.17</f>
        <v>0.39400000000000002</v>
      </c>
      <c r="BT13" s="197">
        <f>'17% Управителю (З ПДВ)'!BT13/1.2/1.17</f>
        <v>0.32900000000000001</v>
      </c>
      <c r="BU13" s="197">
        <f>'17% Управителю (З ПДВ)'!BU13/1.2/1.17</f>
        <v>0.39900000000000002</v>
      </c>
      <c r="BV13" s="197">
        <f>'17% Управителю (З ПДВ)'!BV13/1.2/1.17</f>
        <v>0.28100000000000003</v>
      </c>
      <c r="BW13" s="197">
        <f>'17% Управителю (З ПДВ)'!BW13/1.2/1.17</f>
        <v>0.35899999999999999</v>
      </c>
      <c r="BX13" s="197">
        <f>'17% Управителю (З ПДВ)'!BX13/1.2/1.17</f>
        <v>0.41099999999999998</v>
      </c>
      <c r="BY13" s="197">
        <f>'17% Управителю (З ПДВ)'!BY13/1.2/1.17</f>
        <v>0.60799999999999998</v>
      </c>
      <c r="BZ13" s="197">
        <f>'17% Управителю (З ПДВ)'!BZ13/1.2/1.17</f>
        <v>0.45300000000000001</v>
      </c>
      <c r="CA13" s="197">
        <f>'17% Управителю (З ПДВ)'!CA13/1.2/1.17</f>
        <v>0.49099999999999999</v>
      </c>
      <c r="CB13" s="197">
        <f>'17% Управителю (З ПДВ)'!CB13/1.2/1.17</f>
        <v>0.499</v>
      </c>
      <c r="CC13" s="197">
        <f>'17% Управителю (З ПДВ)'!CC13/1.2/1.17</f>
        <v>0.45800000000000002</v>
      </c>
      <c r="CD13" s="197">
        <f>'17% Управителю (З ПДВ)'!CD13/1.2/1.17</f>
        <v>0.51400000000000001</v>
      </c>
      <c r="CE13" s="197">
        <f>'17% Управителю (З ПДВ)'!CE13/1.2/1.17</f>
        <v>0</v>
      </c>
      <c r="CF13" s="197">
        <f>'17% Управителю (З ПДВ)'!CF13/1.2/1.17</f>
        <v>0.45800000000000002</v>
      </c>
      <c r="CG13" s="197">
        <f>'17% Управителю (З ПДВ)'!CG13/1.2/1.17</f>
        <v>0.67700000000000005</v>
      </c>
      <c r="CH13" s="197">
        <f>'17% Управителю (З ПДВ)'!CH13/1.2/1.17</f>
        <v>0.625</v>
      </c>
      <c r="CI13" s="197">
        <f>'17% Управителю (З ПДВ)'!CI13/1.2/1.17</f>
        <v>0.315</v>
      </c>
      <c r="CJ13" s="197">
        <f>'17% Управителю (З ПДВ)'!CJ13/1.2/1.17</f>
        <v>0.42599999999999999</v>
      </c>
      <c r="CK13" s="197">
        <f>'17% Управителю (З ПДВ)'!CK13/1.2/1.17</f>
        <v>1.0569999999999999</v>
      </c>
      <c r="CL13" s="197">
        <f>'17% Управителю (З ПДВ)'!CL13/1.2/1.17</f>
        <v>0.59599999999999997</v>
      </c>
      <c r="CM13" s="197">
        <f>'17% Управителю (З ПДВ)'!CM13/1.2/1.17</f>
        <v>1.276</v>
      </c>
      <c r="CN13" s="197">
        <f>'17% Управителю (З ПДВ)'!CN13/1.2/1.17</f>
        <v>0</v>
      </c>
      <c r="CO13" s="197">
        <f>'17% Управителю (З ПДВ)'!CO13/1.2/1.17</f>
        <v>3.5999999999999997E-2</v>
      </c>
      <c r="CP13" s="197">
        <f>'17% Управителю (З ПДВ)'!CP13/1.2/1.17</f>
        <v>3.6999999999999998E-2</v>
      </c>
      <c r="CQ13" s="197">
        <f>'17% Управителю (З ПДВ)'!CQ13/1.2/1.17</f>
        <v>3.5999999999999997E-2</v>
      </c>
      <c r="CR13" s="197">
        <f>'17% Управителю (З ПДВ)'!CR13/1.2/1.17</f>
        <v>3.5999999999999997E-2</v>
      </c>
      <c r="CS13" s="197">
        <f>'17% Управителю (З ПДВ)'!CS13/1.2/1.17</f>
        <v>3.5999999999999997E-2</v>
      </c>
      <c r="CT13" s="198">
        <f>'17% Управителю (З ПДВ)'!CT13/1.2/1.17</f>
        <v>3.5000000000000003E-2</v>
      </c>
      <c r="CU13" s="199"/>
    </row>
    <row r="14" spans="1:100" s="136" customFormat="1" ht="21">
      <c r="A14" s="194" t="s">
        <v>9</v>
      </c>
      <c r="B14" s="200" t="s">
        <v>10</v>
      </c>
      <c r="C14" s="196"/>
      <c r="D14" s="197">
        <f>'17% Управителю (З ПДВ)'!D14/1.2/1.17</f>
        <v>0.09</v>
      </c>
      <c r="E14" s="197">
        <f>'17% Управителю (З ПДВ)'!E14/1.2/1.17</f>
        <v>0.316</v>
      </c>
      <c r="F14" s="197">
        <f>'17% Управителю (З ПДВ)'!F14/1.2/1.17</f>
        <v>0.14899999999999999</v>
      </c>
      <c r="G14" s="197">
        <f>'17% Управителю (З ПДВ)'!G14/1.2/1.17</f>
        <v>0.16700000000000001</v>
      </c>
      <c r="H14" s="197">
        <f>'17% Управителю (З ПДВ)'!H14/1.2/1.17</f>
        <v>7.1999999999999995E-2</v>
      </c>
      <c r="I14" s="197">
        <f>'17% Управителю (З ПДВ)'!I14/1.2/1.17</f>
        <v>0.16700000000000001</v>
      </c>
      <c r="J14" s="197">
        <f>'17% Управителю (З ПДВ)'!J14/1.2/1.17</f>
        <v>9.5000000000000001E-2</v>
      </c>
      <c r="K14" s="197">
        <f>'17% Управителю (З ПДВ)'!K14/1.2/1.17</f>
        <v>0.16500000000000001</v>
      </c>
      <c r="L14" s="197">
        <f>'17% Управителю (З ПДВ)'!L14/1.2/1.17</f>
        <v>0.219</v>
      </c>
      <c r="M14" s="197">
        <f>'17% Управителю (З ПДВ)'!M14/1.2/1.17</f>
        <v>0.189</v>
      </c>
      <c r="N14" s="197">
        <f>'17% Управителю (З ПДВ)'!N14/1.2/1.17</f>
        <v>0.19700000000000001</v>
      </c>
      <c r="O14" s="197">
        <f>'17% Управителю (З ПДВ)'!O14/1.2/1.17</f>
        <v>9.7000000000000003E-2</v>
      </c>
      <c r="P14" s="197">
        <f>'17% Управителю (З ПДВ)'!P14/1.2/1.17</f>
        <v>0.14000000000000001</v>
      </c>
      <c r="Q14" s="197">
        <f>'17% Управителю (З ПДВ)'!Q14/1.2/1.17</f>
        <v>0.16</v>
      </c>
      <c r="R14" s="197">
        <f>'17% Управителю (З ПДВ)'!R14/1.2/1.17</f>
        <v>0.318</v>
      </c>
      <c r="S14" s="197">
        <f>'17% Управителю (З ПДВ)'!S14/1.2/1.17</f>
        <v>0.13500000000000001</v>
      </c>
      <c r="T14" s="197">
        <f>'17% Управителю (З ПДВ)'!T14/1.2/1.17</f>
        <v>0.17399999999999999</v>
      </c>
      <c r="U14" s="197">
        <f>'17% Управителю (З ПДВ)'!U14/1.2/1.17</f>
        <v>0.124</v>
      </c>
      <c r="V14" s="197">
        <f>'17% Управителю (З ПДВ)'!V14/1.2/1.17</f>
        <v>0.23599999999999999</v>
      </c>
      <c r="W14" s="197">
        <f>'17% Управителю (З ПДВ)'!W14/1.2/1.17</f>
        <v>0.26400000000000001</v>
      </c>
      <c r="X14" s="197">
        <f>'17% Управителю (З ПДВ)'!X14/1.2/1.17</f>
        <v>0.245</v>
      </c>
      <c r="Y14" s="197">
        <f>'17% Управителю (З ПДВ)'!Y14/1.2/1.17</f>
        <v>0.29199999999999998</v>
      </c>
      <c r="Z14" s="197">
        <f>'17% Управителю (З ПДВ)'!Z14/1.2/1.17</f>
        <v>0.28199999999999997</v>
      </c>
      <c r="AA14" s="197">
        <f>'17% Управителю (З ПДВ)'!AA14/1.2/1.17</f>
        <v>0.254</v>
      </c>
      <c r="AB14" s="197">
        <f>'17% Управителю (З ПДВ)'!AB14/1.2/1.17</f>
        <v>0.27600000000000002</v>
      </c>
      <c r="AC14" s="197">
        <f>'17% Управителю (З ПДВ)'!AC14/1.2/1.17</f>
        <v>0.29699999999999999</v>
      </c>
      <c r="AD14" s="197">
        <f>'17% Управителю (З ПДВ)'!AD14/1.2/1.17</f>
        <v>0</v>
      </c>
      <c r="AE14" s="197">
        <f>'17% Управителю (З ПДВ)'!AE14/1.2/1.17</f>
        <v>0</v>
      </c>
      <c r="AF14" s="197">
        <f>'17% Управителю (З ПДВ)'!AF14/1.2/1.17</f>
        <v>0</v>
      </c>
      <c r="AG14" s="197">
        <f>'17% Управителю (З ПДВ)'!AG14/1.2/1.17</f>
        <v>0</v>
      </c>
      <c r="AH14" s="197">
        <f>'17% Управителю (З ПДВ)'!AH14/1.2/1.17</f>
        <v>0.17199999999999999</v>
      </c>
      <c r="AI14" s="197">
        <f>'17% Управителю (З ПДВ)'!AI14/1.2/1.17</f>
        <v>9.5000000000000001E-2</v>
      </c>
      <c r="AJ14" s="197">
        <f>'17% Управителю (З ПДВ)'!AJ14/1.2/1.17</f>
        <v>7.6999999999999999E-2</v>
      </c>
      <c r="AK14" s="197">
        <f>'17% Управителю (З ПДВ)'!AK14/1.2/1.17</f>
        <v>0.15</v>
      </c>
      <c r="AL14" s="197">
        <f>'17% Управителю (З ПДВ)'!AL14/1.2/1.17</f>
        <v>0.16200000000000001</v>
      </c>
      <c r="AM14" s="197">
        <f>'17% Управителю (З ПДВ)'!AM14/1.2/1.17</f>
        <v>0</v>
      </c>
      <c r="AN14" s="197">
        <f>'17% Управителю (З ПДВ)'!AN14/1.2/1.17</f>
        <v>0</v>
      </c>
      <c r="AO14" s="197">
        <f>'17% Управителю (З ПДВ)'!AO14/1.2/1.17</f>
        <v>6.4000000000000001E-2</v>
      </c>
      <c r="AP14" s="197">
        <f>'17% Управителю (З ПДВ)'!AP14/1.2/1.17</f>
        <v>0</v>
      </c>
      <c r="AQ14" s="197">
        <f>'17% Управителю (З ПДВ)'!AQ14/1.2/1.17</f>
        <v>0</v>
      </c>
      <c r="AR14" s="197">
        <f>'17% Управителю (З ПДВ)'!AR14/1.2/1.17</f>
        <v>0</v>
      </c>
      <c r="AS14" s="197">
        <f>'17% Управителю (З ПДВ)'!AS14/1.2/1.17</f>
        <v>0.19700000000000001</v>
      </c>
      <c r="AT14" s="197">
        <f>'17% Управителю (З ПДВ)'!AT14/1.2/1.17</f>
        <v>0.214</v>
      </c>
      <c r="AU14" s="197">
        <f>'17% Управителю (З ПДВ)'!AU14/1.2/1.17</f>
        <v>0.23699999999999999</v>
      </c>
      <c r="AV14" s="197">
        <f>'17% Управителю (З ПДВ)'!AV14/1.2/1.17</f>
        <v>0.219</v>
      </c>
      <c r="AW14" s="197">
        <f>'17% Управителю (З ПДВ)'!AW14/1.2/1.17</f>
        <v>0.30299999999999999</v>
      </c>
      <c r="AX14" s="197">
        <f>'17% Управителю (З ПДВ)'!AX14/1.2/1.17</f>
        <v>0.29099999999999998</v>
      </c>
      <c r="AY14" s="197">
        <f>'17% Управителю (З ПДВ)'!AY14/1.2/1.17</f>
        <v>0.11</v>
      </c>
      <c r="AZ14" s="197">
        <f>'17% Управителю (З ПДВ)'!AZ14/1.2/1.17</f>
        <v>0.152</v>
      </c>
      <c r="BA14" s="197">
        <f>'17% Управителю (З ПДВ)'!BA14/1.2/1.17</f>
        <v>0.184</v>
      </c>
      <c r="BB14" s="197">
        <f>'17% Управителю (З ПДВ)'!BB14/1.2/1.17</f>
        <v>0.47299999999999998</v>
      </c>
      <c r="BC14" s="197">
        <f>'17% Управителю (З ПДВ)'!BC14/1.2/1.17</f>
        <v>0.41499999999999998</v>
      </c>
      <c r="BD14" s="197">
        <f>'17% Управителю (З ПДВ)'!BD14/1.2/1.17</f>
        <v>0.19500000000000001</v>
      </c>
      <c r="BE14" s="197">
        <f>'17% Управителю (З ПДВ)'!BE14/1.2/1.17</f>
        <v>0.16</v>
      </c>
      <c r="BF14" s="197">
        <f>'17% Управителю (З ПДВ)'!BF14/1.2/1.17</f>
        <v>0.22900000000000001</v>
      </c>
      <c r="BG14" s="197">
        <f>'17% Управителю (З ПДВ)'!BG14/1.2/1.17</f>
        <v>0.17699999999999999</v>
      </c>
      <c r="BH14" s="197">
        <f>'17% Управителю (З ПДВ)'!BH14/1.2/1.17</f>
        <v>0.155</v>
      </c>
      <c r="BI14" s="197">
        <f>'17% Управителю (З ПДВ)'!BI14/1.2/1.17</f>
        <v>0.17399999999999999</v>
      </c>
      <c r="BJ14" s="197">
        <f>'17% Управителю (З ПДВ)'!BJ14/1.2/1.17</f>
        <v>0.19700000000000001</v>
      </c>
      <c r="BK14" s="197">
        <f>'17% Управителю (З ПДВ)'!BK14/1.2/1.17</f>
        <v>0.22700000000000001</v>
      </c>
      <c r="BL14" s="197">
        <f>'17% Управителю (З ПДВ)'!BL14/1.2/1.17</f>
        <v>0.114</v>
      </c>
      <c r="BM14" s="197">
        <f>'17% Управителю (З ПДВ)'!BM14/1.2/1.17</f>
        <v>0.29399999999999998</v>
      </c>
      <c r="BN14" s="197">
        <f>'17% Управителю (З ПДВ)'!BN14/1.2/1.17</f>
        <v>8.5000000000000006E-2</v>
      </c>
      <c r="BO14" s="197">
        <f>'17% Управителю (З ПДВ)'!BO14/1.2/1.17</f>
        <v>6.5000000000000002E-2</v>
      </c>
      <c r="BP14" s="197">
        <f>'17% Управителю (З ПДВ)'!BP14/1.2/1.17</f>
        <v>0.17</v>
      </c>
      <c r="BQ14" s="197">
        <f>'17% Управителю (З ПДВ)'!BQ14/1.2/1.17</f>
        <v>0.17899999999999999</v>
      </c>
      <c r="BR14" s="197">
        <f>'17% Управителю (З ПДВ)'!BR14/1.2/1.17</f>
        <v>0.109</v>
      </c>
      <c r="BS14" s="197">
        <f>'17% Управителю (З ПДВ)'!BS14/1.2/1.17</f>
        <v>0.152</v>
      </c>
      <c r="BT14" s="197">
        <f>'17% Управителю (З ПДВ)'!BT14/1.2/1.17</f>
        <v>0.17499999999999999</v>
      </c>
      <c r="BU14" s="197">
        <f>'17% Управителю (З ПДВ)'!BU14/1.2/1.17</f>
        <v>0.107</v>
      </c>
      <c r="BV14" s="197">
        <f>'17% Управителю (З ПДВ)'!BV14/1.2/1.17</f>
        <v>0.127</v>
      </c>
      <c r="BW14" s="197">
        <f>'17% Управителю (З ПДВ)'!BW14/1.2/1.17</f>
        <v>0.11</v>
      </c>
      <c r="BX14" s="197">
        <f>'17% Управителю (З ПДВ)'!BX14/1.2/1.17</f>
        <v>0.29099999999999998</v>
      </c>
      <c r="BY14" s="197">
        <f>'17% Управителю (З ПДВ)'!BY14/1.2/1.17</f>
        <v>0.28399999999999997</v>
      </c>
      <c r="BZ14" s="197">
        <f>'17% Управителю (З ПДВ)'!BZ14/1.2/1.17</f>
        <v>0.26500000000000001</v>
      </c>
      <c r="CA14" s="197">
        <f>'17% Управителю (З ПДВ)'!CA14/1.2/1.17</f>
        <v>0.222</v>
      </c>
      <c r="CB14" s="197">
        <f>'17% Управителю (З ПДВ)'!CB14/1.2/1.17</f>
        <v>0.23</v>
      </c>
      <c r="CC14" s="197">
        <f>'17% Управителю (З ПДВ)'!CC14/1.2/1.17</f>
        <v>0.24399999999999999</v>
      </c>
      <c r="CD14" s="197">
        <f>'17% Управителю (З ПДВ)'!CD14/1.2/1.17</f>
        <v>0.219</v>
      </c>
      <c r="CE14" s="197">
        <f>'17% Управителю (З ПДВ)'!CE14/1.2/1.17</f>
        <v>0</v>
      </c>
      <c r="CF14" s="197">
        <f>'17% Управителю (З ПДВ)'!CF14/1.2/1.17</f>
        <v>0.16700000000000001</v>
      </c>
      <c r="CG14" s="197">
        <f>'17% Управителю (З ПДВ)'!CG14/1.2/1.17</f>
        <v>0.34200000000000003</v>
      </c>
      <c r="CH14" s="197">
        <f>'17% Управителю (З ПДВ)'!CH14/1.2/1.17</f>
        <v>0.34200000000000003</v>
      </c>
      <c r="CI14" s="197">
        <f>'17% Управителю (З ПДВ)'!CI14/1.2/1.17</f>
        <v>0.20399999999999999</v>
      </c>
      <c r="CJ14" s="197">
        <f>'17% Управителю (З ПДВ)'!CJ14/1.2/1.17</f>
        <v>0.20499999999999999</v>
      </c>
      <c r="CK14" s="197">
        <f>'17% Управителю (З ПДВ)'!CK14/1.2/1.17</f>
        <v>0.17899999999999999</v>
      </c>
      <c r="CL14" s="197">
        <f>'17% Управителю (З ПДВ)'!CL14/1.2/1.17</f>
        <v>0.15</v>
      </c>
      <c r="CM14" s="197">
        <f>'17% Управителю (З ПДВ)'!CM14/1.2/1.17</f>
        <v>0.20699999999999999</v>
      </c>
      <c r="CN14" s="197">
        <f>'17% Управителю (З ПДВ)'!CN14/1.2/1.17</f>
        <v>0</v>
      </c>
      <c r="CO14" s="197">
        <f>'17% Управителю (З ПДВ)'!CO14/1.2/1.17</f>
        <v>0</v>
      </c>
      <c r="CP14" s="197">
        <f>'17% Управителю (З ПДВ)'!CP14/1.2/1.17</f>
        <v>0</v>
      </c>
      <c r="CQ14" s="197">
        <f>'17% Управителю (З ПДВ)'!CQ14/1.2/1.17</f>
        <v>0</v>
      </c>
      <c r="CR14" s="197">
        <f>'17% Управителю (З ПДВ)'!CR14/1.2/1.17</f>
        <v>0</v>
      </c>
      <c r="CS14" s="197">
        <f>'17% Управителю (З ПДВ)'!CS14/1.2/1.17</f>
        <v>0</v>
      </c>
      <c r="CT14" s="198">
        <f>'17% Управителю (З ПДВ)'!CT14/1.2/1.17</f>
        <v>0</v>
      </c>
      <c r="CU14" s="199"/>
    </row>
    <row r="15" spans="1:100" s="136" customFormat="1" ht="40.5">
      <c r="A15" s="194" t="s">
        <v>11</v>
      </c>
      <c r="B15" s="200" t="s">
        <v>149</v>
      </c>
      <c r="C15" s="196"/>
      <c r="D15" s="197">
        <f>'17% Управителю (З ПДВ)'!D15/1.2/1.17</f>
        <v>0.72699999999999998</v>
      </c>
      <c r="E15" s="197">
        <f>'17% Управителю (З ПДВ)'!E15/1.2/1.17</f>
        <v>0.34300000000000003</v>
      </c>
      <c r="F15" s="197">
        <f>'17% Управителю (З ПДВ)'!F15/1.2/1.17</f>
        <v>0.29899999999999999</v>
      </c>
      <c r="G15" s="197">
        <f>'17% Управителю (З ПДВ)'!G15/1.2/1.17</f>
        <v>0.35</v>
      </c>
      <c r="H15" s="197">
        <f>'17% Управителю (З ПДВ)'!H15/1.2/1.17</f>
        <v>0.56200000000000006</v>
      </c>
      <c r="I15" s="197">
        <f>'17% Управителю (З ПДВ)'!I15/1.2/1.17</f>
        <v>0.41499999999999998</v>
      </c>
      <c r="J15" s="197">
        <f>'17% Управителю (З ПДВ)'!J15/1.2/1.17</f>
        <v>0.80100000000000005</v>
      </c>
      <c r="K15" s="197">
        <f>'17% Управителю (З ПДВ)'!K15/1.2/1.17</f>
        <v>0.35699999999999998</v>
      </c>
      <c r="L15" s="197">
        <f>'17% Управителю (З ПДВ)'!L15/1.2/1.17</f>
        <v>0.35899999999999999</v>
      </c>
      <c r="M15" s="197">
        <f>'17% Управителю (З ПДВ)'!M15/1.2/1.17</f>
        <v>0.33</v>
      </c>
      <c r="N15" s="197">
        <f>'17% Управителю (З ПДВ)'!N15/1.2/1.17</f>
        <v>0.379</v>
      </c>
      <c r="O15" s="197">
        <f>'17% Управителю (З ПДВ)'!O15/1.2/1.17</f>
        <v>0.78700000000000003</v>
      </c>
      <c r="P15" s="197">
        <f>'17% Управителю (З ПДВ)'!P15/1.2/1.17</f>
        <v>0.40600000000000003</v>
      </c>
      <c r="Q15" s="197">
        <f>'17% Управителю (З ПДВ)'!Q15/1.2/1.17</f>
        <v>0.81799999999999995</v>
      </c>
      <c r="R15" s="197">
        <f>'17% Управителю (З ПДВ)'!R15/1.2/1.17</f>
        <v>0.36499999999999999</v>
      </c>
      <c r="S15" s="197">
        <f>'17% Управителю (З ПДВ)'!S15/1.2/1.17</f>
        <v>0.47199999999999998</v>
      </c>
      <c r="T15" s="197">
        <f>'17% Управителю (З ПДВ)'!T15/1.2/1.17</f>
        <v>0.44500000000000001</v>
      </c>
      <c r="U15" s="197">
        <f>'17% Управителю (З ПДВ)'!U15/1.2/1.17</f>
        <v>0.48899999999999999</v>
      </c>
      <c r="V15" s="197">
        <f>'17% Управителю (З ПДВ)'!V15/1.2/1.17</f>
        <v>0.309</v>
      </c>
      <c r="W15" s="197">
        <f>'17% Управителю (З ПДВ)'!W15/1.2/1.17</f>
        <v>0.33300000000000002</v>
      </c>
      <c r="X15" s="197">
        <f>'17% Управителю (З ПДВ)'!X15/1.2/1.17</f>
        <v>0.34300000000000003</v>
      </c>
      <c r="Y15" s="197">
        <f>'17% Управителю (З ПДВ)'!Y15/1.2/1.17</f>
        <v>0.33</v>
      </c>
      <c r="Z15" s="197">
        <f>'17% Управителю (З ПДВ)'!Z15/1.2/1.17</f>
        <v>0.35199999999999998</v>
      </c>
      <c r="AA15" s="197">
        <f>'17% Управителю (З ПДВ)'!AA15/1.2/1.17</f>
        <v>0.375</v>
      </c>
      <c r="AB15" s="197">
        <f>'17% Управителю (З ПДВ)'!AB15/1.2/1.17</f>
        <v>0.36199999999999999</v>
      </c>
      <c r="AC15" s="197">
        <f>'17% Управителю (З ПДВ)'!AC15/1.2/1.17</f>
        <v>0.373</v>
      </c>
      <c r="AD15" s="197">
        <f>'17% Управителю (З ПДВ)'!AD15/1.2/1.17</f>
        <v>0.33300000000000002</v>
      </c>
      <c r="AE15" s="197">
        <f>'17% Управителю (З ПДВ)'!AE15/1.2/1.17</f>
        <v>0.44600000000000001</v>
      </c>
      <c r="AF15" s="197">
        <f>'17% Управителю (З ПДВ)'!AF15/1.2/1.17</f>
        <v>0.317</v>
      </c>
      <c r="AG15" s="197">
        <f>'17% Управителю (З ПДВ)'!AG15/1.2/1.17</f>
        <v>0.39</v>
      </c>
      <c r="AH15" s="197">
        <f>'17% Управителю (З ПДВ)'!AH15/1.2/1.17</f>
        <v>0.75900000000000001</v>
      </c>
      <c r="AI15" s="197">
        <f>'17% Управителю (З ПДВ)'!AI15/1.2/1.17</f>
        <v>0.66800000000000004</v>
      </c>
      <c r="AJ15" s="197">
        <f>'17% Управителю (З ПДВ)'!AJ15/1.2/1.17</f>
        <v>0.71499999999999997</v>
      </c>
      <c r="AK15" s="197">
        <f>'17% Управителю (З ПДВ)'!AK15/1.2/1.17</f>
        <v>0.68700000000000006</v>
      </c>
      <c r="AL15" s="197">
        <f>'17% Управителю (З ПДВ)'!AL15/1.2/1.17</f>
        <v>0.84499999999999997</v>
      </c>
      <c r="AM15" s="197">
        <f>'17% Управителю (З ПДВ)'!AM15/1.2/1.17</f>
        <v>0.499</v>
      </c>
      <c r="AN15" s="197">
        <f>'17% Управителю (З ПДВ)'!AN15/1.2/1.17</f>
        <v>0.65500000000000003</v>
      </c>
      <c r="AO15" s="197">
        <f>'17% Управителю (З ПДВ)'!AO15/1.2/1.17</f>
        <v>0.58199999999999996</v>
      </c>
      <c r="AP15" s="197">
        <f>'17% Управителю (З ПДВ)'!AP15/1.2/1.17</f>
        <v>0.34699999999999998</v>
      </c>
      <c r="AQ15" s="197">
        <f>'17% Управителю (З ПДВ)'!AQ15/1.2/1.17</f>
        <v>0.23699999999999999</v>
      </c>
      <c r="AR15" s="197">
        <f>'17% Управителю (З ПДВ)'!AR15/1.2/1.17</f>
        <v>0.49399999999999999</v>
      </c>
      <c r="AS15" s="197">
        <f>'17% Управителю (З ПДВ)'!AS15/1.2/1.17</f>
        <v>0.436</v>
      </c>
      <c r="AT15" s="197">
        <f>'17% Управителю (З ПДВ)'!AT15/1.2/1.17</f>
        <v>0.24299999999999999</v>
      </c>
      <c r="AU15" s="197">
        <f>'17% Управителю (З ПДВ)'!AU15/1.2/1.17</f>
        <v>0.24299999999999999</v>
      </c>
      <c r="AV15" s="197">
        <f>'17% Управителю (З ПДВ)'!AV15/1.2/1.17</f>
        <v>0.24299999999999999</v>
      </c>
      <c r="AW15" s="197">
        <f>'17% Управителю (З ПДВ)'!AW15/1.2/1.17</f>
        <v>0.49199999999999999</v>
      </c>
      <c r="AX15" s="197">
        <f>'17% Управителю (З ПДВ)'!AX15/1.2/1.17</f>
        <v>0.35899999999999999</v>
      </c>
      <c r="AY15" s="197">
        <f>'17% Управителю (З ПДВ)'!AY15/1.2/1.17</f>
        <v>0.92400000000000004</v>
      </c>
      <c r="AZ15" s="197">
        <f>'17% Управителю (З ПДВ)'!AZ15/1.2/1.17</f>
        <v>0.39600000000000002</v>
      </c>
      <c r="BA15" s="197">
        <f>'17% Управителю (З ПДВ)'!BA15/1.2/1.17</f>
        <v>0.442</v>
      </c>
      <c r="BB15" s="197">
        <f>'17% Управителю (З ПДВ)'!BB15/1.2/1.17</f>
        <v>0.28799999999999998</v>
      </c>
      <c r="BC15" s="197">
        <f>'17% Управителю (З ПДВ)'!BC15/1.2/1.17</f>
        <v>0.41799999999999998</v>
      </c>
      <c r="BD15" s="197">
        <f>'17% Управителю (З ПДВ)'!BD15/1.2/1.17</f>
        <v>0.34699999999999998</v>
      </c>
      <c r="BE15" s="197">
        <f>'17% Управителю (З ПДВ)'!BE15/1.2/1.17</f>
        <v>0.43099999999999999</v>
      </c>
      <c r="BF15" s="197">
        <f>'17% Управителю (З ПДВ)'!BF15/1.2/1.17</f>
        <v>0.34</v>
      </c>
      <c r="BG15" s="197">
        <f>'17% Управителю (З ПДВ)'!BG15/1.2/1.17</f>
        <v>0.38700000000000001</v>
      </c>
      <c r="BH15" s="197">
        <f>'17% Управителю (З ПДВ)'!BH15/1.2/1.17</f>
        <v>0.55600000000000005</v>
      </c>
      <c r="BI15" s="197">
        <f>'17% Управителю (З ПДВ)'!BI15/1.2/1.17</f>
        <v>0.38400000000000001</v>
      </c>
      <c r="BJ15" s="197">
        <f>'17% Управителю (З ПДВ)'!BJ15/1.2/1.17</f>
        <v>0.39500000000000002</v>
      </c>
      <c r="BK15" s="197">
        <f>'17% Управителю (З ПДВ)'!BK15/1.2/1.17</f>
        <v>0.45300000000000001</v>
      </c>
      <c r="BL15" s="197">
        <f>'17% Управителю (З ПДВ)'!BL15/1.2/1.17</f>
        <v>0.49099999999999999</v>
      </c>
      <c r="BM15" s="197">
        <f>'17% Управителю (З ПДВ)'!BM15/1.2/1.17</f>
        <v>0.32500000000000001</v>
      </c>
      <c r="BN15" s="197">
        <f>'17% Управителю (З ПДВ)'!BN15/1.2/1.17</f>
        <v>0.35299999999999998</v>
      </c>
      <c r="BO15" s="197">
        <f>'17% Управителю (З ПДВ)'!BO15/1.2/1.17</f>
        <v>0.52400000000000002</v>
      </c>
      <c r="BP15" s="197">
        <f>'17% Управителю (З ПДВ)'!BP15/1.2/1.17</f>
        <v>0.32100000000000001</v>
      </c>
      <c r="BQ15" s="197">
        <f>'17% Управителю (З ПДВ)'!BQ15/1.2/1.17</f>
        <v>0.4</v>
      </c>
      <c r="BR15" s="197">
        <f>'17% Управителю (З ПДВ)'!BR15/1.2/1.17</f>
        <v>0.74</v>
      </c>
      <c r="BS15" s="197">
        <f>'17% Управителю (З ПДВ)'!BS15/1.2/1.17</f>
        <v>0.40300000000000002</v>
      </c>
      <c r="BT15" s="197">
        <f>'17% Управителю (З ПДВ)'!BT15/1.2/1.17</f>
        <v>0.38700000000000001</v>
      </c>
      <c r="BU15" s="197">
        <f>'17% Управителю (З ПДВ)'!BU15/1.2/1.17</f>
        <v>0.33700000000000002</v>
      </c>
      <c r="BV15" s="197">
        <f>'17% Управителю (З ПДВ)'!BV15/1.2/1.17</f>
        <v>0.34799999999999998</v>
      </c>
      <c r="BW15" s="197">
        <f>'17% Управителю (З ПДВ)'!BW15/1.2/1.17</f>
        <v>0.90500000000000003</v>
      </c>
      <c r="BX15" s="197">
        <f>'17% Управителю (З ПДВ)'!BX15/1.2/1.17</f>
        <v>0.34499999999999997</v>
      </c>
      <c r="BY15" s="197">
        <f>'17% Управителю (З ПДВ)'!BY15/1.2/1.17</f>
        <v>0.38700000000000001</v>
      </c>
      <c r="BZ15" s="197">
        <f>'17% Управителю (З ПДВ)'!BZ15/1.2/1.17</f>
        <v>0.4</v>
      </c>
      <c r="CA15" s="197">
        <f>'17% Управителю (З ПДВ)'!CA15/1.2/1.17</f>
        <v>0.377</v>
      </c>
      <c r="CB15" s="197">
        <f>'17% Управителю (З ПДВ)'!CB15/1.2/1.17</f>
        <v>0.309</v>
      </c>
      <c r="CC15" s="197">
        <f>'17% Управителю (З ПДВ)'!CC15/1.2/1.17</f>
        <v>0.628</v>
      </c>
      <c r="CD15" s="197">
        <f>'17% Управителю (З ПДВ)'!CD15/1.2/1.17</f>
        <v>0.57299999999999995</v>
      </c>
      <c r="CE15" s="197">
        <f>'17% Управителю (З ПДВ)'!CE15/1.2/1.17</f>
        <v>0.55200000000000005</v>
      </c>
      <c r="CF15" s="197">
        <f>'17% Управителю (З ПДВ)'!CF15/1.2/1.17</f>
        <v>0.41599999999999998</v>
      </c>
      <c r="CG15" s="197">
        <f>'17% Управителю (З ПДВ)'!CG15/1.2/1.17</f>
        <v>0.54400000000000004</v>
      </c>
      <c r="CH15" s="197">
        <f>'17% Управителю (З ПДВ)'!CH15/1.2/1.17</f>
        <v>0.54200000000000004</v>
      </c>
      <c r="CI15" s="197">
        <f>'17% Управителю (З ПДВ)'!CI15/1.2/1.17</f>
        <v>0.55300000000000005</v>
      </c>
      <c r="CJ15" s="197">
        <f>'17% Управителю (З ПДВ)'!CJ15/1.2/1.17</f>
        <v>0.435</v>
      </c>
      <c r="CK15" s="197">
        <f>'17% Управителю (З ПДВ)'!CK15/1.2/1.17</f>
        <v>0.34699999999999998</v>
      </c>
      <c r="CL15" s="197">
        <f>'17% Управителю (З ПДВ)'!CL15/1.2/1.17</f>
        <v>0.42399999999999999</v>
      </c>
      <c r="CM15" s="197">
        <f>'17% Управителю (З ПДВ)'!CM15/1.2/1.17</f>
        <v>0.377</v>
      </c>
      <c r="CN15" s="197">
        <f>'17% Управителю (З ПДВ)'!CN15/1.2/1.17</f>
        <v>0.42</v>
      </c>
      <c r="CO15" s="197">
        <f>'17% Управителю (З ПДВ)'!CO15/1.2/1.17</f>
        <v>0.32700000000000001</v>
      </c>
      <c r="CP15" s="197">
        <f>'17% Управителю (З ПДВ)'!CP15/1.2/1.17</f>
        <v>0.53400000000000003</v>
      </c>
      <c r="CQ15" s="197">
        <f>'17% Управителю (З ПДВ)'!CQ15/1.2/1.17</f>
        <v>0.54800000000000004</v>
      </c>
      <c r="CR15" s="197">
        <f>'17% Управителю (З ПДВ)'!CR15/1.2/1.17</f>
        <v>0.65600000000000003</v>
      </c>
      <c r="CS15" s="197">
        <f>'17% Управителю (З ПДВ)'!CS15/1.2/1.17</f>
        <v>0.38100000000000001</v>
      </c>
      <c r="CT15" s="198">
        <f>'17% Управителю (З ПДВ)'!CT15/1.2/1.17</f>
        <v>0.57299999999999995</v>
      </c>
      <c r="CU15" s="199"/>
      <c r="CV15" s="199"/>
    </row>
    <row r="16" spans="1:100" s="136" customFormat="1" ht="21">
      <c r="A16" s="194" t="s">
        <v>13</v>
      </c>
      <c r="B16" s="195" t="s">
        <v>14</v>
      </c>
      <c r="C16" s="196"/>
      <c r="D16" s="197">
        <f>'17% Управителю (З ПДВ)'!D16/1.2/1.17</f>
        <v>1.0999999999999999E-2</v>
      </c>
      <c r="E16" s="197">
        <f>'17% Управителю (З ПДВ)'!E16/1.2/1.17</f>
        <v>8.9999999999999993E-3</v>
      </c>
      <c r="F16" s="197">
        <f>'17% Управителю (З ПДВ)'!F16/1.2/1.17</f>
        <v>7.0000000000000001E-3</v>
      </c>
      <c r="G16" s="197">
        <f>'17% Управителю (З ПДВ)'!G16/1.2/1.17</f>
        <v>1.6E-2</v>
      </c>
      <c r="H16" s="197">
        <f>'17% Управителю (З ПДВ)'!H16/1.2/1.17</f>
        <v>1.0999999999999999E-2</v>
      </c>
      <c r="I16" s="197">
        <f>'17% Управителю (З ПДВ)'!I16/1.2/1.17</f>
        <v>1.6E-2</v>
      </c>
      <c r="J16" s="197">
        <f>'17% Управителю (З ПДВ)'!J16/1.2/1.17</f>
        <v>1.7999999999999999E-2</v>
      </c>
      <c r="K16" s="197">
        <f>'17% Управителю (З ПДВ)'!K16/1.2/1.17</f>
        <v>1.6E-2</v>
      </c>
      <c r="L16" s="197">
        <f>'17% Управителю (З ПДВ)'!L16/1.2/1.17</f>
        <v>0.02</v>
      </c>
      <c r="M16" s="197">
        <f>'17% Управителю (З ПДВ)'!M16/1.2/1.17</f>
        <v>1.9E-2</v>
      </c>
      <c r="N16" s="197">
        <f>'17% Управителю (З ПДВ)'!N16/1.2/1.17</f>
        <v>1.4E-2</v>
      </c>
      <c r="O16" s="197">
        <f>'17% Управителю (З ПДВ)'!O16/1.2/1.17</f>
        <v>1.2E-2</v>
      </c>
      <c r="P16" s="197">
        <f>'17% Управителю (З ПДВ)'!P16/1.2/1.17</f>
        <v>1.6E-2</v>
      </c>
      <c r="Q16" s="197">
        <f>'17% Управителю (З ПДВ)'!Q16/1.2/1.17</f>
        <v>1.9E-2</v>
      </c>
      <c r="R16" s="197">
        <f>'17% Управителю (З ПДВ)'!R16/1.2/1.17</f>
        <v>1.6E-2</v>
      </c>
      <c r="S16" s="197">
        <f>'17% Управителю (З ПДВ)'!S16/1.2/1.17</f>
        <v>2.5999999999999999E-2</v>
      </c>
      <c r="T16" s="197">
        <f>'17% Управителю (З ПДВ)'!T16/1.2/1.17</f>
        <v>1.7999999999999999E-2</v>
      </c>
      <c r="U16" s="197">
        <f>'17% Управителю (З ПДВ)'!U16/1.2/1.17</f>
        <v>1.0999999999999999E-2</v>
      </c>
      <c r="V16" s="197">
        <f>'17% Управителю (З ПДВ)'!V16/1.2/1.17</f>
        <v>1.4E-2</v>
      </c>
      <c r="W16" s="197">
        <f>'17% Управителю (З ПДВ)'!W16/1.2/1.17</f>
        <v>1.2E-2</v>
      </c>
      <c r="X16" s="197">
        <f>'17% Управителю (З ПДВ)'!X16/1.2/1.17</f>
        <v>1.4E-2</v>
      </c>
      <c r="Y16" s="197">
        <f>'17% Управителю (З ПДВ)'!Y16/1.2/1.17</f>
        <v>1.2E-2</v>
      </c>
      <c r="Z16" s="197">
        <f>'17% Управителю (З ПДВ)'!Z16/1.2/1.17</f>
        <v>1.4E-2</v>
      </c>
      <c r="AA16" s="197">
        <f>'17% Управителю (З ПДВ)'!AA16/1.2/1.17</f>
        <v>1.6E-2</v>
      </c>
      <c r="AB16" s="197">
        <f>'17% Управителю (З ПДВ)'!AB16/1.2/1.17</f>
        <v>1.4E-2</v>
      </c>
      <c r="AC16" s="197">
        <f>'17% Управителю (З ПДВ)'!AC16/1.2/1.17</f>
        <v>1.2E-2</v>
      </c>
      <c r="AD16" s="197">
        <f>'17% Управителю (З ПДВ)'!AD16/1.2/1.17</f>
        <v>0</v>
      </c>
      <c r="AE16" s="197">
        <f>'17% Управителю (З ПДВ)'!AE16/1.2/1.17</f>
        <v>0</v>
      </c>
      <c r="AF16" s="197">
        <f>'17% Управителю (З ПДВ)'!AF16/1.2/1.17</f>
        <v>0</v>
      </c>
      <c r="AG16" s="197">
        <f>'17% Управителю (З ПДВ)'!AG16/1.2/1.17</f>
        <v>0</v>
      </c>
      <c r="AH16" s="197">
        <f>'17% Управителю (З ПДВ)'!AH16/1.2/1.17</f>
        <v>0</v>
      </c>
      <c r="AI16" s="197">
        <f>'17% Управителю (З ПДВ)'!AI16/1.2/1.17</f>
        <v>1E-3</v>
      </c>
      <c r="AJ16" s="197">
        <f>'17% Управителю (З ПДВ)'!AJ16/1.2/1.17</f>
        <v>1E-3</v>
      </c>
      <c r="AK16" s="197">
        <f>'17% Управителю (З ПДВ)'!AK16/1.2/1.17</f>
        <v>1.2E-2</v>
      </c>
      <c r="AL16" s="197">
        <f>'17% Управителю (З ПДВ)'!AL16/1.2/1.17</f>
        <v>7.0000000000000001E-3</v>
      </c>
      <c r="AM16" s="197">
        <f>'17% Управителю (З ПДВ)'!AM16/1.2/1.17</f>
        <v>0</v>
      </c>
      <c r="AN16" s="197">
        <f>'17% Управителю (З ПДВ)'!AN16/1.2/1.17</f>
        <v>4.0000000000000001E-3</v>
      </c>
      <c r="AO16" s="197">
        <f>'17% Управителю (З ПДВ)'!AO16/1.2/1.17</f>
        <v>2.1000000000000001E-2</v>
      </c>
      <c r="AP16" s="197">
        <f>'17% Управителю (З ПДВ)'!AP16/1.2/1.17</f>
        <v>0</v>
      </c>
      <c r="AQ16" s="197">
        <f>'17% Управителю (З ПДВ)'!AQ16/1.2/1.17</f>
        <v>0</v>
      </c>
      <c r="AR16" s="197">
        <f>'17% Управителю (З ПДВ)'!AR16/1.2/1.17</f>
        <v>0</v>
      </c>
      <c r="AS16" s="197">
        <f>'17% Управителю (З ПДВ)'!AS16/1.2/1.17</f>
        <v>8.9999999999999993E-3</v>
      </c>
      <c r="AT16" s="197">
        <f>'17% Управителю (З ПДВ)'!AT16/1.2/1.17</f>
        <v>6.0000000000000001E-3</v>
      </c>
      <c r="AU16" s="197">
        <f>'17% Управителю (З ПДВ)'!AU16/1.2/1.17</f>
        <v>6.0000000000000001E-3</v>
      </c>
      <c r="AV16" s="197">
        <f>'17% Управителю (З ПДВ)'!AV16/1.2/1.17</f>
        <v>5.0000000000000001E-3</v>
      </c>
      <c r="AW16" s="197">
        <f>'17% Управителю (З ПДВ)'!AW16/1.2/1.17</f>
        <v>1.0999999999999999E-2</v>
      </c>
      <c r="AX16" s="197">
        <f>'17% Управителю (З ПДВ)'!AX16/1.2/1.17</f>
        <v>1.6E-2</v>
      </c>
      <c r="AY16" s="197">
        <f>'17% Управителю (З ПДВ)'!AY16/1.2/1.17</f>
        <v>0</v>
      </c>
      <c r="AZ16" s="197">
        <f>'17% Управителю (З ПДВ)'!AZ16/1.2/1.17</f>
        <v>7.0000000000000001E-3</v>
      </c>
      <c r="BA16" s="197">
        <f>'17% Управителю (З ПДВ)'!BA16/1.2/1.17</f>
        <v>0</v>
      </c>
      <c r="BB16" s="197">
        <f>'17% Управителю (З ПДВ)'!BB16/1.2/1.17</f>
        <v>8.9999999999999993E-3</v>
      </c>
      <c r="BC16" s="197">
        <f>'17% Управителю (З ПДВ)'!BC16/1.2/1.17</f>
        <v>7.0000000000000001E-3</v>
      </c>
      <c r="BD16" s="197">
        <f>'17% Управителю (З ПДВ)'!BD16/1.2/1.17</f>
        <v>0</v>
      </c>
      <c r="BE16" s="197">
        <f>'17% Управителю (З ПДВ)'!BE16/1.2/1.17</f>
        <v>0</v>
      </c>
      <c r="BF16" s="197">
        <f>'17% Управителю (З ПДВ)'!BF16/1.2/1.17</f>
        <v>2E-3</v>
      </c>
      <c r="BG16" s="197">
        <f>'17% Управителю (З ПДВ)'!BG16/1.2/1.17</f>
        <v>0</v>
      </c>
      <c r="BH16" s="197">
        <f>'17% Управителю (З ПДВ)'!BH16/1.2/1.17</f>
        <v>1.2E-2</v>
      </c>
      <c r="BI16" s="197">
        <f>'17% Управителю (З ПДВ)'!BI16/1.2/1.17</f>
        <v>0</v>
      </c>
      <c r="BJ16" s="197">
        <f>'17% Управителю (З ПДВ)'!BJ16/1.2/1.17</f>
        <v>1.4E-2</v>
      </c>
      <c r="BK16" s="197">
        <f>'17% Управителю (З ПДВ)'!BK16/1.2/1.17</f>
        <v>8.9999999999999993E-3</v>
      </c>
      <c r="BL16" s="197">
        <f>'17% Управителю (З ПДВ)'!BL16/1.2/1.17</f>
        <v>1.6E-2</v>
      </c>
      <c r="BM16" s="197">
        <f>'17% Управителю (З ПДВ)'!BM16/1.2/1.17</f>
        <v>1.6E-2</v>
      </c>
      <c r="BN16" s="197">
        <f>'17% Управителю (З ПДВ)'!BN16/1.2/1.17</f>
        <v>8.9999999999999993E-3</v>
      </c>
      <c r="BO16" s="197">
        <f>'17% Управителю (З ПДВ)'!BO16/1.2/1.17</f>
        <v>0</v>
      </c>
      <c r="BP16" s="197">
        <f>'17% Управителю (З ПДВ)'!BP16/1.2/1.17</f>
        <v>0</v>
      </c>
      <c r="BQ16" s="197">
        <f>'17% Управителю (З ПДВ)'!BQ16/1.2/1.17</f>
        <v>0</v>
      </c>
      <c r="BR16" s="197">
        <f>'17% Управителю (З ПДВ)'!BR16/1.2/1.17</f>
        <v>0</v>
      </c>
      <c r="BS16" s="197">
        <f>'17% Управителю (З ПДВ)'!BS16/1.2/1.17</f>
        <v>4.0000000000000001E-3</v>
      </c>
      <c r="BT16" s="197">
        <f>'17% Управителю (З ПДВ)'!BT16/1.2/1.17</f>
        <v>1.6E-2</v>
      </c>
      <c r="BU16" s="197">
        <f>'17% Управителю (З ПДВ)'!BU16/1.2/1.17</f>
        <v>5.0000000000000001E-3</v>
      </c>
      <c r="BV16" s="197">
        <f>'17% Управителю (З ПДВ)'!BV16/1.2/1.17</f>
        <v>8.9999999999999993E-3</v>
      </c>
      <c r="BW16" s="197">
        <f>'17% Управителю (З ПДВ)'!BW16/1.2/1.17</f>
        <v>0</v>
      </c>
      <c r="BX16" s="197">
        <f>'17% Управителю (З ПДВ)'!BX16/1.2/1.17</f>
        <v>1.6E-2</v>
      </c>
      <c r="BY16" s="197">
        <f>'17% Управителю (З ПДВ)'!BY16/1.2/1.17</f>
        <v>1.6E-2</v>
      </c>
      <c r="BZ16" s="197">
        <f>'17% Управителю (З ПДВ)'!BZ16/1.2/1.17</f>
        <v>1.0999999999999999E-2</v>
      </c>
      <c r="CA16" s="197">
        <f>'17% Управителю (З ПДВ)'!CA16/1.2/1.17</f>
        <v>1.2E-2</v>
      </c>
      <c r="CB16" s="197">
        <f>'17% Управителю (З ПДВ)'!CB16/1.2/1.17</f>
        <v>1.0999999999999999E-2</v>
      </c>
      <c r="CC16" s="197">
        <f>'17% Управителю (З ПДВ)'!CC16/1.2/1.17</f>
        <v>8.9999999999999993E-3</v>
      </c>
      <c r="CD16" s="197">
        <f>'17% Управителю (З ПДВ)'!CD16/1.2/1.17</f>
        <v>8.9999999999999993E-3</v>
      </c>
      <c r="CE16" s="197">
        <f>'17% Управителю (З ПДВ)'!CE16/1.2/1.17</f>
        <v>0</v>
      </c>
      <c r="CF16" s="197">
        <f>'17% Управителю (З ПДВ)'!CF16/1.2/1.17</f>
        <v>1.6E-2</v>
      </c>
      <c r="CG16" s="197">
        <f>'17% Управителю (З ПДВ)'!CG16/1.2/1.17</f>
        <v>1.0999999999999999E-2</v>
      </c>
      <c r="CH16" s="197">
        <f>'17% Управителю (З ПДВ)'!CH16/1.2/1.17</f>
        <v>1.0999999999999999E-2</v>
      </c>
      <c r="CI16" s="197">
        <f>'17% Управителю (З ПДВ)'!CI16/1.2/1.17</f>
        <v>0</v>
      </c>
      <c r="CJ16" s="197">
        <f>'17% Управителю (З ПДВ)'!CJ16/1.2/1.17</f>
        <v>0</v>
      </c>
      <c r="CK16" s="197">
        <f>'17% Управителю (З ПДВ)'!CK16/1.2/1.17</f>
        <v>0</v>
      </c>
      <c r="CL16" s="197">
        <f>'17% Управителю (З ПДВ)'!CL16/1.2/1.17</f>
        <v>2.4E-2</v>
      </c>
      <c r="CM16" s="197">
        <f>'17% Управителю (З ПДВ)'!CM16/1.2/1.17</f>
        <v>1.4E-2</v>
      </c>
      <c r="CN16" s="197">
        <f>'17% Управителю (З ПДВ)'!CN16/1.2/1.17</f>
        <v>0</v>
      </c>
      <c r="CO16" s="197">
        <f>'17% Управителю (З ПДВ)'!CO16/1.2/1.17</f>
        <v>0</v>
      </c>
      <c r="CP16" s="197">
        <f>'17% Управителю (З ПДВ)'!CP16/1.2/1.17</f>
        <v>0</v>
      </c>
      <c r="CQ16" s="197">
        <f>'17% Управителю (З ПДВ)'!CQ16/1.2/1.17</f>
        <v>0</v>
      </c>
      <c r="CR16" s="197">
        <f>'17% Управителю (З ПДВ)'!CR16/1.2/1.17</f>
        <v>0</v>
      </c>
      <c r="CS16" s="197">
        <f>'17% Управителю (З ПДВ)'!CS16/1.2/1.17</f>
        <v>0</v>
      </c>
      <c r="CT16" s="198">
        <f>'17% Управителю (З ПДВ)'!CT16/1.2/1.17</f>
        <v>0</v>
      </c>
      <c r="CU16" s="199"/>
    </row>
    <row r="17" spans="1:100" s="136" customFormat="1" ht="21">
      <c r="A17" s="194" t="s">
        <v>15</v>
      </c>
      <c r="B17" s="200" t="s">
        <v>16</v>
      </c>
      <c r="C17" s="196"/>
      <c r="D17" s="197">
        <f>'17% Управителю (З ПДВ)'!D17/1.2/1.17</f>
        <v>0</v>
      </c>
      <c r="E17" s="197">
        <f>'17% Управителю (З ПДВ)'!E17/1.2/1.17</f>
        <v>0.58599999999999997</v>
      </c>
      <c r="F17" s="197">
        <f>'17% Управителю (З ПДВ)'!F17/1.2/1.17</f>
        <v>0</v>
      </c>
      <c r="G17" s="197">
        <f>'17% Управителю (З ПДВ)'!G17/1.2/1.17</f>
        <v>0</v>
      </c>
      <c r="H17" s="197">
        <f>'17% Управителю (З ПДВ)'!H17/1.2/1.17</f>
        <v>0</v>
      </c>
      <c r="I17" s="197">
        <f>'17% Управителю (З ПДВ)'!I17/1.2/1.17</f>
        <v>0</v>
      </c>
      <c r="J17" s="197">
        <f>'17% Управителю (З ПДВ)'!J17/1.2/1.17</f>
        <v>0</v>
      </c>
      <c r="K17" s="197">
        <f>'17% Управителю (З ПДВ)'!K17/1.2/1.17</f>
        <v>0</v>
      </c>
      <c r="L17" s="197">
        <f>'17% Управителю (З ПДВ)'!L17/1.2/1.17</f>
        <v>0</v>
      </c>
      <c r="M17" s="197">
        <f>'17% Управителю (З ПДВ)'!M17/1.2/1.17</f>
        <v>0</v>
      </c>
      <c r="N17" s="197">
        <f>'17% Управителю (З ПДВ)'!N17/1.2/1.17</f>
        <v>0</v>
      </c>
      <c r="O17" s="197">
        <f>'17% Управителю (З ПДВ)'!O17/1.2/1.17</f>
        <v>0</v>
      </c>
      <c r="P17" s="197">
        <f>'17% Управителю (З ПДВ)'!P17/1.2/1.17</f>
        <v>0</v>
      </c>
      <c r="Q17" s="197">
        <f>'17% Управителю (З ПДВ)'!Q17/1.2/1.17</f>
        <v>0</v>
      </c>
      <c r="R17" s="197">
        <f>'17% Управителю (З ПДВ)'!R17/1.2/1.17</f>
        <v>0.373</v>
      </c>
      <c r="S17" s="197">
        <f>'17% Управителю (З ПДВ)'!S17/1.2/1.17</f>
        <v>0</v>
      </c>
      <c r="T17" s="197">
        <f>'17% Управителю (З ПДВ)'!T17/1.2/1.17</f>
        <v>0.17499999999999999</v>
      </c>
      <c r="U17" s="197">
        <f>'17% Управителю (З ПДВ)'!U17/1.2/1.17</f>
        <v>0</v>
      </c>
      <c r="V17" s="197">
        <f>'17% Управителю (З ПДВ)'!V17/1.2/1.17</f>
        <v>0.219</v>
      </c>
      <c r="W17" s="197">
        <f>'17% Управителю (З ПДВ)'!W17/1.2/1.17</f>
        <v>0.318</v>
      </c>
      <c r="X17" s="197">
        <f>'17% Управителю (З ПДВ)'!X17/1.2/1.17</f>
        <v>0.36799999999999999</v>
      </c>
      <c r="Y17" s="197">
        <f>'17% Управителю (З ПДВ)'!Y17/1.2/1.17</f>
        <v>0.223</v>
      </c>
      <c r="Z17" s="197">
        <f>'17% Управителю (З ПДВ)'!Z17/1.2/1.17</f>
        <v>0.33300000000000002</v>
      </c>
      <c r="AA17" s="197">
        <f>'17% Управителю (З ПДВ)'!AA17/1.2/1.17</f>
        <v>0.22600000000000001</v>
      </c>
      <c r="AB17" s="197">
        <f>'17% Управителю (З ПДВ)'!AB17/1.2/1.17</f>
        <v>0.39</v>
      </c>
      <c r="AC17" s="197">
        <f>'17% Управителю (З ПДВ)'!AC17/1.2/1.17</f>
        <v>0.311</v>
      </c>
      <c r="AD17" s="197">
        <f>'17% Управителю (З ПДВ)'!AD17/1.2/1.17</f>
        <v>0</v>
      </c>
      <c r="AE17" s="197">
        <f>'17% Управителю (З ПДВ)'!AE17/1.2/1.17</f>
        <v>0</v>
      </c>
      <c r="AF17" s="197">
        <f>'17% Управителю (З ПДВ)'!AF17/1.2/1.17</f>
        <v>0</v>
      </c>
      <c r="AG17" s="197">
        <f>'17% Управителю (З ПДВ)'!AG17/1.2/1.17</f>
        <v>0</v>
      </c>
      <c r="AH17" s="197">
        <f>'17% Управителю (З ПДВ)'!AH17/1.2/1.17</f>
        <v>0</v>
      </c>
      <c r="AI17" s="197">
        <f>'17% Управителю (З ПДВ)'!AI17/1.2/1.17</f>
        <v>0</v>
      </c>
      <c r="AJ17" s="197">
        <f>'17% Управителю (З ПДВ)'!AJ17/1.2/1.17</f>
        <v>0</v>
      </c>
      <c r="AK17" s="197">
        <f>'17% Управителю (З ПДВ)'!AK17/1.2/1.17</f>
        <v>0.53400000000000003</v>
      </c>
      <c r="AL17" s="197">
        <f>'17% Управителю (З ПДВ)'!AL17/1.2/1.17</f>
        <v>0</v>
      </c>
      <c r="AM17" s="197">
        <f>'17% Управителю (З ПДВ)'!AM17/1.2/1.17</f>
        <v>0</v>
      </c>
      <c r="AN17" s="197">
        <f>'17% Управителю (З ПДВ)'!AN17/1.2/1.17</f>
        <v>0</v>
      </c>
      <c r="AO17" s="197">
        <f>'17% Управителю (З ПДВ)'!AO17/1.2/1.17</f>
        <v>0</v>
      </c>
      <c r="AP17" s="197">
        <f>'17% Управителю (З ПДВ)'!AP17/1.2/1.17</f>
        <v>0</v>
      </c>
      <c r="AQ17" s="197">
        <f>'17% Управителю (З ПДВ)'!AQ17/1.2/1.17</f>
        <v>0</v>
      </c>
      <c r="AR17" s="197">
        <f>'17% Управителю (З ПДВ)'!AR17/1.2/1.17</f>
        <v>0</v>
      </c>
      <c r="AS17" s="197">
        <f>'17% Управителю (З ПДВ)'!AS17/1.2/1.17</f>
        <v>0</v>
      </c>
      <c r="AT17" s="197">
        <f>'17% Управителю (З ПДВ)'!AT17/1.2/1.17</f>
        <v>0.191</v>
      </c>
      <c r="AU17" s="197">
        <f>'17% Управителю (З ПДВ)'!AU17/1.2/1.17</f>
        <v>0.255</v>
      </c>
      <c r="AV17" s="197">
        <f>'17% Управителю (З ПДВ)'!AV17/1.2/1.17</f>
        <v>0.222</v>
      </c>
      <c r="AW17" s="197">
        <f>'17% Управителю (З ПДВ)'!AW17/1.2/1.17</f>
        <v>0.57999999999999996</v>
      </c>
      <c r="AX17" s="197">
        <f>'17% Управителю (З ПДВ)'!AX17/1.2/1.17</f>
        <v>0.51400000000000001</v>
      </c>
      <c r="AY17" s="197">
        <f>'17% Управителю (З ПДВ)'!AY17/1.2/1.17</f>
        <v>0</v>
      </c>
      <c r="AZ17" s="197">
        <f>'17% Управителю (З ПДВ)'!AZ17/1.2/1.17</f>
        <v>0</v>
      </c>
      <c r="BA17" s="197">
        <f>'17% Управителю (З ПДВ)'!BA17/1.2/1.17</f>
        <v>0</v>
      </c>
      <c r="BB17" s="197">
        <f>'17% Управителю (З ПДВ)'!BB17/1.2/1.17</f>
        <v>0.29099999999999998</v>
      </c>
      <c r="BC17" s="197">
        <f>'17% Управителю (З ПДВ)'!BC17/1.2/1.17</f>
        <v>0.45400000000000001</v>
      </c>
      <c r="BD17" s="197">
        <f>'17% Управителю (З ПДВ)'!BD17/1.2/1.17</f>
        <v>0</v>
      </c>
      <c r="BE17" s="197">
        <f>'17% Управителю (З ПДВ)'!BE17/1.2/1.17</f>
        <v>0</v>
      </c>
      <c r="BF17" s="197">
        <f>'17% Управителю (З ПДВ)'!BF17/1.2/1.17</f>
        <v>0</v>
      </c>
      <c r="BG17" s="197">
        <f>'17% Управителю (З ПДВ)'!BG17/1.2/1.17</f>
        <v>0</v>
      </c>
      <c r="BH17" s="197">
        <f>'17% Управителю (З ПДВ)'!BH17/1.2/1.17</f>
        <v>0</v>
      </c>
      <c r="BI17" s="197">
        <f>'17% Управителю (З ПДВ)'!BI17/1.2/1.17</f>
        <v>0</v>
      </c>
      <c r="BJ17" s="197">
        <f>'17% Управителю (З ПДВ)'!BJ17/1.2/1.17</f>
        <v>0</v>
      </c>
      <c r="BK17" s="197">
        <f>'17% Управителю (З ПДВ)'!BK17/1.2/1.17</f>
        <v>0</v>
      </c>
      <c r="BL17" s="197">
        <f>'17% Управителю (З ПДВ)'!BL17/1.2/1.17</f>
        <v>0</v>
      </c>
      <c r="BM17" s="197">
        <f>'17% Управителю (З ПДВ)'!BM17/1.2/1.17</f>
        <v>0.25600000000000001</v>
      </c>
      <c r="BN17" s="197">
        <f>'17% Управителю (З ПДВ)'!BN17/1.2/1.17</f>
        <v>0</v>
      </c>
      <c r="BO17" s="197">
        <f>'17% Управителю (З ПДВ)'!BO17/1.2/1.17</f>
        <v>0</v>
      </c>
      <c r="BP17" s="197">
        <f>'17% Управителю (З ПДВ)'!BP17/1.2/1.17</f>
        <v>0</v>
      </c>
      <c r="BQ17" s="197">
        <f>'17% Управителю (З ПДВ)'!BQ17/1.2/1.17</f>
        <v>0</v>
      </c>
      <c r="BR17" s="197">
        <f>'17% Управителю (З ПДВ)'!BR17/1.2/1.17</f>
        <v>0</v>
      </c>
      <c r="BS17" s="197">
        <f>'17% Управителю (З ПДВ)'!BS17/1.2/1.17</f>
        <v>0</v>
      </c>
      <c r="BT17" s="197">
        <f>'17% Управителю (З ПДВ)'!BT17/1.2/1.17</f>
        <v>0</v>
      </c>
      <c r="BU17" s="197">
        <f>'17% Управителю (З ПДВ)'!BU17/1.2/1.17</f>
        <v>0</v>
      </c>
      <c r="BV17" s="197">
        <f>'17% Управителю (З ПДВ)'!BV17/1.2/1.17</f>
        <v>0</v>
      </c>
      <c r="BW17" s="197">
        <f>'17% Управителю (З ПДВ)'!BW17/1.2/1.17</f>
        <v>0</v>
      </c>
      <c r="BX17" s="197">
        <f>'17% Управителю (З ПДВ)'!BX17/1.2/1.17</f>
        <v>0.38300000000000001</v>
      </c>
      <c r="BY17" s="197">
        <f>'17% Управителю (З ПДВ)'!BY17/1.2/1.17</f>
        <v>0.23100000000000001</v>
      </c>
      <c r="BZ17" s="197">
        <f>'17% Управителю (З ПДВ)'!BZ17/1.2/1.17</f>
        <v>0.221</v>
      </c>
      <c r="CA17" s="197">
        <f>'17% Управителю (З ПДВ)'!CA17/1.2/1.17</f>
        <v>0.25900000000000001</v>
      </c>
      <c r="CB17" s="197">
        <f>'17% Управителю (З ПДВ)'!CB17/1.2/1.17</f>
        <v>0.249</v>
      </c>
      <c r="CC17" s="197">
        <f>'17% Управителю (З ПДВ)'!CC17/1.2/1.17</f>
        <v>0.32800000000000001</v>
      </c>
      <c r="CD17" s="197">
        <f>'17% Управителю (З ПДВ)'!CD17/1.2/1.17</f>
        <v>0.32800000000000001</v>
      </c>
      <c r="CE17" s="197">
        <f>'17% Управителю (З ПДВ)'!CE17/1.2/1.17</f>
        <v>0</v>
      </c>
      <c r="CF17" s="197">
        <f>'17% Управителю (З ПДВ)'!CF17/1.2/1.17</f>
        <v>0</v>
      </c>
      <c r="CG17" s="197">
        <f>'17% Управителю (З ПДВ)'!CG17/1.2/1.17</f>
        <v>0.32800000000000001</v>
      </c>
      <c r="CH17" s="197">
        <f>'17% Управителю (З ПДВ)'!CH17/1.2/1.17</f>
        <v>0.32800000000000001</v>
      </c>
      <c r="CI17" s="197">
        <f>'17% Управителю (З ПДВ)'!CI17/1.2/1.17</f>
        <v>0</v>
      </c>
      <c r="CJ17" s="197">
        <f>'17% Управителю (З ПДВ)'!CJ17/1.2/1.17</f>
        <v>0</v>
      </c>
      <c r="CK17" s="197">
        <f>'17% Управителю (З ПДВ)'!CK17/1.2/1.17</f>
        <v>0</v>
      </c>
      <c r="CL17" s="197">
        <f>'17% Управителю (З ПДВ)'!CL17/1.2/1.17</f>
        <v>0</v>
      </c>
      <c r="CM17" s="197">
        <f>'17% Управителю (З ПДВ)'!CM17/1.2/1.17</f>
        <v>0</v>
      </c>
      <c r="CN17" s="197">
        <f>'17% Управителю (З ПДВ)'!CN17/1.2/1.17</f>
        <v>0</v>
      </c>
      <c r="CO17" s="197">
        <f>'17% Управителю (З ПДВ)'!CO17/1.2/1.17</f>
        <v>0</v>
      </c>
      <c r="CP17" s="197">
        <f>'17% Управителю (З ПДВ)'!CP17/1.2/1.17</f>
        <v>0</v>
      </c>
      <c r="CQ17" s="197">
        <f>'17% Управителю (З ПДВ)'!CQ17/1.2/1.17</f>
        <v>0</v>
      </c>
      <c r="CR17" s="197">
        <f>'17% Управителю (З ПДВ)'!CR17/1.2/1.17</f>
        <v>0</v>
      </c>
      <c r="CS17" s="197">
        <f>'17% Управителю (З ПДВ)'!CS17/1.2/1.17</f>
        <v>0</v>
      </c>
      <c r="CT17" s="198">
        <f>'17% Управителю (З ПДВ)'!CT17/1.2/1.17</f>
        <v>0</v>
      </c>
      <c r="CU17" s="199"/>
      <c r="CV17" s="199"/>
    </row>
    <row r="18" spans="1:100" s="136" customFormat="1" ht="21">
      <c r="A18" s="194" t="s">
        <v>17</v>
      </c>
      <c r="B18" s="200" t="s">
        <v>18</v>
      </c>
      <c r="C18" s="196"/>
      <c r="D18" s="197">
        <f>'17% Управителю (З ПДВ)'!D18/1.2/1.17</f>
        <v>0</v>
      </c>
      <c r="E18" s="197">
        <f>'17% Управителю (З ПДВ)'!E18/1.2/1.17</f>
        <v>0</v>
      </c>
      <c r="F18" s="197">
        <f>'17% Управителю (З ПДВ)'!F18/1.2/1.17</f>
        <v>0</v>
      </c>
      <c r="G18" s="197">
        <f>'17% Управителю (З ПДВ)'!G18/1.2/1.17</f>
        <v>0</v>
      </c>
      <c r="H18" s="197">
        <f>'17% Управителю (З ПДВ)'!H18/1.2/1.17</f>
        <v>0</v>
      </c>
      <c r="I18" s="197">
        <f>'17% Управителю (З ПДВ)'!I18/1.2/1.17</f>
        <v>0</v>
      </c>
      <c r="J18" s="197">
        <f>'17% Управителю (З ПДВ)'!J18/1.2/1.17</f>
        <v>0</v>
      </c>
      <c r="K18" s="197">
        <f>'17% Управителю (З ПДВ)'!K18/1.2/1.17</f>
        <v>0</v>
      </c>
      <c r="L18" s="197">
        <f>'17% Управителю (З ПДВ)'!L18/1.2/1.17</f>
        <v>0</v>
      </c>
      <c r="M18" s="197">
        <f>'17% Управителю (З ПДВ)'!M18/1.2/1.17</f>
        <v>0</v>
      </c>
      <c r="N18" s="197">
        <f>'17% Управителю (З ПДВ)'!N18/1.2/1.17</f>
        <v>0</v>
      </c>
      <c r="O18" s="197">
        <f>'17% Управителю (З ПДВ)'!O18/1.2/1.17</f>
        <v>0</v>
      </c>
      <c r="P18" s="197">
        <f>'17% Управителю (З ПДВ)'!P18/1.2/1.17</f>
        <v>0</v>
      </c>
      <c r="Q18" s="197">
        <f>'17% Управителю (З ПДВ)'!Q18/1.2/1.17</f>
        <v>0</v>
      </c>
      <c r="R18" s="197">
        <f>'17% Управителю (З ПДВ)'!R18/1.2/1.17</f>
        <v>0</v>
      </c>
      <c r="S18" s="197">
        <f>'17% Управителю (З ПДВ)'!S18/1.2/1.17</f>
        <v>0</v>
      </c>
      <c r="T18" s="197">
        <f>'17% Управителю (З ПДВ)'!T18/1.2/1.17</f>
        <v>1.4E-2</v>
      </c>
      <c r="U18" s="197">
        <f>'17% Управителю (З ПДВ)'!U18/1.2/1.17</f>
        <v>0</v>
      </c>
      <c r="V18" s="197">
        <f>'17% Управителю (З ПДВ)'!V18/1.2/1.17</f>
        <v>0</v>
      </c>
      <c r="W18" s="197">
        <f>'17% Управителю (З ПДВ)'!W18/1.2/1.17</f>
        <v>0</v>
      </c>
      <c r="X18" s="197">
        <f>'17% Управителю (З ПДВ)'!X18/1.2/1.17</f>
        <v>0</v>
      </c>
      <c r="Y18" s="197">
        <f>'17% Управителю (З ПДВ)'!Y18/1.2/1.17</f>
        <v>0</v>
      </c>
      <c r="Z18" s="197">
        <f>'17% Управителю (З ПДВ)'!Z18/1.2/1.17</f>
        <v>0</v>
      </c>
      <c r="AA18" s="197">
        <f>'17% Управителю (З ПДВ)'!AA18/1.2/1.17</f>
        <v>2.8000000000000001E-2</v>
      </c>
      <c r="AB18" s="197">
        <f>'17% Управителю (З ПДВ)'!AB18/1.2/1.17</f>
        <v>0</v>
      </c>
      <c r="AC18" s="197">
        <f>'17% Управителю (З ПДВ)'!AC18/1.2/1.17</f>
        <v>0</v>
      </c>
      <c r="AD18" s="197">
        <f>'17% Управителю (З ПДВ)'!AD18/1.2/1.17</f>
        <v>0</v>
      </c>
      <c r="AE18" s="197">
        <f>'17% Управителю (З ПДВ)'!AE18/1.2/1.17</f>
        <v>0</v>
      </c>
      <c r="AF18" s="197">
        <f>'17% Управителю (З ПДВ)'!AF18/1.2/1.17</f>
        <v>0</v>
      </c>
      <c r="AG18" s="197">
        <f>'17% Управителю (З ПДВ)'!AG18/1.2/1.17</f>
        <v>0</v>
      </c>
      <c r="AH18" s="197">
        <f>'17% Управителю (З ПДВ)'!AH18/1.2/1.17</f>
        <v>0</v>
      </c>
      <c r="AI18" s="197">
        <f>'17% Управителю (З ПДВ)'!AI18/1.2/1.17</f>
        <v>0</v>
      </c>
      <c r="AJ18" s="197">
        <f>'17% Управителю (З ПДВ)'!AJ18/1.2/1.17</f>
        <v>0</v>
      </c>
      <c r="AK18" s="197">
        <f>'17% Управителю (З ПДВ)'!AK18/1.2/1.17</f>
        <v>0</v>
      </c>
      <c r="AL18" s="197">
        <f>'17% Управителю (З ПДВ)'!AL18/1.2/1.17</f>
        <v>0</v>
      </c>
      <c r="AM18" s="197">
        <f>'17% Управителю (З ПДВ)'!AM18/1.2/1.17</f>
        <v>0</v>
      </c>
      <c r="AN18" s="197">
        <f>'17% Управителю (З ПДВ)'!AN18/1.2/1.17</f>
        <v>0</v>
      </c>
      <c r="AO18" s="197">
        <f>'17% Управителю (З ПДВ)'!AO18/1.2/1.17</f>
        <v>0</v>
      </c>
      <c r="AP18" s="197">
        <f>'17% Управителю (З ПДВ)'!AP18/1.2/1.17</f>
        <v>0</v>
      </c>
      <c r="AQ18" s="197">
        <f>'17% Управителю (З ПДВ)'!AQ18/1.2/1.17</f>
        <v>0</v>
      </c>
      <c r="AR18" s="197">
        <f>'17% Управителю (З ПДВ)'!AR18/1.2/1.17</f>
        <v>0</v>
      </c>
      <c r="AS18" s="197">
        <f>'17% Управителю (З ПДВ)'!AS18/1.2/1.17</f>
        <v>0</v>
      </c>
      <c r="AT18" s="197">
        <f>'17% Управителю (З ПДВ)'!AT18/1.2/1.17</f>
        <v>2.8000000000000001E-2</v>
      </c>
      <c r="AU18" s="197">
        <f>'17% Управителю (З ПДВ)'!AU18/1.2/1.17</f>
        <v>3.2000000000000001E-2</v>
      </c>
      <c r="AV18" s="197">
        <f>'17% Управителю (З ПДВ)'!AV18/1.2/1.17</f>
        <v>2.8000000000000001E-2</v>
      </c>
      <c r="AW18" s="197">
        <f>'17% Управителю (З ПДВ)'!AW18/1.2/1.17</f>
        <v>0</v>
      </c>
      <c r="AX18" s="197">
        <f>'17% Управителю (З ПДВ)'!AX18/1.2/1.17</f>
        <v>0</v>
      </c>
      <c r="AY18" s="197">
        <f>'17% Управителю (З ПДВ)'!AY18/1.2/1.17</f>
        <v>0</v>
      </c>
      <c r="AZ18" s="197">
        <f>'17% Управителю (З ПДВ)'!AZ18/1.2/1.17</f>
        <v>0</v>
      </c>
      <c r="BA18" s="197">
        <f>'17% Управителю (З ПДВ)'!BA18/1.2/1.17</f>
        <v>0</v>
      </c>
      <c r="BB18" s="197">
        <f>'17% Управителю (З ПДВ)'!BB18/1.2/1.17</f>
        <v>0</v>
      </c>
      <c r="BC18" s="197">
        <f>'17% Управителю (З ПДВ)'!BC18/1.2/1.17</f>
        <v>0</v>
      </c>
      <c r="BD18" s="197">
        <f>'17% Управителю (З ПДВ)'!BD18/1.2/1.17</f>
        <v>0</v>
      </c>
      <c r="BE18" s="197">
        <f>'17% Управителю (З ПДВ)'!BE18/1.2/1.17</f>
        <v>0</v>
      </c>
      <c r="BF18" s="197">
        <f>'17% Управителю (З ПДВ)'!BF18/1.2/1.17</f>
        <v>0</v>
      </c>
      <c r="BG18" s="197">
        <f>'17% Управителю (З ПДВ)'!BG18/1.2/1.17</f>
        <v>0</v>
      </c>
      <c r="BH18" s="197">
        <f>'17% Управителю (З ПДВ)'!BH18/1.2/1.17</f>
        <v>0</v>
      </c>
      <c r="BI18" s="197">
        <f>'17% Управителю (З ПДВ)'!BI18/1.2/1.17</f>
        <v>0</v>
      </c>
      <c r="BJ18" s="197">
        <f>'17% Управителю (З ПДВ)'!BJ18/1.2/1.17</f>
        <v>0</v>
      </c>
      <c r="BK18" s="197">
        <f>'17% Управителю (З ПДВ)'!BK18/1.2/1.17</f>
        <v>0</v>
      </c>
      <c r="BL18" s="197">
        <f>'17% Управителю (З ПДВ)'!BL18/1.2/1.17</f>
        <v>0</v>
      </c>
      <c r="BM18" s="197">
        <f>'17% Управителю (З ПДВ)'!BM18/1.2/1.17</f>
        <v>0</v>
      </c>
      <c r="BN18" s="197">
        <f>'17% Управителю (З ПДВ)'!BN18/1.2/1.17</f>
        <v>0</v>
      </c>
      <c r="BO18" s="197">
        <f>'17% Управителю (З ПДВ)'!BO18/1.2/1.17</f>
        <v>0</v>
      </c>
      <c r="BP18" s="197">
        <f>'17% Управителю (З ПДВ)'!BP18/1.2/1.17</f>
        <v>0</v>
      </c>
      <c r="BQ18" s="197">
        <f>'17% Управителю (З ПДВ)'!BQ18/1.2/1.17</f>
        <v>0</v>
      </c>
      <c r="BR18" s="197">
        <f>'17% Управителю (З ПДВ)'!BR18/1.2/1.17</f>
        <v>0</v>
      </c>
      <c r="BS18" s="197">
        <f>'17% Управителю (З ПДВ)'!BS18/1.2/1.17</f>
        <v>0</v>
      </c>
      <c r="BT18" s="197">
        <f>'17% Управителю (З ПДВ)'!BT18/1.2/1.17</f>
        <v>0</v>
      </c>
      <c r="BU18" s="197">
        <f>'17% Управителю (З ПДВ)'!BU18/1.2/1.17</f>
        <v>0</v>
      </c>
      <c r="BV18" s="197">
        <f>'17% Управителю (З ПДВ)'!BV18/1.2/1.17</f>
        <v>0</v>
      </c>
      <c r="BW18" s="197">
        <f>'17% Управителю (З ПДВ)'!BW18/1.2/1.17</f>
        <v>0</v>
      </c>
      <c r="BX18" s="197">
        <f>'17% Управителю (З ПДВ)'!BX18/1.2/1.17</f>
        <v>0</v>
      </c>
      <c r="BY18" s="197">
        <f>'17% Управителю (З ПДВ)'!BY18/1.2/1.17</f>
        <v>2.8000000000000001E-2</v>
      </c>
      <c r="BZ18" s="197">
        <f>'17% Управителю (З ПДВ)'!BZ18/1.2/1.17</f>
        <v>2.5000000000000001E-2</v>
      </c>
      <c r="CA18" s="197">
        <f>'17% Управителю (З ПДВ)'!CA18/1.2/1.17</f>
        <v>2.8000000000000001E-2</v>
      </c>
      <c r="CB18" s="197">
        <f>'17% Управителю (З ПДВ)'!CB18/1.2/1.17</f>
        <v>0.03</v>
      </c>
      <c r="CC18" s="197">
        <f>'17% Управителю (З ПДВ)'!CC18/1.2/1.17</f>
        <v>0.03</v>
      </c>
      <c r="CD18" s="197">
        <f>'17% Управителю (З ПДВ)'!CD18/1.2/1.17</f>
        <v>0.03</v>
      </c>
      <c r="CE18" s="197">
        <f>'17% Управителю (З ПДВ)'!CE18/1.2/1.17</f>
        <v>0</v>
      </c>
      <c r="CF18" s="197">
        <f>'17% Управителю (З ПДВ)'!CF18/1.2/1.17</f>
        <v>0</v>
      </c>
      <c r="CG18" s="197">
        <f>'17% Управителю (З ПДВ)'!CG18/1.2/1.17</f>
        <v>0.03</v>
      </c>
      <c r="CH18" s="197">
        <f>'17% Управителю (З ПДВ)'!CH18/1.2/1.17</f>
        <v>0.03</v>
      </c>
      <c r="CI18" s="197">
        <f>'17% Управителю (З ПДВ)'!CI18/1.2/1.17</f>
        <v>0</v>
      </c>
      <c r="CJ18" s="197">
        <f>'17% Управителю (З ПДВ)'!CJ18/1.2/1.17</f>
        <v>0</v>
      </c>
      <c r="CK18" s="197">
        <f>'17% Управителю (З ПДВ)'!CK18/1.2/1.17</f>
        <v>0</v>
      </c>
      <c r="CL18" s="197">
        <f>'17% Управителю (З ПДВ)'!CL18/1.2/1.17</f>
        <v>0</v>
      </c>
      <c r="CM18" s="197">
        <f>'17% Управителю (З ПДВ)'!CM18/1.2/1.17</f>
        <v>0</v>
      </c>
      <c r="CN18" s="197">
        <f>'17% Управителю (З ПДВ)'!CN18/1.2/1.17</f>
        <v>0</v>
      </c>
      <c r="CO18" s="197">
        <f>'17% Управителю (З ПДВ)'!CO18/1.2/1.17</f>
        <v>0</v>
      </c>
      <c r="CP18" s="197">
        <f>'17% Управителю (З ПДВ)'!CP18/1.2/1.17</f>
        <v>0</v>
      </c>
      <c r="CQ18" s="197">
        <f>'17% Управителю (З ПДВ)'!CQ18/1.2/1.17</f>
        <v>0</v>
      </c>
      <c r="CR18" s="197">
        <f>'17% Управителю (З ПДВ)'!CR18/1.2/1.17</f>
        <v>0</v>
      </c>
      <c r="CS18" s="197">
        <f>'17% Управителю (З ПДВ)'!CS18/1.2/1.17</f>
        <v>0</v>
      </c>
      <c r="CT18" s="198">
        <f>'17% Управителю (З ПДВ)'!CT18/1.2/1.17</f>
        <v>0</v>
      </c>
      <c r="CU18" s="199"/>
      <c r="CV18" s="199"/>
    </row>
    <row r="19" spans="1:100" s="136" customFormat="1" ht="21">
      <c r="A19" s="201" t="s">
        <v>19</v>
      </c>
      <c r="B19" s="200" t="s">
        <v>20</v>
      </c>
      <c r="C19" s="202"/>
      <c r="D19" s="203">
        <f>'17% Управителю (З ПДВ)'!D19/1.2/1.17</f>
        <v>0.44800000000000001</v>
      </c>
      <c r="E19" s="203">
        <f>'17% Управителю (З ПДВ)'!E19/1.2/1.17</f>
        <v>0.39</v>
      </c>
      <c r="F19" s="203">
        <f>'17% Управителю (З ПДВ)'!F19/1.2/1.17</f>
        <v>0.41699999999999998</v>
      </c>
      <c r="G19" s="203">
        <f>'17% Управителю (З ПДВ)'!G19/1.2/1.17</f>
        <v>0.42399999999999999</v>
      </c>
      <c r="H19" s="203">
        <f>'17% Управителю (З ПДВ)'!H19/1.2/1.17</f>
        <v>0.45700000000000002</v>
      </c>
      <c r="I19" s="203">
        <f>'17% Управителю (З ПДВ)'!I19/1.2/1.17</f>
        <v>0.42499999999999999</v>
      </c>
      <c r="J19" s="203">
        <f>'17% Управителю (З ПДВ)'!J19/1.2/1.17</f>
        <v>0.28899999999999998</v>
      </c>
      <c r="K19" s="203">
        <f>'17% Управителю (З ПДВ)'!K19/1.2/1.17</f>
        <v>0.42599999999999999</v>
      </c>
      <c r="L19" s="203">
        <f>'17% Управителю (З ПДВ)'!L19/1.2/1.17</f>
        <v>0.42499999999999999</v>
      </c>
      <c r="M19" s="203">
        <f>'17% Управителю (З ПДВ)'!M19/1.2/1.17</f>
        <v>0.41499999999999998</v>
      </c>
      <c r="N19" s="203">
        <f>'17% Управителю (З ПДВ)'!N19/1.2/1.17</f>
        <v>0.40799999999999997</v>
      </c>
      <c r="O19" s="203">
        <f>'17% Управителю (З ПДВ)'!O19/1.2/1.17</f>
        <v>0.46300000000000002</v>
      </c>
      <c r="P19" s="203">
        <f>'17% Управителю (З ПДВ)'!P19/1.2/1.17</f>
        <v>0.41199999999999998</v>
      </c>
      <c r="Q19" s="203">
        <f>'17% Управителю (З ПДВ)'!Q19/1.2/1.17</f>
        <v>0.27</v>
      </c>
      <c r="R19" s="203">
        <f>'17% Управителю (З ПДВ)'!R19/1.2/1.17</f>
        <v>0.39200000000000002</v>
      </c>
      <c r="S19" s="203">
        <f>'17% Управителю (З ПДВ)'!S19/1.2/1.17</f>
        <v>0.435</v>
      </c>
      <c r="T19" s="203">
        <f>'17% Управителю (З ПДВ)'!T19/1.2/1.17</f>
        <v>0.42</v>
      </c>
      <c r="U19" s="203">
        <f>'17% Управителю (З ПДВ)'!U19/1.2/1.17</f>
        <v>0.498</v>
      </c>
      <c r="V19" s="203">
        <f>'17% Управителю (З ПДВ)'!V19/1.2/1.17</f>
        <v>0.40300000000000002</v>
      </c>
      <c r="W19" s="203">
        <f>'17% Управителю (З ПДВ)'!W19/1.2/1.17</f>
        <v>0.36899999999999999</v>
      </c>
      <c r="X19" s="203">
        <f>'17% Управителю (З ПДВ)'!X19/1.2/1.17</f>
        <v>0.38200000000000001</v>
      </c>
      <c r="Y19" s="203">
        <f>'17% Управителю (З ПДВ)'!Y19/1.2/1.17</f>
        <v>0.39900000000000002</v>
      </c>
      <c r="Z19" s="203">
        <f>'17% Управителю (З ПДВ)'!Z19/1.2/1.17</f>
        <v>0.40699999999999997</v>
      </c>
      <c r="AA19" s="203">
        <f>'17% Управителю (З ПДВ)'!AA19/1.2/1.17</f>
        <v>0.437</v>
      </c>
      <c r="AB19" s="203">
        <f>'17% Управителю (З ПДВ)'!AB19/1.2/1.17</f>
        <v>0.42199999999999999</v>
      </c>
      <c r="AC19" s="203">
        <f>'17% Управителю (З ПДВ)'!AC19/1.2/1.17</f>
        <v>0.42399999999999999</v>
      </c>
      <c r="AD19" s="203">
        <f>'17% Управителю (З ПДВ)'!AD19/1.2/1.17</f>
        <v>0.32800000000000001</v>
      </c>
      <c r="AE19" s="203">
        <f>'17% Управителю (З ПДВ)'!AE19/1.2/1.17</f>
        <v>1E-3</v>
      </c>
      <c r="AF19" s="203">
        <f>'17% Управителю (З ПДВ)'!AF19/1.2/1.17</f>
        <v>2E-3</v>
      </c>
      <c r="AG19" s="203">
        <f>'17% Управителю (З ПДВ)'!AG19/1.2/1.17</f>
        <v>1E-3</v>
      </c>
      <c r="AH19" s="203">
        <f>'17% Управителю (З ПДВ)'!AH19/1.2/1.17</f>
        <v>0.34599999999999997</v>
      </c>
      <c r="AI19" s="203">
        <f>'17% Управителю (З ПДВ)'!AI19/1.2/1.17</f>
        <v>0.34</v>
      </c>
      <c r="AJ19" s="203">
        <f>'17% Управителю (З ПДВ)'!AJ19/1.2/1.17</f>
        <v>0.35</v>
      </c>
      <c r="AK19" s="203">
        <f>'17% Управителю (З ПДВ)'!AK19/1.2/1.17</f>
        <v>0.192</v>
      </c>
      <c r="AL19" s="203">
        <f>'17% Управителю (З ПДВ)'!AL19/1.2/1.17</f>
        <v>0.33500000000000002</v>
      </c>
      <c r="AM19" s="203">
        <f>'17% Управителю (З ПДВ)'!AM19/1.2/1.17</f>
        <v>2E-3</v>
      </c>
      <c r="AN19" s="203">
        <f>'17% Управителю (З ПДВ)'!AN19/1.2/1.17</f>
        <v>0.33800000000000002</v>
      </c>
      <c r="AO19" s="203">
        <f>'17% Управителю (З ПДВ)'!AO19/1.2/1.17</f>
        <v>0.44900000000000001</v>
      </c>
      <c r="AP19" s="203">
        <f>'17% Управителю (З ПДВ)'!AP19/1.2/1.17</f>
        <v>0.38600000000000001</v>
      </c>
      <c r="AQ19" s="203">
        <f>'17% Управителю (З ПДВ)'!AQ19/1.2/1.17</f>
        <v>0.105</v>
      </c>
      <c r="AR19" s="203">
        <f>'17% Управителю (З ПДВ)'!AR19/1.2/1.17</f>
        <v>1E-3</v>
      </c>
      <c r="AS19" s="203">
        <f>'17% Управителю (З ПДВ)'!AS19/1.2/1.17</f>
        <v>0.312</v>
      </c>
      <c r="AT19" s="203">
        <f>'17% Управителю (З ПДВ)'!AT19/1.2/1.17</f>
        <v>0.28899999999999998</v>
      </c>
      <c r="AU19" s="203">
        <f>'17% Управителю (З ПДВ)'!AU19/1.2/1.17</f>
        <v>0.31</v>
      </c>
      <c r="AV19" s="203">
        <f>'17% Управителю (З ПДВ)'!AV19/1.2/1.17</f>
        <v>0.26400000000000001</v>
      </c>
      <c r="AW19" s="203">
        <f>'17% Управителю (З ПДВ)'!AW19/1.2/1.17</f>
        <v>0.38900000000000001</v>
      </c>
      <c r="AX19" s="203">
        <f>'17% Управителю (З ПДВ)'!AX19/1.2/1.17</f>
        <v>0.39200000000000002</v>
      </c>
      <c r="AY19" s="203">
        <f>'17% Управителю (З ПДВ)'!AY19/1.2/1.17</f>
        <v>0.33</v>
      </c>
      <c r="AZ19" s="203">
        <f>'17% Управителю (З ПДВ)'!AZ19/1.2/1.17</f>
        <v>0.42299999999999999</v>
      </c>
      <c r="BA19" s="203">
        <f>'17% Управителю (З ПДВ)'!BA19/1.2/1.17</f>
        <v>0.31</v>
      </c>
      <c r="BB19" s="203">
        <f>'17% Управителю (З ПДВ)'!BB19/1.2/1.17</f>
        <v>0.35299999999999998</v>
      </c>
      <c r="BC19" s="203">
        <f>'17% Управителю (З ПДВ)'!BC19/1.2/1.17</f>
        <v>0.27600000000000002</v>
      </c>
      <c r="BD19" s="203">
        <f>'17% Управителю (З ПДВ)'!BD19/1.2/1.17</f>
        <v>0.39700000000000002</v>
      </c>
      <c r="BE19" s="203">
        <f>'17% Управителю (З ПДВ)'!BE19/1.2/1.17</f>
        <v>0.46200000000000002</v>
      </c>
      <c r="BF19" s="203">
        <f>'17% Управителю (З ПДВ)'!BF19/1.2/1.17</f>
        <v>0.39900000000000002</v>
      </c>
      <c r="BG19" s="203">
        <f>'17% Управителю (З ПДВ)'!BG19/1.2/1.17</f>
        <v>0.38700000000000001</v>
      </c>
      <c r="BH19" s="203">
        <f>'17% Управителю (З ПДВ)'!BH19/1.2/1.17</f>
        <v>0.34200000000000003</v>
      </c>
      <c r="BI19" s="203">
        <f>'17% Управителю (З ПДВ)'!BI19/1.2/1.17</f>
        <v>0.41199999999999998</v>
      </c>
      <c r="BJ19" s="203">
        <f>'17% Управителю (З ПДВ)'!BJ19/1.2/1.17</f>
        <v>0.42699999999999999</v>
      </c>
      <c r="BK19" s="203">
        <f>'17% Управителю (З ПДВ)'!BK19/1.2/1.17</f>
        <v>0.372</v>
      </c>
      <c r="BL19" s="203">
        <f>'17% Управителю (З ПДВ)'!BL19/1.2/1.17</f>
        <v>0.42699999999999999</v>
      </c>
      <c r="BM19" s="203">
        <f>'17% Управителю (З ПДВ)'!BM19/1.2/1.17</f>
        <v>0.37</v>
      </c>
      <c r="BN19" s="203">
        <f>'17% Управителю (З ПДВ)'!BN19/1.2/1.17</f>
        <v>0.44</v>
      </c>
      <c r="BO19" s="203">
        <f>'17% Управителю (З ПДВ)'!BO19/1.2/1.17</f>
        <v>0.4</v>
      </c>
      <c r="BP19" s="203">
        <f>'17% Управителю (З ПДВ)'!BP19/1.2/1.17</f>
        <v>0.39700000000000002</v>
      </c>
      <c r="BQ19" s="203">
        <f>'17% Управителю (З ПДВ)'!BQ19/1.2/1.17</f>
        <v>0.40500000000000003</v>
      </c>
      <c r="BR19" s="203">
        <f>'17% Управителю (З ПДВ)'!BR19/1.2/1.17</f>
        <v>0.31900000000000001</v>
      </c>
      <c r="BS19" s="203">
        <f>'17% Управителю (З ПДВ)'!BS19/1.2/1.17</f>
        <v>0.42199999999999999</v>
      </c>
      <c r="BT19" s="203">
        <f>'17% Управителю (З ПДВ)'!BT19/1.2/1.17</f>
        <v>0.42</v>
      </c>
      <c r="BU19" s="203">
        <f>'17% Управителю (З ПДВ)'!BU19/1.2/1.17</f>
        <v>0.4</v>
      </c>
      <c r="BV19" s="203">
        <f>'17% Управителю (З ПДВ)'!BV19/1.2/1.17</f>
        <v>0.49099999999999999</v>
      </c>
      <c r="BW19" s="203">
        <f>'17% Управителю (З ПДВ)'!BW19/1.2/1.17</f>
        <v>0.33</v>
      </c>
      <c r="BX19" s="203">
        <f>'17% Управителю (З ПДВ)'!BX19/1.2/1.17</f>
        <v>0.42599999999999999</v>
      </c>
      <c r="BY19" s="203">
        <f>'17% Управителю (З ПДВ)'!BY19/1.2/1.17</f>
        <v>0.378</v>
      </c>
      <c r="BZ19" s="203">
        <f>'17% Управителю (З ПДВ)'!BZ19/1.2/1.17</f>
        <v>0.39200000000000002</v>
      </c>
      <c r="CA19" s="203">
        <f>'17% Управителю (З ПДВ)'!CA19/1.2/1.17</f>
        <v>0.44700000000000001</v>
      </c>
      <c r="CB19" s="203">
        <f>'17% Управителю (З ПДВ)'!CB19/1.2/1.17</f>
        <v>0.443</v>
      </c>
      <c r="CC19" s="203">
        <f>'17% Управителю (З ПДВ)'!CC19/1.2/1.17</f>
        <v>0.41199999999999998</v>
      </c>
      <c r="CD19" s="203">
        <f>'17% Управителю (З ПДВ)'!CD19/1.2/1.17</f>
        <v>0.442</v>
      </c>
      <c r="CE19" s="203">
        <f>'17% Управителю (З ПДВ)'!CE19/1.2/1.17</f>
        <v>0.105</v>
      </c>
      <c r="CF19" s="203">
        <f>'17% Управителю (З ПДВ)'!CF19/1.2/1.17</f>
        <v>0.42699999999999999</v>
      </c>
      <c r="CG19" s="203">
        <f>'17% Управителю (З ПДВ)'!CG19/1.2/1.17</f>
        <v>0.29599999999999999</v>
      </c>
      <c r="CH19" s="203">
        <f>'17% Управителю (З ПДВ)'!CH19/1.2/1.17</f>
        <v>0.29299999999999998</v>
      </c>
      <c r="CI19" s="203">
        <f>'17% Управителю (З ПДВ)'!CI19/1.2/1.17</f>
        <v>0.57999999999999996</v>
      </c>
      <c r="CJ19" s="203">
        <f>'17% Управителю (З ПДВ)'!CJ19/1.2/1.17</f>
        <v>0.58899999999999997</v>
      </c>
      <c r="CK19" s="203">
        <f>'17% Управителю (З ПДВ)'!CK19/1.2/1.17</f>
        <v>0.247</v>
      </c>
      <c r="CL19" s="203">
        <f>'17% Управителю (З ПДВ)'!CL19/1.2/1.17</f>
        <v>0.40100000000000002</v>
      </c>
      <c r="CM19" s="203">
        <f>'17% Управителю (З ПДВ)'!CM19/1.2/1.17</f>
        <v>0.217</v>
      </c>
      <c r="CN19" s="203">
        <f>'17% Управителю (З ПДВ)'!CN19/1.2/1.17</f>
        <v>1E-3</v>
      </c>
      <c r="CO19" s="203">
        <f>'17% Управителю (З ПДВ)'!CO19/1.2/1.17</f>
        <v>0.105</v>
      </c>
      <c r="CP19" s="203">
        <f>'17% Управителю (З ПДВ)'!CP19/1.2/1.17</f>
        <v>0.105</v>
      </c>
      <c r="CQ19" s="203">
        <f>'17% Управителю (З ПДВ)'!CQ19/1.2/1.17</f>
        <v>0.105</v>
      </c>
      <c r="CR19" s="203">
        <f>'17% Управителю (З ПДВ)'!CR19/1.2/1.17</f>
        <v>0.105</v>
      </c>
      <c r="CS19" s="203">
        <f>'17% Управителю (З ПДВ)'!CS19/1.2/1.17</f>
        <v>0.105</v>
      </c>
      <c r="CT19" s="204">
        <f>'17% Управителю (З ПДВ)'!CT19/1.2/1.17</f>
        <v>0.11799999999999999</v>
      </c>
      <c r="CU19" s="199"/>
      <c r="CV19" s="199"/>
    </row>
    <row r="20" spans="1:100" s="136" customFormat="1" ht="21">
      <c r="A20" s="201"/>
      <c r="B20" s="195" t="s">
        <v>21</v>
      </c>
      <c r="C20" s="202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6"/>
      <c r="CU20" s="199"/>
    </row>
    <row r="21" spans="1:100" s="136" customFormat="1" ht="21">
      <c r="A21" s="201"/>
      <c r="B21" s="195" t="s">
        <v>22</v>
      </c>
      <c r="C21" s="202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6"/>
      <c r="CU21" s="199"/>
    </row>
    <row r="22" spans="1:100" s="136" customFormat="1" ht="21">
      <c r="A22" s="201"/>
      <c r="B22" s="195" t="s">
        <v>23</v>
      </c>
      <c r="C22" s="202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6"/>
      <c r="CU22" s="199"/>
    </row>
    <row r="23" spans="1:100" s="136" customFormat="1" ht="21">
      <c r="A23" s="201"/>
      <c r="B23" s="195" t="s">
        <v>24</v>
      </c>
      <c r="C23" s="202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6"/>
      <c r="CU23" s="199"/>
    </row>
    <row r="24" spans="1:100" s="136" customFormat="1" ht="21">
      <c r="A24" s="201"/>
      <c r="B24" s="195" t="s">
        <v>25</v>
      </c>
      <c r="C24" s="202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6"/>
      <c r="CU24" s="199"/>
    </row>
    <row r="25" spans="1:100" s="136" customFormat="1" ht="21">
      <c r="A25" s="201"/>
      <c r="B25" s="200" t="s">
        <v>26</v>
      </c>
      <c r="C25" s="202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8"/>
      <c r="CU25" s="199"/>
    </row>
    <row r="26" spans="1:100" s="136" customFormat="1" ht="21">
      <c r="A26" s="194" t="s">
        <v>27</v>
      </c>
      <c r="B26" s="200" t="s">
        <v>28</v>
      </c>
      <c r="C26" s="196"/>
      <c r="D26" s="197">
        <f>'17% Управителю (З ПДВ)'!D26/1.2/1.17</f>
        <v>3.1E-2</v>
      </c>
      <c r="E26" s="197">
        <f>'17% Управителю (З ПДВ)'!E26/1.2/1.17</f>
        <v>1.4E-2</v>
      </c>
      <c r="F26" s="197">
        <f>'17% Управителю (З ПДВ)'!F26/1.2/1.17</f>
        <v>2.4E-2</v>
      </c>
      <c r="G26" s="197">
        <f>'17% Управителю (З ПДВ)'!G26/1.2/1.17</f>
        <v>2.5999999999999999E-2</v>
      </c>
      <c r="H26" s="197">
        <f>'17% Управителю (З ПДВ)'!H26/1.2/1.17</f>
        <v>3.2000000000000001E-2</v>
      </c>
      <c r="I26" s="197">
        <f>'17% Управителю (З ПДВ)'!I26/1.2/1.17</f>
        <v>2.5999999999999999E-2</v>
      </c>
      <c r="J26" s="197">
        <f>'17% Управителю (З ПДВ)'!J26/1.2/1.17</f>
        <v>2.8000000000000001E-2</v>
      </c>
      <c r="K26" s="197">
        <f>'17% Управителю (З ПДВ)'!K26/1.2/1.17</f>
        <v>2.4E-2</v>
      </c>
      <c r="L26" s="197">
        <f>'17% Управителю (З ПДВ)'!L26/1.2/1.17</f>
        <v>2.7E-2</v>
      </c>
      <c r="M26" s="197">
        <f>'17% Управителю (З ПДВ)'!M26/1.2/1.17</f>
        <v>2.9000000000000001E-2</v>
      </c>
      <c r="N26" s="197">
        <f>'17% Управителю (З ПДВ)'!N26/1.2/1.17</f>
        <v>1.6E-2</v>
      </c>
      <c r="O26" s="197">
        <f>'17% Управителю (З ПДВ)'!O26/1.2/1.17</f>
        <v>3.3000000000000002E-2</v>
      </c>
      <c r="P26" s="197">
        <f>'17% Управителю (З ПДВ)'!P26/1.2/1.17</f>
        <v>2.3E-2</v>
      </c>
      <c r="Q26" s="197">
        <f>'17% Управителю (З ПДВ)'!Q26/1.2/1.17</f>
        <v>5.6000000000000001E-2</v>
      </c>
      <c r="R26" s="197">
        <f>'17% Управителю (З ПДВ)'!R26/1.2/1.17</f>
        <v>1.9E-2</v>
      </c>
      <c r="S26" s="197">
        <f>'17% Управителю (З ПДВ)'!S26/1.2/1.17</f>
        <v>2.8000000000000001E-2</v>
      </c>
      <c r="T26" s="197">
        <f>'17% Управителю (З ПДВ)'!T26/1.2/1.17</f>
        <v>1.9E-2</v>
      </c>
      <c r="U26" s="197">
        <f>'17% Управителю (З ПДВ)'!U26/1.2/1.17</f>
        <v>0.03</v>
      </c>
      <c r="V26" s="197">
        <f>'17% Управителю (З ПДВ)'!V26/1.2/1.17</f>
        <v>1.0999999999999999E-2</v>
      </c>
      <c r="W26" s="197">
        <f>'17% Управителю (З ПДВ)'!W26/1.2/1.17</f>
        <v>1.4E-2</v>
      </c>
      <c r="X26" s="197">
        <f>'17% Управителю (З ПДВ)'!X26/1.2/1.17</f>
        <v>1.4E-2</v>
      </c>
      <c r="Y26" s="197">
        <f>'17% Управителю (З ПДВ)'!Y26/1.2/1.17</f>
        <v>1.4E-2</v>
      </c>
      <c r="Z26" s="197">
        <f>'17% Управителю (З ПДВ)'!Z26/1.2/1.17</f>
        <v>1.2999999999999999E-2</v>
      </c>
      <c r="AA26" s="197">
        <f>'17% Управителю (З ПДВ)'!AA26/1.2/1.17</f>
        <v>1.2E-2</v>
      </c>
      <c r="AB26" s="197">
        <f>'17% Управителю (З ПДВ)'!AB26/1.2/1.17</f>
        <v>1.0999999999999999E-2</v>
      </c>
      <c r="AC26" s="197">
        <f>'17% Управителю (З ПДВ)'!AC26/1.2/1.17</f>
        <v>1.2E-2</v>
      </c>
      <c r="AD26" s="197">
        <f>'17% Управителю (З ПДВ)'!AD26/1.2/1.17</f>
        <v>0</v>
      </c>
      <c r="AE26" s="197">
        <f>'17% Управителю (З ПДВ)'!AE26/1.2/1.17</f>
        <v>0</v>
      </c>
      <c r="AF26" s="197">
        <f>'17% Управителю (З ПДВ)'!AF26/1.2/1.17</f>
        <v>0</v>
      </c>
      <c r="AG26" s="197">
        <f>'17% Управителю (З ПДВ)'!AG26/1.2/1.17</f>
        <v>0</v>
      </c>
      <c r="AH26" s="197">
        <f>'17% Управителю (З ПДВ)'!AH26/1.2/1.17</f>
        <v>0</v>
      </c>
      <c r="AI26" s="197">
        <f>'17% Управителю (З ПДВ)'!AI26/1.2/1.17</f>
        <v>4.0000000000000001E-3</v>
      </c>
      <c r="AJ26" s="197">
        <f>'17% Управителю (З ПДВ)'!AJ26/1.2/1.17</f>
        <v>1.0999999999999999E-2</v>
      </c>
      <c r="AK26" s="197">
        <f>'17% Управителю (З ПДВ)'!AK26/1.2/1.17</f>
        <v>0.02</v>
      </c>
      <c r="AL26" s="197">
        <f>'17% Управителю (З ПДВ)'!AL26/1.2/1.17</f>
        <v>2.1999999999999999E-2</v>
      </c>
      <c r="AM26" s="197">
        <f>'17% Управителю (З ПДВ)'!AM26/1.2/1.17</f>
        <v>0</v>
      </c>
      <c r="AN26" s="197">
        <f>'17% Управителю (З ПДВ)'!AN26/1.2/1.17</f>
        <v>0</v>
      </c>
      <c r="AO26" s="197">
        <f>'17% Управителю (З ПДВ)'!AO26/1.2/1.17</f>
        <v>3.1E-2</v>
      </c>
      <c r="AP26" s="197">
        <f>'17% Управителю (З ПДВ)'!AP26/1.2/1.17</f>
        <v>0</v>
      </c>
      <c r="AQ26" s="197">
        <f>'17% Управителю (З ПДВ)'!AQ26/1.2/1.17</f>
        <v>0</v>
      </c>
      <c r="AR26" s="197">
        <f>'17% Управителю (З ПДВ)'!AR26/1.2/1.17</f>
        <v>0</v>
      </c>
      <c r="AS26" s="197">
        <f>'17% Управителю (З ПДВ)'!AS26/1.2/1.17</f>
        <v>0</v>
      </c>
      <c r="AT26" s="197">
        <f>'17% Управителю (З ПДВ)'!AT26/1.2/1.17</f>
        <v>5.0000000000000001E-3</v>
      </c>
      <c r="AU26" s="197">
        <f>'17% Управителю (З ПДВ)'!AU26/1.2/1.17</f>
        <v>5.0000000000000001E-3</v>
      </c>
      <c r="AV26" s="197">
        <f>'17% Управителю (З ПДВ)'!AV26/1.2/1.17</f>
        <v>4.0000000000000001E-3</v>
      </c>
      <c r="AW26" s="197">
        <f>'17% Управителю (З ПДВ)'!AW26/1.2/1.17</f>
        <v>1.6E-2</v>
      </c>
      <c r="AX26" s="197">
        <f>'17% Управителю (З ПДВ)'!AX26/1.2/1.17</f>
        <v>1.7000000000000001E-2</v>
      </c>
      <c r="AY26" s="197">
        <f>'17% Управителю (З ПДВ)'!AY26/1.2/1.17</f>
        <v>0</v>
      </c>
      <c r="AZ26" s="197">
        <f>'17% Управителю (З ПДВ)'!AZ26/1.2/1.17</f>
        <v>2.4E-2</v>
      </c>
      <c r="BA26" s="197">
        <f>'17% Управителю (З ПДВ)'!BA26/1.2/1.17</f>
        <v>0</v>
      </c>
      <c r="BB26" s="197">
        <f>'17% Управителю (З ПДВ)'!BB26/1.2/1.17</f>
        <v>2.4E-2</v>
      </c>
      <c r="BC26" s="197">
        <f>'17% Управителю (З ПДВ)'!BC26/1.2/1.17</f>
        <v>0.01</v>
      </c>
      <c r="BD26" s="197">
        <f>'17% Управителю (З ПДВ)'!BD26/1.2/1.17</f>
        <v>0</v>
      </c>
      <c r="BE26" s="197">
        <f>'17% Управителю (З ПДВ)'!BE26/1.2/1.17</f>
        <v>0</v>
      </c>
      <c r="BF26" s="197">
        <f>'17% Управителю (З ПДВ)'!BF26/1.2/1.17</f>
        <v>8.0000000000000002E-3</v>
      </c>
      <c r="BG26" s="197">
        <f>'17% Управителю (З ПДВ)'!BG26/1.2/1.17</f>
        <v>0</v>
      </c>
      <c r="BH26" s="197">
        <f>'17% Управителю (З ПДВ)'!BH26/1.2/1.17</f>
        <v>3.4000000000000002E-2</v>
      </c>
      <c r="BI26" s="197">
        <f>'17% Управителю (З ПДВ)'!BI26/1.2/1.17</f>
        <v>0</v>
      </c>
      <c r="BJ26" s="197">
        <f>'17% Управителю (З ПДВ)'!BJ26/1.2/1.17</f>
        <v>4.1000000000000002E-2</v>
      </c>
      <c r="BK26" s="197">
        <f>'17% Управителю (З ПДВ)'!BK26/1.2/1.17</f>
        <v>2.9000000000000001E-2</v>
      </c>
      <c r="BL26" s="197">
        <f>'17% Управителю (З ПДВ)'!BL26/1.2/1.17</f>
        <v>2.4E-2</v>
      </c>
      <c r="BM26" s="197">
        <f>'17% Управителю (З ПДВ)'!BM26/1.2/1.17</f>
        <v>1.6E-2</v>
      </c>
      <c r="BN26" s="197">
        <f>'17% Управителю (З ПДВ)'!BN26/1.2/1.17</f>
        <v>2.4E-2</v>
      </c>
      <c r="BO26" s="197">
        <f>'17% Управителю (З ПДВ)'!BO26/1.2/1.17</f>
        <v>0</v>
      </c>
      <c r="BP26" s="197">
        <f>'17% Управителю (З ПДВ)'!BP26/1.2/1.17</f>
        <v>0</v>
      </c>
      <c r="BQ26" s="197">
        <f>'17% Управителю (З ПДВ)'!BQ26/1.2/1.17</f>
        <v>0</v>
      </c>
      <c r="BR26" s="197">
        <f>'17% Управителю (З ПДВ)'!BR26/1.2/1.17</f>
        <v>0</v>
      </c>
      <c r="BS26" s="197">
        <f>'17% Управителю (З ПДВ)'!BS26/1.2/1.17</f>
        <v>1.0999999999999999E-2</v>
      </c>
      <c r="BT26" s="197">
        <f>'17% Управителю (З ПДВ)'!BT26/1.2/1.17</f>
        <v>2.3E-2</v>
      </c>
      <c r="BU26" s="197">
        <f>'17% Управителю (З ПДВ)'!BU26/1.2/1.17</f>
        <v>1.6E-2</v>
      </c>
      <c r="BV26" s="197">
        <f>'17% Управителю (З ПДВ)'!BV26/1.2/1.17</f>
        <v>2.8000000000000001E-2</v>
      </c>
      <c r="BW26" s="197">
        <f>'17% Управителю (З ПДВ)'!BW26/1.2/1.17</f>
        <v>0</v>
      </c>
      <c r="BX26" s="197">
        <f>'17% Управителю (З ПДВ)'!BX26/1.2/1.17</f>
        <v>1.6E-2</v>
      </c>
      <c r="BY26" s="197">
        <f>'17% Управителю (З ПДВ)'!BY26/1.2/1.17</f>
        <v>1.7000000000000001E-2</v>
      </c>
      <c r="BZ26" s="197">
        <f>'17% Управителю (З ПДВ)'!BZ26/1.2/1.17</f>
        <v>8.9999999999999993E-3</v>
      </c>
      <c r="CA26" s="197">
        <f>'17% Управителю (З ПДВ)'!CA26/1.2/1.17</f>
        <v>8.9999999999999993E-3</v>
      </c>
      <c r="CB26" s="197">
        <f>'17% Управителю (З ПДВ)'!CB26/1.2/1.17</f>
        <v>0.01</v>
      </c>
      <c r="CC26" s="197">
        <f>'17% Управителю (З ПДВ)'!CC26/1.2/1.17</f>
        <v>1.0999999999999999E-2</v>
      </c>
      <c r="CD26" s="197">
        <f>'17% Управителю (З ПДВ)'!CD26/1.2/1.17</f>
        <v>1.0999999999999999E-2</v>
      </c>
      <c r="CE26" s="197">
        <f>'17% Управителю (З ПДВ)'!CE26/1.2/1.17</f>
        <v>0</v>
      </c>
      <c r="CF26" s="197">
        <f>'17% Управителю (З ПДВ)'!CF26/1.2/1.17</f>
        <v>2.5999999999999999E-2</v>
      </c>
      <c r="CG26" s="197">
        <f>'17% Управителю (З ПДВ)'!CG26/1.2/1.17</f>
        <v>1.4999999999999999E-2</v>
      </c>
      <c r="CH26" s="197">
        <f>'17% Управителю (З ПДВ)'!CH26/1.2/1.17</f>
        <v>1.4999999999999999E-2</v>
      </c>
      <c r="CI26" s="197">
        <f>'17% Управителю (З ПДВ)'!CI26/1.2/1.17</f>
        <v>0</v>
      </c>
      <c r="CJ26" s="197">
        <f>'17% Управителю (З ПДВ)'!CJ26/1.2/1.17</f>
        <v>0</v>
      </c>
      <c r="CK26" s="197">
        <f>'17% Управителю (З ПДВ)'!CK26/1.2/1.17</f>
        <v>0</v>
      </c>
      <c r="CL26" s="197">
        <f>'17% Управителю (З ПДВ)'!CL26/1.2/1.17</f>
        <v>7.2999999999999995E-2</v>
      </c>
      <c r="CM26" s="197">
        <f>'17% Управителю (З ПДВ)'!CM26/1.2/1.17</f>
        <v>4.1000000000000002E-2</v>
      </c>
      <c r="CN26" s="197">
        <f>'17% Управителю (З ПДВ)'!CN26/1.2/1.17</f>
        <v>0</v>
      </c>
      <c r="CO26" s="197">
        <f>'17% Управителю (З ПДВ)'!CO26/1.2/1.17</f>
        <v>0</v>
      </c>
      <c r="CP26" s="197">
        <f>'17% Управителю (З ПДВ)'!CP26/1.2/1.17</f>
        <v>0</v>
      </c>
      <c r="CQ26" s="197">
        <f>'17% Управителю (З ПДВ)'!CQ26/1.2/1.17</f>
        <v>0</v>
      </c>
      <c r="CR26" s="197">
        <f>'17% Управителю (З ПДВ)'!CR26/1.2/1.17</f>
        <v>0</v>
      </c>
      <c r="CS26" s="197">
        <f>'17% Управителю (З ПДВ)'!CS26/1.2/1.17</f>
        <v>0</v>
      </c>
      <c r="CT26" s="198">
        <f>'17% Управителю (З ПДВ)'!CT26/1.2/1.17</f>
        <v>0</v>
      </c>
      <c r="CU26" s="199"/>
      <c r="CV26" s="199"/>
    </row>
    <row r="27" spans="1:100" s="136" customFormat="1" ht="21">
      <c r="A27" s="194" t="s">
        <v>29</v>
      </c>
      <c r="B27" s="200" t="s">
        <v>30</v>
      </c>
      <c r="C27" s="196"/>
      <c r="D27" s="197">
        <f>'17% Управителю (З ПДВ)'!D27/1.2/1.17</f>
        <v>1E-3</v>
      </c>
      <c r="E27" s="197">
        <f>'17% Управителю (З ПДВ)'!E27/1.2/1.17</f>
        <v>1E-3</v>
      </c>
      <c r="F27" s="197">
        <f>'17% Управителю (З ПДВ)'!F27/1.2/1.17</f>
        <v>1E-3</v>
      </c>
      <c r="G27" s="197">
        <f>'17% Управителю (З ПДВ)'!G27/1.2/1.17</f>
        <v>1E-3</v>
      </c>
      <c r="H27" s="197">
        <f>'17% Управителю (З ПДВ)'!H27/1.2/1.17</f>
        <v>1E-3</v>
      </c>
      <c r="I27" s="197">
        <f>'17% Управителю (З ПДВ)'!I27/1.2/1.17</f>
        <v>1E-3</v>
      </c>
      <c r="J27" s="197">
        <f>'17% Управителю (З ПДВ)'!J27/1.2/1.17</f>
        <v>1E-3</v>
      </c>
      <c r="K27" s="197">
        <f>'17% Управителю (З ПДВ)'!K27/1.2/1.17</f>
        <v>1E-3</v>
      </c>
      <c r="L27" s="197">
        <f>'17% Управителю (З ПДВ)'!L27/1.2/1.17</f>
        <v>1E-3</v>
      </c>
      <c r="M27" s="197">
        <f>'17% Управителю (З ПДВ)'!M27/1.2/1.17</f>
        <v>1E-3</v>
      </c>
      <c r="N27" s="197">
        <f>'17% Управителю (З ПДВ)'!N27/1.2/1.17</f>
        <v>1E-3</v>
      </c>
      <c r="O27" s="197">
        <f>'17% Управителю (З ПДВ)'!O27/1.2/1.17</f>
        <v>1E-3</v>
      </c>
      <c r="P27" s="197">
        <f>'17% Управителю (З ПДВ)'!P27/1.2/1.17</f>
        <v>1E-3</v>
      </c>
      <c r="Q27" s="197">
        <f>'17% Управителю (З ПДВ)'!Q27/1.2/1.17</f>
        <v>1E-3</v>
      </c>
      <c r="R27" s="197">
        <f>'17% Управителю (З ПДВ)'!R27/1.2/1.17</f>
        <v>1E-3</v>
      </c>
      <c r="S27" s="197">
        <f>'17% Управителю (З ПДВ)'!S27/1.2/1.17</f>
        <v>1E-3</v>
      </c>
      <c r="T27" s="197">
        <f>'17% Управителю (З ПДВ)'!T27/1.2/1.17</f>
        <v>1E-3</v>
      </c>
      <c r="U27" s="197">
        <f>'17% Управителю (З ПДВ)'!U27/1.2/1.17</f>
        <v>1E-3</v>
      </c>
      <c r="V27" s="197">
        <f>'17% Управителю (З ПДВ)'!V27/1.2/1.17</f>
        <v>1E-3</v>
      </c>
      <c r="W27" s="197">
        <f>'17% Управителю (З ПДВ)'!W27/1.2/1.17</f>
        <v>1E-3</v>
      </c>
      <c r="X27" s="197">
        <f>'17% Управителю (З ПДВ)'!X27/1.2/1.17</f>
        <v>1E-3</v>
      </c>
      <c r="Y27" s="197">
        <f>'17% Управителю (З ПДВ)'!Y27/1.2/1.17</f>
        <v>1E-3</v>
      </c>
      <c r="Z27" s="197">
        <f>'17% Управителю (З ПДВ)'!Z27/1.2/1.17</f>
        <v>1E-3</v>
      </c>
      <c r="AA27" s="197">
        <f>'17% Управителю (З ПДВ)'!AA27/1.2/1.17</f>
        <v>1E-3</v>
      </c>
      <c r="AB27" s="197">
        <f>'17% Управителю (З ПДВ)'!AB27/1.2/1.17</f>
        <v>1E-3</v>
      </c>
      <c r="AC27" s="197">
        <f>'17% Управителю (З ПДВ)'!AC27/1.2/1.17</f>
        <v>1E-3</v>
      </c>
      <c r="AD27" s="197">
        <f>'17% Управителю (З ПДВ)'!AD27/1.2/1.17</f>
        <v>0</v>
      </c>
      <c r="AE27" s="197">
        <f>'17% Управителю (З ПДВ)'!AE27/1.2/1.17</f>
        <v>0</v>
      </c>
      <c r="AF27" s="197">
        <f>'17% Управителю (З ПДВ)'!AF27/1.2/1.17</f>
        <v>0</v>
      </c>
      <c r="AG27" s="197">
        <f>'17% Управителю (З ПДВ)'!AG27/1.2/1.17</f>
        <v>0</v>
      </c>
      <c r="AH27" s="197">
        <f>'17% Управителю (З ПДВ)'!AH27/1.2/1.17</f>
        <v>0</v>
      </c>
      <c r="AI27" s="197">
        <f>'17% Управителю (З ПДВ)'!AI27/1.2/1.17</f>
        <v>1E-3</v>
      </c>
      <c r="AJ27" s="197">
        <f>'17% Управителю (З ПДВ)'!AJ27/1.2/1.17</f>
        <v>1E-3</v>
      </c>
      <c r="AK27" s="197">
        <f>'17% Управителю (З ПДВ)'!AK27/1.2/1.17</f>
        <v>1E-3</v>
      </c>
      <c r="AL27" s="197">
        <f>'17% Управителю (З ПДВ)'!AL27/1.2/1.17</f>
        <v>1E-3</v>
      </c>
      <c r="AM27" s="197">
        <f>'17% Управителю (З ПДВ)'!AM27/1.2/1.17</f>
        <v>0</v>
      </c>
      <c r="AN27" s="197">
        <f>'17% Управителю (З ПДВ)'!AN27/1.2/1.17</f>
        <v>0</v>
      </c>
      <c r="AO27" s="197">
        <f>'17% Управителю (З ПДВ)'!AO27/1.2/1.17</f>
        <v>1E-3</v>
      </c>
      <c r="AP27" s="197">
        <f>'17% Управителю (З ПДВ)'!AP27/1.2/1.17</f>
        <v>0</v>
      </c>
      <c r="AQ27" s="197">
        <f>'17% Управителю (З ПДВ)'!AQ27/1.2/1.17</f>
        <v>0</v>
      </c>
      <c r="AR27" s="197">
        <f>'17% Управителю (З ПДВ)'!AR27/1.2/1.17</f>
        <v>0</v>
      </c>
      <c r="AS27" s="197">
        <f>'17% Управителю (З ПДВ)'!AS27/1.2/1.17</f>
        <v>2E-3</v>
      </c>
      <c r="AT27" s="197">
        <f>'17% Управителю (З ПДВ)'!AT27/1.2/1.17</f>
        <v>0</v>
      </c>
      <c r="AU27" s="197">
        <f>'17% Управителю (З ПДВ)'!AU27/1.2/1.17</f>
        <v>0</v>
      </c>
      <c r="AV27" s="197">
        <f>'17% Управителю (З ПДВ)'!AV27/1.2/1.17</f>
        <v>0</v>
      </c>
      <c r="AW27" s="197">
        <f>'17% Управителю (З ПДВ)'!AW27/1.2/1.17</f>
        <v>1E-3</v>
      </c>
      <c r="AX27" s="197">
        <f>'17% Управителю (З ПДВ)'!AX27/1.2/1.17</f>
        <v>1E-3</v>
      </c>
      <c r="AY27" s="197">
        <f>'17% Управителю (З ПДВ)'!AY27/1.2/1.17</f>
        <v>0</v>
      </c>
      <c r="AZ27" s="197">
        <f>'17% Управителю (З ПДВ)'!AZ27/1.2/1.17</f>
        <v>1E-3</v>
      </c>
      <c r="BA27" s="197">
        <f>'17% Управителю (З ПДВ)'!BA27/1.2/1.17</f>
        <v>0</v>
      </c>
      <c r="BB27" s="197">
        <f>'17% Управителю (З ПДВ)'!BB27/1.2/1.17</f>
        <v>1E-3</v>
      </c>
      <c r="BC27" s="197">
        <f>'17% Управителю (З ПДВ)'!BC27/1.2/1.17</f>
        <v>1E-3</v>
      </c>
      <c r="BD27" s="197">
        <f>'17% Управителю (З ПДВ)'!BD27/1.2/1.17</f>
        <v>0</v>
      </c>
      <c r="BE27" s="197">
        <f>'17% Управителю (З ПДВ)'!BE27/1.2/1.17</f>
        <v>0</v>
      </c>
      <c r="BF27" s="197">
        <f>'17% Управителю (З ПДВ)'!BF27/1.2/1.17</f>
        <v>1E-3</v>
      </c>
      <c r="BG27" s="197">
        <f>'17% Управителю (З ПДВ)'!BG27/1.2/1.17</f>
        <v>0</v>
      </c>
      <c r="BH27" s="197">
        <f>'17% Управителю (З ПДВ)'!BH27/1.2/1.17</f>
        <v>1E-3</v>
      </c>
      <c r="BI27" s="197">
        <f>'17% Управителю (З ПДВ)'!BI27/1.2/1.17</f>
        <v>0</v>
      </c>
      <c r="BJ27" s="197">
        <f>'17% Управителю (З ПДВ)'!BJ27/1.2/1.17</f>
        <v>1E-3</v>
      </c>
      <c r="BK27" s="197">
        <f>'17% Управителю (З ПДВ)'!BK27/1.2/1.17</f>
        <v>1E-3</v>
      </c>
      <c r="BL27" s="197">
        <f>'17% Управителю (З ПДВ)'!BL27/1.2/1.17</f>
        <v>1E-3</v>
      </c>
      <c r="BM27" s="197">
        <f>'17% Управителю (З ПДВ)'!BM27/1.2/1.17</f>
        <v>1E-3</v>
      </c>
      <c r="BN27" s="197">
        <f>'17% Управителю (З ПДВ)'!BN27/1.2/1.17</f>
        <v>1E-3</v>
      </c>
      <c r="BO27" s="197">
        <f>'17% Управителю (З ПДВ)'!BO27/1.2/1.17</f>
        <v>0</v>
      </c>
      <c r="BP27" s="197">
        <f>'17% Управителю (З ПДВ)'!BP27/1.2/1.17</f>
        <v>0</v>
      </c>
      <c r="BQ27" s="197">
        <f>'17% Управителю (З ПДВ)'!BQ27/1.2/1.17</f>
        <v>0</v>
      </c>
      <c r="BR27" s="197">
        <f>'17% Управителю (З ПДВ)'!BR27/1.2/1.17</f>
        <v>0</v>
      </c>
      <c r="BS27" s="197">
        <f>'17% Управителю (З ПДВ)'!BS27/1.2/1.17</f>
        <v>1E-3</v>
      </c>
      <c r="BT27" s="197">
        <f>'17% Управителю (З ПДВ)'!BT27/1.2/1.17</f>
        <v>1E-3</v>
      </c>
      <c r="BU27" s="197">
        <f>'17% Управителю (З ПДВ)'!BU27/1.2/1.17</f>
        <v>1E-3</v>
      </c>
      <c r="BV27" s="197">
        <f>'17% Управителю (З ПДВ)'!BV27/1.2/1.17</f>
        <v>1E-3</v>
      </c>
      <c r="BW27" s="197">
        <f>'17% Управителю (З ПДВ)'!BW27/1.2/1.17</f>
        <v>0</v>
      </c>
      <c r="BX27" s="197">
        <f>'17% Управителю (З ПДВ)'!BX27/1.2/1.17</f>
        <v>1E-3</v>
      </c>
      <c r="BY27" s="197">
        <f>'17% Управителю (З ПДВ)'!BY27/1.2/1.17</f>
        <v>1E-3</v>
      </c>
      <c r="BZ27" s="197">
        <f>'17% Управителю (З ПДВ)'!BZ27/1.2/1.17</f>
        <v>1E-3</v>
      </c>
      <c r="CA27" s="197">
        <f>'17% Управителю (З ПДВ)'!CA27/1.2/1.17</f>
        <v>1E-3</v>
      </c>
      <c r="CB27" s="197">
        <f>'17% Управителю (З ПДВ)'!CB27/1.2/1.17</f>
        <v>1E-3</v>
      </c>
      <c r="CC27" s="197">
        <f>'17% Управителю (З ПДВ)'!CC27/1.2/1.17</f>
        <v>1E-3</v>
      </c>
      <c r="CD27" s="197">
        <f>'17% Управителю (З ПДВ)'!CD27/1.2/1.17</f>
        <v>1E-3</v>
      </c>
      <c r="CE27" s="197">
        <f>'17% Управителю (З ПДВ)'!CE27/1.2/1.17</f>
        <v>0</v>
      </c>
      <c r="CF27" s="197">
        <f>'17% Управителю (З ПДВ)'!CF27/1.2/1.17</f>
        <v>1E-3</v>
      </c>
      <c r="CG27" s="197">
        <f>'17% Управителю (З ПДВ)'!CG27/1.2/1.17</f>
        <v>1E-3</v>
      </c>
      <c r="CH27" s="197">
        <f>'17% Управителю (З ПДВ)'!CH27/1.2/1.17</f>
        <v>1E-3</v>
      </c>
      <c r="CI27" s="197">
        <f>'17% Управителю (З ПДВ)'!CI27/1.2/1.17</f>
        <v>0</v>
      </c>
      <c r="CJ27" s="197">
        <f>'17% Управителю (З ПДВ)'!CJ27/1.2/1.17</f>
        <v>0</v>
      </c>
      <c r="CK27" s="197">
        <f>'17% Управителю (З ПДВ)'!CK27/1.2/1.17</f>
        <v>0</v>
      </c>
      <c r="CL27" s="197">
        <f>'17% Управителю (З ПДВ)'!CL27/1.2/1.17</f>
        <v>0</v>
      </c>
      <c r="CM27" s="197">
        <f>'17% Управителю (З ПДВ)'!CM27/1.2/1.17</f>
        <v>2E-3</v>
      </c>
      <c r="CN27" s="197">
        <f>'17% Управителю (З ПДВ)'!CN27/1.2/1.17</f>
        <v>0</v>
      </c>
      <c r="CO27" s="197">
        <f>'17% Управителю (З ПДВ)'!CO27/1.2/1.17</f>
        <v>0</v>
      </c>
      <c r="CP27" s="197">
        <f>'17% Управителю (З ПДВ)'!CP27/1.2/1.17</f>
        <v>0</v>
      </c>
      <c r="CQ27" s="197">
        <f>'17% Управителю (З ПДВ)'!CQ27/1.2/1.17</f>
        <v>0</v>
      </c>
      <c r="CR27" s="197">
        <f>'17% Управителю (З ПДВ)'!CR27/1.2/1.17</f>
        <v>0</v>
      </c>
      <c r="CS27" s="197">
        <f>'17% Управителю (З ПДВ)'!CS27/1.2/1.17</f>
        <v>0</v>
      </c>
      <c r="CT27" s="198">
        <f>'17% Управителю (З ПДВ)'!CT27/1.2/1.17</f>
        <v>0</v>
      </c>
      <c r="CU27" s="199"/>
      <c r="CV27" s="199"/>
    </row>
    <row r="28" spans="1:100" s="136" customFormat="1" ht="40.5">
      <c r="A28" s="194" t="s">
        <v>31</v>
      </c>
      <c r="B28" s="200" t="s">
        <v>32</v>
      </c>
      <c r="C28" s="196"/>
      <c r="D28" s="197">
        <f>'17% Управителю (З ПДВ)'!D28/1.2/1.17</f>
        <v>0.05</v>
      </c>
      <c r="E28" s="197">
        <f>'17% Управителю (З ПДВ)'!E28/1.2/1.17</f>
        <v>2.4E-2</v>
      </c>
      <c r="F28" s="197">
        <f>'17% Управителю (З ПДВ)'!F28/1.2/1.17</f>
        <v>3.3000000000000002E-2</v>
      </c>
      <c r="G28" s="197">
        <f>'17% Управителю (З ПДВ)'!G28/1.2/1.17</f>
        <v>2.1999999999999999E-2</v>
      </c>
      <c r="H28" s="197">
        <f>'17% Управителю (З ПДВ)'!H28/1.2/1.17</f>
        <v>4.4999999999999998E-2</v>
      </c>
      <c r="I28" s="197">
        <f>'17% Управителю (З ПДВ)'!I28/1.2/1.17</f>
        <v>2.1000000000000001E-2</v>
      </c>
      <c r="J28" s="197">
        <f>'17% Управителю (З ПДВ)'!J28/1.2/1.17</f>
        <v>4.5999999999999999E-2</v>
      </c>
      <c r="K28" s="197">
        <f>'17% Управителю (З ПДВ)'!K28/1.2/1.17</f>
        <v>2.1000000000000001E-2</v>
      </c>
      <c r="L28" s="197">
        <f>'17% Управителю (З ПДВ)'!L28/1.2/1.17</f>
        <v>3.2000000000000001E-2</v>
      </c>
      <c r="M28" s="197">
        <f>'17% Управителю (З ПДВ)'!M28/1.2/1.17</f>
        <v>3.1E-2</v>
      </c>
      <c r="N28" s="197">
        <f>'17% Управителю (З ПДВ)'!N28/1.2/1.17</f>
        <v>0.03</v>
      </c>
      <c r="O28" s="197">
        <f>'17% Управителю (З ПДВ)'!O28/1.2/1.17</f>
        <v>5.3999999999999999E-2</v>
      </c>
      <c r="P28" s="197">
        <f>'17% Управителю (З ПДВ)'!P28/1.2/1.17</f>
        <v>2.4E-2</v>
      </c>
      <c r="Q28" s="197">
        <f>'17% Управителю (З ПДВ)'!Q28/1.2/1.17</f>
        <v>1.9E-2</v>
      </c>
      <c r="R28" s="197">
        <f>'17% Управителю (З ПДВ)'!R28/1.2/1.17</f>
        <v>2.1999999999999999E-2</v>
      </c>
      <c r="S28" s="197">
        <f>'17% Управителю (З ПДВ)'!S28/1.2/1.17</f>
        <v>2.9000000000000001E-2</v>
      </c>
      <c r="T28" s="197">
        <f>'17% Управителю (З ПДВ)'!T28/1.2/1.17</f>
        <v>3.1E-2</v>
      </c>
      <c r="U28" s="197">
        <f>'17% Управителю (З ПДВ)'!U28/1.2/1.17</f>
        <v>5.0999999999999997E-2</v>
      </c>
      <c r="V28" s="197">
        <f>'17% Управителю (З ПДВ)'!V28/1.2/1.17</f>
        <v>2.5000000000000001E-2</v>
      </c>
      <c r="W28" s="197">
        <f>'17% Управителю (З ПДВ)'!W28/1.2/1.17</f>
        <v>1.7999999999999999E-2</v>
      </c>
      <c r="X28" s="197">
        <f>'17% Управителю (З ПДВ)'!X28/1.2/1.17</f>
        <v>0.02</v>
      </c>
      <c r="Y28" s="197">
        <f>'17% Управителю (З ПДВ)'!Y28/1.2/1.17</f>
        <v>0.02</v>
      </c>
      <c r="Z28" s="197">
        <f>'17% Управителю (З ПДВ)'!Z28/1.2/1.17</f>
        <v>2.5999999999999999E-2</v>
      </c>
      <c r="AA28" s="197">
        <f>'17% Управителю (З ПДВ)'!AA28/1.2/1.17</f>
        <v>2.5999999999999999E-2</v>
      </c>
      <c r="AB28" s="197">
        <f>'17% Управителю (З ПДВ)'!AB28/1.2/1.17</f>
        <v>0.03</v>
      </c>
      <c r="AC28" s="197">
        <f>'17% Управителю (З ПДВ)'!AC28/1.2/1.17</f>
        <v>2.8000000000000001E-2</v>
      </c>
      <c r="AD28" s="197">
        <f>'17% Управителю (З ПДВ)'!AD28/1.2/1.17</f>
        <v>0.08</v>
      </c>
      <c r="AE28" s="197">
        <f>'17% Управителю (З ПДВ)'!AE28/1.2/1.17</f>
        <v>6.3E-2</v>
      </c>
      <c r="AF28" s="197">
        <f>'17% Управителю (З ПДВ)'!AF28/1.2/1.17</f>
        <v>5.3999999999999999E-2</v>
      </c>
      <c r="AG28" s="197">
        <f>'17% Управителю (З ПДВ)'!AG28/1.2/1.17</f>
        <v>6.9000000000000006E-2</v>
      </c>
      <c r="AH28" s="197">
        <f>'17% Управителю (З ПДВ)'!AH28/1.2/1.17</f>
        <v>1.4999999999999999E-2</v>
      </c>
      <c r="AI28" s="197">
        <f>'17% Управителю (З ПДВ)'!AI28/1.2/1.17</f>
        <v>2.1000000000000001E-2</v>
      </c>
      <c r="AJ28" s="197">
        <f>'17% Управителю (З ПДВ)'!AJ28/1.2/1.17</f>
        <v>2.1000000000000001E-2</v>
      </c>
      <c r="AK28" s="197">
        <f>'17% Управителю (З ПДВ)'!AK28/1.2/1.17</f>
        <v>2.4E-2</v>
      </c>
      <c r="AL28" s="197">
        <f>'17% Управителю (З ПДВ)'!AL28/1.2/1.17</f>
        <v>1.4999999999999999E-2</v>
      </c>
      <c r="AM28" s="197">
        <f>'17% Управителю (З ПДВ)'!AM28/1.2/1.17</f>
        <v>2.8000000000000001E-2</v>
      </c>
      <c r="AN28" s="197">
        <f>'17% Управителю (З ПДВ)'!AN28/1.2/1.17</f>
        <v>1.4E-2</v>
      </c>
      <c r="AO28" s="197">
        <f>'17% Управителю (З ПДВ)'!AO28/1.2/1.17</f>
        <v>0.11899999999999999</v>
      </c>
      <c r="AP28" s="197">
        <f>'17% Управителю (З ПДВ)'!AP28/1.2/1.17</f>
        <v>5.6000000000000001E-2</v>
      </c>
      <c r="AQ28" s="197">
        <f>'17% Управителю (З ПДВ)'!AQ28/1.2/1.17</f>
        <v>4.8000000000000001E-2</v>
      </c>
      <c r="AR28" s="197">
        <f>'17% Управителю (З ПДВ)'!AR28/1.2/1.17</f>
        <v>2.4E-2</v>
      </c>
      <c r="AS28" s="197">
        <f>'17% Управителю (З ПДВ)'!AS28/1.2/1.17</f>
        <v>3.3000000000000002E-2</v>
      </c>
      <c r="AT28" s="197">
        <f>'17% Управителю (З ПДВ)'!AT28/1.2/1.17</f>
        <v>3.5999999999999997E-2</v>
      </c>
      <c r="AU28" s="197">
        <f>'17% Управителю (З ПДВ)'!AU28/1.2/1.17</f>
        <v>3.7999999999999999E-2</v>
      </c>
      <c r="AV28" s="197">
        <f>'17% Управителю (З ПДВ)'!AV28/1.2/1.17</f>
        <v>3.4000000000000002E-2</v>
      </c>
      <c r="AW28" s="197">
        <f>'17% Управителю (З ПДВ)'!AW28/1.2/1.17</f>
        <v>2.3E-2</v>
      </c>
      <c r="AX28" s="197">
        <f>'17% Управителю (З ПДВ)'!AX28/1.2/1.17</f>
        <v>2.1999999999999999E-2</v>
      </c>
      <c r="AY28" s="197">
        <f>'17% Управителю (З ПДВ)'!AY28/1.2/1.17</f>
        <v>2.4E-2</v>
      </c>
      <c r="AZ28" s="197">
        <f>'17% Управителю (З ПДВ)'!AZ28/1.2/1.17</f>
        <v>3.4000000000000002E-2</v>
      </c>
      <c r="BA28" s="197">
        <f>'17% Управителю (З ПДВ)'!BA28/1.2/1.17</f>
        <v>3.5999999999999997E-2</v>
      </c>
      <c r="BB28" s="197">
        <f>'17% Управителю (З ПДВ)'!BB28/1.2/1.17</f>
        <v>2.5000000000000001E-2</v>
      </c>
      <c r="BC28" s="197">
        <f>'17% Управителю (З ПДВ)'!BC28/1.2/1.17</f>
        <v>2.4E-2</v>
      </c>
      <c r="BD28" s="197">
        <f>'17% Управителю (З ПДВ)'!BD28/1.2/1.17</f>
        <v>0.20799999999999999</v>
      </c>
      <c r="BE28" s="197">
        <f>'17% Управителю (З ПДВ)'!BE28/1.2/1.17</f>
        <v>4.8000000000000001E-2</v>
      </c>
      <c r="BF28" s="197">
        <f>'17% Управителю (З ПДВ)'!BF28/1.2/1.17</f>
        <v>0.02</v>
      </c>
      <c r="BG28" s="197">
        <f>'17% Управителю (З ПДВ)'!BG28/1.2/1.17</f>
        <v>0.13200000000000001</v>
      </c>
      <c r="BH28" s="197">
        <f>'17% Управителю (З ПДВ)'!BH28/1.2/1.17</f>
        <v>4.8000000000000001E-2</v>
      </c>
      <c r="BI28" s="197">
        <f>'17% Управителю (З ПДВ)'!BI28/1.2/1.17</f>
        <v>0.13200000000000001</v>
      </c>
      <c r="BJ28" s="197">
        <f>'17% Управителю (З ПДВ)'!BJ28/1.2/1.17</f>
        <v>2.5999999999999999E-2</v>
      </c>
      <c r="BK28" s="197">
        <f>'17% Управителю (З ПДВ)'!BK28/1.2/1.17</f>
        <v>1.0999999999999999E-2</v>
      </c>
      <c r="BL28" s="197">
        <f>'17% Управителю (З ПДВ)'!BL28/1.2/1.17</f>
        <v>4.1000000000000002E-2</v>
      </c>
      <c r="BM28" s="197">
        <f>'17% Управителю (З ПДВ)'!BM28/1.2/1.17</f>
        <v>1.9E-2</v>
      </c>
      <c r="BN28" s="197">
        <f>'17% Управителю (З ПДВ)'!BN28/1.2/1.17</f>
        <v>2.1000000000000001E-2</v>
      </c>
      <c r="BO28" s="197">
        <f>'17% Управителю (З ПДВ)'!BO28/1.2/1.17</f>
        <v>6.0000000000000001E-3</v>
      </c>
      <c r="BP28" s="197">
        <f>'17% Управителю (З ПДВ)'!BP28/1.2/1.17</f>
        <v>0.13400000000000001</v>
      </c>
      <c r="BQ28" s="197">
        <f>'17% Управителю (З ПДВ)'!BQ28/1.2/1.17</f>
        <v>0.13700000000000001</v>
      </c>
      <c r="BR28" s="197">
        <f>'17% Управителю (З ПДВ)'!BR28/1.2/1.17</f>
        <v>0.02</v>
      </c>
      <c r="BS28" s="197">
        <f>'17% Управителю (З ПДВ)'!BS28/1.2/1.17</f>
        <v>3.3000000000000002E-2</v>
      </c>
      <c r="BT28" s="197">
        <f>'17% Управителю (З ПДВ)'!BT28/1.2/1.17</f>
        <v>0.12</v>
      </c>
      <c r="BU28" s="197">
        <f>'17% Управителю (З ПДВ)'!BU28/1.2/1.17</f>
        <v>2.5000000000000001E-2</v>
      </c>
      <c r="BV28" s="197">
        <f>'17% Управителю (З ПДВ)'!BV28/1.2/1.17</f>
        <v>4.9000000000000002E-2</v>
      </c>
      <c r="BW28" s="197">
        <f>'17% Управителю (З ПДВ)'!BW28/1.2/1.17</f>
        <v>2.4E-2</v>
      </c>
      <c r="BX28" s="197">
        <f>'17% Управителю (З ПДВ)'!BX28/1.2/1.17</f>
        <v>2.1999999999999999E-2</v>
      </c>
      <c r="BY28" s="197">
        <f>'17% Управителю (З ПДВ)'!BY28/1.2/1.17</f>
        <v>2.1999999999999999E-2</v>
      </c>
      <c r="BZ28" s="197">
        <f>'17% Управителю (З ПДВ)'!BZ28/1.2/1.17</f>
        <v>2.5999999999999999E-2</v>
      </c>
      <c r="CA28" s="197">
        <f>'17% Управителю (З ПДВ)'!CA28/1.2/1.17</f>
        <v>2.5999999999999999E-2</v>
      </c>
      <c r="CB28" s="197">
        <f>'17% Управителю (З ПДВ)'!CB28/1.2/1.17</f>
        <v>4.2999999999999997E-2</v>
      </c>
      <c r="CC28" s="197">
        <f>'17% Управителю (З ПДВ)'!CC28/1.2/1.17</f>
        <v>4.2999999999999997E-2</v>
      </c>
      <c r="CD28" s="197">
        <f>'17% Управителю (З ПДВ)'!CD28/1.2/1.17</f>
        <v>4.1000000000000002E-2</v>
      </c>
      <c r="CE28" s="197">
        <f>'17% Управителю (З ПДВ)'!CE28/1.2/1.17</f>
        <v>0.17299999999999999</v>
      </c>
      <c r="CF28" s="197">
        <f>'17% Управителю (З ПДВ)'!CF28/1.2/1.17</f>
        <v>0.02</v>
      </c>
      <c r="CG28" s="197">
        <f>'17% Управителю (З ПДВ)'!CG28/1.2/1.17</f>
        <v>4.2000000000000003E-2</v>
      </c>
      <c r="CH28" s="197">
        <f>'17% Управителю (З ПДВ)'!CH28/1.2/1.17</f>
        <v>4.2000000000000003E-2</v>
      </c>
      <c r="CI28" s="197">
        <f>'17% Управителю (З ПДВ)'!CI28/1.2/1.17</f>
        <v>6.8000000000000005E-2</v>
      </c>
      <c r="CJ28" s="197">
        <f>'17% Управителю (З ПДВ)'!CJ28/1.2/1.17</f>
        <v>6.8000000000000005E-2</v>
      </c>
      <c r="CK28" s="197">
        <f>'17% Управителю (З ПДВ)'!CK28/1.2/1.17</f>
        <v>4.1000000000000002E-2</v>
      </c>
      <c r="CL28" s="197">
        <f>'17% Управителю (З ПДВ)'!CL28/1.2/1.17</f>
        <v>0.05</v>
      </c>
      <c r="CM28" s="197">
        <f>'17% Управителю (З ПДВ)'!CM28/1.2/1.17</f>
        <v>4.4999999999999998E-2</v>
      </c>
      <c r="CN28" s="197">
        <f>'17% Управителю (З ПДВ)'!CN28/1.2/1.17</f>
        <v>9.5000000000000001E-2</v>
      </c>
      <c r="CO28" s="197">
        <f>'17% Управителю (З ПДВ)'!CO28/1.2/1.17</f>
        <v>0.189</v>
      </c>
      <c r="CP28" s="197">
        <f>'17% Управителю (З ПДВ)'!CP28/1.2/1.17</f>
        <v>0.192</v>
      </c>
      <c r="CQ28" s="197">
        <f>'17% Управителю (З ПДВ)'!CQ28/1.2/1.17</f>
        <v>0.19</v>
      </c>
      <c r="CR28" s="197">
        <f>'17% Управителю (З ПДВ)'!CR28/1.2/1.17</f>
        <v>0.189</v>
      </c>
      <c r="CS28" s="197">
        <f>'17% Управителю (З ПДВ)'!CS28/1.2/1.17</f>
        <v>0.20399999999999999</v>
      </c>
      <c r="CT28" s="198">
        <f>'17% Управителю (З ПДВ)'!CT28/1.2/1.17</f>
        <v>1.7000000000000001E-2</v>
      </c>
      <c r="CU28" s="199"/>
      <c r="CV28" s="199"/>
    </row>
    <row r="29" spans="1:100" s="136" customFormat="1" ht="60.75">
      <c r="A29" s="194" t="s">
        <v>33</v>
      </c>
      <c r="B29" s="200" t="s">
        <v>34</v>
      </c>
      <c r="C29" s="196"/>
      <c r="D29" s="197">
        <f>'17% Управителю (З ПДВ)'!D29/1.2/1.17</f>
        <v>6.4000000000000001E-2</v>
      </c>
      <c r="E29" s="197">
        <f>'17% Управителю (З ПДВ)'!E29/1.2/1.17</f>
        <v>3.1E-2</v>
      </c>
      <c r="F29" s="197">
        <f>'17% Управителю (З ПДВ)'!F29/1.2/1.17</f>
        <v>7.5999999999999998E-2</v>
      </c>
      <c r="G29" s="197">
        <f>'17% Управителю (З ПДВ)'!G29/1.2/1.17</f>
        <v>8.8999999999999996E-2</v>
      </c>
      <c r="H29" s="197">
        <f>'17% Управителю (З ПДВ)'!H29/1.2/1.17</f>
        <v>0.08</v>
      </c>
      <c r="I29" s="197">
        <f>'17% Управителю (З ПДВ)'!I29/1.2/1.17</f>
        <v>9.6000000000000002E-2</v>
      </c>
      <c r="J29" s="197">
        <f>'17% Управителю (З ПДВ)'!J29/1.2/1.17</f>
        <v>0.09</v>
      </c>
      <c r="K29" s="197">
        <f>'17% Управителю (З ПДВ)'!K29/1.2/1.17</f>
        <v>9.6000000000000002E-2</v>
      </c>
      <c r="L29" s="197">
        <f>'17% Управителю (З ПДВ)'!L29/1.2/1.17</f>
        <v>0.121</v>
      </c>
      <c r="M29" s="197">
        <f>'17% Управителю (З ПДВ)'!M29/1.2/1.17</f>
        <v>0.127</v>
      </c>
      <c r="N29" s="197">
        <f>'17% Управителю (З ПДВ)'!N29/1.2/1.17</f>
        <v>0.11799999999999999</v>
      </c>
      <c r="O29" s="197">
        <f>'17% Управителю (З ПДВ)'!O29/1.2/1.17</f>
        <v>6.6000000000000003E-2</v>
      </c>
      <c r="P29" s="197">
        <f>'17% Управителю (З ПДВ)'!P29/1.2/1.17</f>
        <v>7.3999999999999996E-2</v>
      </c>
      <c r="Q29" s="197">
        <f>'17% Управителю (З ПДВ)'!Q29/1.2/1.17</f>
        <v>0.10100000000000001</v>
      </c>
      <c r="R29" s="197">
        <f>'17% Управителю (З ПДВ)'!R29/1.2/1.17</f>
        <v>3.7999999999999999E-2</v>
      </c>
      <c r="S29" s="197">
        <f>'17% Управителю (З ПДВ)'!S29/1.2/1.17</f>
        <v>7.5999999999999998E-2</v>
      </c>
      <c r="T29" s="197">
        <f>'17% Управителю (З ПДВ)'!T29/1.2/1.17</f>
        <v>3.3000000000000002E-2</v>
      </c>
      <c r="U29" s="197">
        <f>'17% Управителю (З ПДВ)'!U29/1.2/1.17</f>
        <v>7.4999999999999997E-2</v>
      </c>
      <c r="V29" s="197">
        <f>'17% Управителю (З ПДВ)'!V29/1.2/1.17</f>
        <v>4.2999999999999997E-2</v>
      </c>
      <c r="W29" s="197">
        <f>'17% Управителю (З ПДВ)'!W29/1.2/1.17</f>
        <v>5.8000000000000003E-2</v>
      </c>
      <c r="X29" s="197">
        <f>'17% Управителю (З ПДВ)'!X29/1.2/1.17</f>
        <v>8.1000000000000003E-2</v>
      </c>
      <c r="Y29" s="197">
        <f>'17% Управителю (З ПДВ)'!Y29/1.2/1.17</f>
        <v>7.8E-2</v>
      </c>
      <c r="Z29" s="197">
        <f>'17% Управителю (З ПДВ)'!Z29/1.2/1.17</f>
        <v>0.109</v>
      </c>
      <c r="AA29" s="197">
        <f>'17% Управителю (З ПДВ)'!AA29/1.2/1.17</f>
        <v>4.1000000000000002E-2</v>
      </c>
      <c r="AB29" s="197">
        <f>'17% Управителю (З ПДВ)'!AB29/1.2/1.17</f>
        <v>3.1E-2</v>
      </c>
      <c r="AC29" s="197">
        <f>'17% Управителю (З ПДВ)'!AC29/1.2/1.17</f>
        <v>8.6999999999999994E-2</v>
      </c>
      <c r="AD29" s="197">
        <f>'17% Управителю (З ПДВ)'!AD29/1.2/1.17</f>
        <v>0</v>
      </c>
      <c r="AE29" s="197">
        <f>'17% Управителю (З ПДВ)'!AE29/1.2/1.17</f>
        <v>0</v>
      </c>
      <c r="AF29" s="197">
        <f>'17% Управителю (З ПДВ)'!AF29/1.2/1.17</f>
        <v>0</v>
      </c>
      <c r="AG29" s="197">
        <f>'17% Управителю (З ПДВ)'!AG29/1.2/1.17</f>
        <v>0</v>
      </c>
      <c r="AH29" s="197">
        <f>'17% Управителю (З ПДВ)'!AH29/1.2/1.17</f>
        <v>6.8000000000000005E-2</v>
      </c>
      <c r="AI29" s="197">
        <f>'17% Управителю (З ПДВ)'!AI29/1.2/1.17</f>
        <v>0.20699999999999999</v>
      </c>
      <c r="AJ29" s="197">
        <f>'17% Управителю (З ПДВ)'!AJ29/1.2/1.17</f>
        <v>0.127</v>
      </c>
      <c r="AK29" s="197">
        <f>'17% Управителю (З ПДВ)'!AK29/1.2/1.17</f>
        <v>0.19900000000000001</v>
      </c>
      <c r="AL29" s="197">
        <f>'17% Управителю (З ПДВ)'!AL29/1.2/1.17</f>
        <v>0.192</v>
      </c>
      <c r="AM29" s="197">
        <f>'17% Управителю (З ПДВ)'!AM29/1.2/1.17</f>
        <v>0</v>
      </c>
      <c r="AN29" s="197">
        <f>'17% Управителю (З ПДВ)'!AN29/1.2/1.17</f>
        <v>0.189</v>
      </c>
      <c r="AO29" s="197">
        <f>'17% Управителю (З ПДВ)'!AO29/1.2/1.17</f>
        <v>0.217</v>
      </c>
      <c r="AP29" s="197">
        <f>'17% Управителю (З ПДВ)'!AP29/1.2/1.17</f>
        <v>0.13</v>
      </c>
      <c r="AQ29" s="197">
        <f>'17% Управителю (З ПДВ)'!AQ29/1.2/1.17</f>
        <v>0</v>
      </c>
      <c r="AR29" s="197">
        <f>'17% Управителю (З ПДВ)'!AR29/1.2/1.17</f>
        <v>0</v>
      </c>
      <c r="AS29" s="197">
        <f>'17% Управителю (З ПДВ)'!AS29/1.2/1.17</f>
        <v>0.246</v>
      </c>
      <c r="AT29" s="197">
        <f>'17% Управителю (З ПДВ)'!AT29/1.2/1.17</f>
        <v>4.8000000000000001E-2</v>
      </c>
      <c r="AU29" s="197">
        <f>'17% Управителю (З ПДВ)'!AU29/1.2/1.17</f>
        <v>4.7E-2</v>
      </c>
      <c r="AV29" s="197">
        <f>'17% Управителю (З ПДВ)'!AV29/1.2/1.17</f>
        <v>5.5E-2</v>
      </c>
      <c r="AW29" s="197">
        <f>'17% Управителю (З ПДВ)'!AW29/1.2/1.17</f>
        <v>4.5999999999999999E-2</v>
      </c>
      <c r="AX29" s="197">
        <f>'17% Управителю (З ПДВ)'!AX29/1.2/1.17</f>
        <v>4.1000000000000002E-2</v>
      </c>
      <c r="AY29" s="197">
        <f>'17% Управителю (З ПДВ)'!AY29/1.2/1.17</f>
        <v>8.3000000000000004E-2</v>
      </c>
      <c r="AZ29" s="197">
        <f>'17% Управителю (З ПДВ)'!AZ29/1.2/1.17</f>
        <v>0.08</v>
      </c>
      <c r="BA29" s="197">
        <f>'17% Управителю (З ПДВ)'!BA29/1.2/1.17</f>
        <v>7.2999999999999995E-2</v>
      </c>
      <c r="BB29" s="197">
        <f>'17% Управителю (З ПДВ)'!BB29/1.2/1.17</f>
        <v>6.0999999999999999E-2</v>
      </c>
      <c r="BC29" s="197">
        <f>'17% Управителю (З ПДВ)'!BC29/1.2/1.17</f>
        <v>2.1999999999999999E-2</v>
      </c>
      <c r="BD29" s="197">
        <f>'17% Управителю (З ПДВ)'!BD29/1.2/1.17</f>
        <v>8.3000000000000004E-2</v>
      </c>
      <c r="BE29" s="197">
        <f>'17% Управителю (З ПДВ)'!BE29/1.2/1.17</f>
        <v>0.1</v>
      </c>
      <c r="BF29" s="197">
        <f>'17% Управителю (З ПДВ)'!BF29/1.2/1.17</f>
        <v>7.0999999999999994E-2</v>
      </c>
      <c r="BG29" s="197">
        <f>'17% Управителю (З ПДВ)'!BG29/1.2/1.17</f>
        <v>0.16500000000000001</v>
      </c>
      <c r="BH29" s="197">
        <f>'17% Управителю (З ПДВ)'!BH29/1.2/1.17</f>
        <v>7.4999999999999997E-2</v>
      </c>
      <c r="BI29" s="197">
        <f>'17% Управителю (З ПДВ)'!BI29/1.2/1.17</f>
        <v>0.16300000000000001</v>
      </c>
      <c r="BJ29" s="197">
        <f>'17% Управителю (З ПДВ)'!BJ29/1.2/1.17</f>
        <v>9.6000000000000002E-2</v>
      </c>
      <c r="BK29" s="197">
        <f>'17% Управителю (З ПДВ)'!BK29/1.2/1.17</f>
        <v>0.14899999999999999</v>
      </c>
      <c r="BL29" s="197">
        <f>'17% Управителю (З ПДВ)'!BL29/1.2/1.17</f>
        <v>8.4000000000000005E-2</v>
      </c>
      <c r="BM29" s="197">
        <f>'17% Управителю (З ПДВ)'!BM29/1.2/1.17</f>
        <v>2.5999999999999999E-2</v>
      </c>
      <c r="BN29" s="197">
        <f>'17% Управителю (З ПДВ)'!BN29/1.2/1.17</f>
        <v>0.13500000000000001</v>
      </c>
      <c r="BO29" s="197">
        <f>'17% Управителю (З ПДВ)'!BO29/1.2/1.17</f>
        <v>6.6000000000000003E-2</v>
      </c>
      <c r="BP29" s="197">
        <f>'17% Управителю (З ПДВ)'!BP29/1.2/1.17</f>
        <v>0.20100000000000001</v>
      </c>
      <c r="BQ29" s="197">
        <f>'17% Управителю (З ПДВ)'!BQ29/1.2/1.17</f>
        <v>0.20399999999999999</v>
      </c>
      <c r="BR29" s="197">
        <f>'17% Управителю (З ПДВ)'!BR29/1.2/1.17</f>
        <v>0.111</v>
      </c>
      <c r="BS29" s="197">
        <f>'17% Управителю (З ПДВ)'!BS29/1.2/1.17</f>
        <v>8.5000000000000006E-2</v>
      </c>
      <c r="BT29" s="197">
        <f>'17% Управителю (З ПДВ)'!BT29/1.2/1.17</f>
        <v>9.2999999999999999E-2</v>
      </c>
      <c r="BU29" s="197">
        <f>'17% Управителю (З ПДВ)'!BU29/1.2/1.17</f>
        <v>7.8E-2</v>
      </c>
      <c r="BV29" s="197">
        <f>'17% Управителю (З ПДВ)'!BV29/1.2/1.17</f>
        <v>7.0999999999999994E-2</v>
      </c>
      <c r="BW29" s="197">
        <f>'17% Управителю (З ПДВ)'!BW29/1.2/1.17</f>
        <v>8.5000000000000006E-2</v>
      </c>
      <c r="BX29" s="197">
        <f>'17% Управителю (З ПДВ)'!BX29/1.2/1.17</f>
        <v>0.04</v>
      </c>
      <c r="BY29" s="197">
        <f>'17% Управителю (З ПДВ)'!BY29/1.2/1.17</f>
        <v>5.6000000000000001E-2</v>
      </c>
      <c r="BZ29" s="197">
        <f>'17% Управителю (З ПДВ)'!BZ29/1.2/1.17</f>
        <v>3.3000000000000002E-2</v>
      </c>
      <c r="CA29" s="197">
        <f>'17% Управителю (З ПДВ)'!CA29/1.2/1.17</f>
        <v>3.9E-2</v>
      </c>
      <c r="CB29" s="197">
        <f>'17% Управителю (З ПДВ)'!CB29/1.2/1.17</f>
        <v>5.2999999999999999E-2</v>
      </c>
      <c r="CC29" s="197">
        <f>'17% Управителю (З ПДВ)'!CC29/1.2/1.17</f>
        <v>8.5999999999999993E-2</v>
      </c>
      <c r="CD29" s="197">
        <f>'17% Управителю (З ПДВ)'!CD29/1.2/1.17</f>
        <v>6.0999999999999999E-2</v>
      </c>
      <c r="CE29" s="197">
        <f>'17% Управителю (З ПДВ)'!CE29/1.2/1.17</f>
        <v>0</v>
      </c>
      <c r="CF29" s="197">
        <f>'17% Управителю (З ПДВ)'!CF29/1.2/1.17</f>
        <v>9.5000000000000001E-2</v>
      </c>
      <c r="CG29" s="197">
        <f>'17% Управителю (З ПДВ)'!CG29/1.2/1.17</f>
        <v>3.7999999999999999E-2</v>
      </c>
      <c r="CH29" s="197">
        <f>'17% Управителю (З ПДВ)'!CH29/1.2/1.17</f>
        <v>0.08</v>
      </c>
      <c r="CI29" s="197">
        <f>'17% Управителю (З ПДВ)'!CI29/1.2/1.17</f>
        <v>0.16900000000000001</v>
      </c>
      <c r="CJ29" s="197">
        <f>'17% Управителю (З ПДВ)'!CJ29/1.2/1.17</f>
        <v>0.17899999999999999</v>
      </c>
      <c r="CK29" s="197">
        <f>'17% Управителю (З ПДВ)'!CK29/1.2/1.17</f>
        <v>0.30299999999999999</v>
      </c>
      <c r="CL29" s="197">
        <f>'17% Управителю (З ПДВ)'!CL29/1.2/1.17</f>
        <v>0.27200000000000002</v>
      </c>
      <c r="CM29" s="197">
        <f>'17% Управителю (З ПДВ)'!CM29/1.2/1.17</f>
        <v>0.25600000000000001</v>
      </c>
      <c r="CN29" s="197">
        <f>'17% Управителю (З ПДВ)'!CN29/1.2/1.17</f>
        <v>0</v>
      </c>
      <c r="CO29" s="197">
        <f>'17% Управителю (З ПДВ)'!CO29/1.2/1.17</f>
        <v>0.03</v>
      </c>
      <c r="CP29" s="197">
        <f>'17% Управителю (З ПДВ)'!CP29/1.2/1.17</f>
        <v>3.1E-2</v>
      </c>
      <c r="CQ29" s="197">
        <f>'17% Управителю (З ПДВ)'!CQ29/1.2/1.17</f>
        <v>0.03</v>
      </c>
      <c r="CR29" s="197">
        <f>'17% Управителю (З ПДВ)'!CR29/1.2/1.17</f>
        <v>0.03</v>
      </c>
      <c r="CS29" s="197">
        <f>'17% Управителю (З ПДВ)'!CS29/1.2/1.17</f>
        <v>0.03</v>
      </c>
      <c r="CT29" s="198">
        <f>'17% Управителю (З ПДВ)'!CT29/1.2/1.17</f>
        <v>2.8000000000000001E-2</v>
      </c>
      <c r="CU29" s="199"/>
    </row>
    <row r="30" spans="1:100" s="136" customFormat="1" ht="21">
      <c r="A30" s="209" t="s">
        <v>35</v>
      </c>
      <c r="B30" s="210" t="s">
        <v>36</v>
      </c>
      <c r="C30" s="210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2"/>
      <c r="CU30" s="199"/>
    </row>
    <row r="31" spans="1:100" s="136" customFormat="1" ht="60.75">
      <c r="A31" s="194" t="s">
        <v>37</v>
      </c>
      <c r="B31" s="200" t="s">
        <v>38</v>
      </c>
      <c r="C31" s="196"/>
      <c r="D31" s="197">
        <f>'17% Управителю (З ПДВ)'!D31/1.2/1.17</f>
        <v>1.0999999999999999E-2</v>
      </c>
      <c r="E31" s="197">
        <f>'17% Управителю (З ПДВ)'!E31/1.2/1.17</f>
        <v>2.9000000000000001E-2</v>
      </c>
      <c r="F31" s="197">
        <f>'17% Управителю (З ПДВ)'!F31/1.2/1.17</f>
        <v>4.5999999999999999E-2</v>
      </c>
      <c r="G31" s="197">
        <f>'17% Управителю (З ПДВ)'!G31/1.2/1.17</f>
        <v>0.05</v>
      </c>
      <c r="H31" s="197">
        <f>'17% Управителю (З ПДВ)'!H31/1.2/1.17</f>
        <v>6.0999999999999999E-2</v>
      </c>
      <c r="I31" s="197">
        <f>'17% Управителю (З ПДВ)'!I31/1.2/1.17</f>
        <v>7.1999999999999995E-2</v>
      </c>
      <c r="J31" s="197">
        <f>'17% Управителю (З ПДВ)'!J31/1.2/1.17</f>
        <v>3.1E-2</v>
      </c>
      <c r="K31" s="197">
        <f>'17% Управителю (З ПДВ)'!K31/1.2/1.17</f>
        <v>2.1000000000000001E-2</v>
      </c>
      <c r="L31" s="197">
        <f>'17% Управителю (З ПДВ)'!L31/1.2/1.17</f>
        <v>7.1999999999999995E-2</v>
      </c>
      <c r="M31" s="197">
        <f>'17% Управителю (З ПДВ)'!M31/1.2/1.17</f>
        <v>5.5E-2</v>
      </c>
      <c r="N31" s="197">
        <f>'17% Управителю (З ПДВ)'!N31/1.2/1.17</f>
        <v>5.5E-2</v>
      </c>
      <c r="O31" s="197">
        <f>'17% Управителю (З ПДВ)'!O31/1.2/1.17</f>
        <v>1.4999999999999999E-2</v>
      </c>
      <c r="P31" s="197">
        <f>'17% Управителю (З ПДВ)'!P31/1.2/1.17</f>
        <v>4.3999999999999997E-2</v>
      </c>
      <c r="Q31" s="197">
        <f>'17% Управителю (З ПДВ)'!Q31/1.2/1.17</f>
        <v>2.1000000000000001E-2</v>
      </c>
      <c r="R31" s="197">
        <f>'17% Управителю (З ПДВ)'!R31/1.2/1.17</f>
        <v>1.2999999999999999E-2</v>
      </c>
      <c r="S31" s="197">
        <f>'17% Управителю (З ПДВ)'!S31/1.2/1.17</f>
        <v>5.5E-2</v>
      </c>
      <c r="T31" s="197">
        <f>'17% Управителю (З ПДВ)'!T31/1.2/1.17</f>
        <v>3.4000000000000002E-2</v>
      </c>
      <c r="U31" s="197">
        <f>'17% Управителю (З ПДВ)'!U31/1.2/1.17</f>
        <v>6.5000000000000002E-2</v>
      </c>
      <c r="V31" s="197">
        <f>'17% Управителю (З ПДВ)'!V31/1.2/1.17</f>
        <v>0.04</v>
      </c>
      <c r="W31" s="197">
        <f>'17% Управителю (З ПДВ)'!W31/1.2/1.17</f>
        <v>4.9000000000000002E-2</v>
      </c>
      <c r="X31" s="197">
        <f>'17% Управителю (З ПДВ)'!X31/1.2/1.17</f>
        <v>5.2999999999999999E-2</v>
      </c>
      <c r="Y31" s="197">
        <f>'17% Управителю (З ПДВ)'!Y31/1.2/1.17</f>
        <v>6.6000000000000003E-2</v>
      </c>
      <c r="Z31" s="197">
        <f>'17% Управителю (З ПДВ)'!Z31/1.2/1.17</f>
        <v>4.3999999999999997E-2</v>
      </c>
      <c r="AA31" s="197">
        <f>'17% Управителю (З ПДВ)'!AA31/1.2/1.17</f>
        <v>4.2000000000000003E-2</v>
      </c>
      <c r="AB31" s="197">
        <f>'17% Управителю (З ПДВ)'!AB31/1.2/1.17</f>
        <v>4.3999999999999997E-2</v>
      </c>
      <c r="AC31" s="197">
        <f>'17% Управителю (З ПДВ)'!AC31/1.2/1.17</f>
        <v>4.2000000000000003E-2</v>
      </c>
      <c r="AD31" s="197">
        <f>'17% Управителю (З ПДВ)'!AD31/1.2/1.17</f>
        <v>2E-3</v>
      </c>
      <c r="AE31" s="197">
        <f>'17% Управителю (З ПДВ)'!AE31/1.2/1.17</f>
        <v>0</v>
      </c>
      <c r="AF31" s="197">
        <f>'17% Управителю (З ПДВ)'!AF31/1.2/1.17</f>
        <v>0</v>
      </c>
      <c r="AG31" s="197">
        <f>'17% Управителю (З ПДВ)'!AG31/1.2/1.17</f>
        <v>0</v>
      </c>
      <c r="AH31" s="197">
        <f>'17% Управителю (З ПДВ)'!AH31/1.2/1.17</f>
        <v>5.8999999999999997E-2</v>
      </c>
      <c r="AI31" s="197">
        <f>'17% Управителю (З ПДВ)'!AI31/1.2/1.17</f>
        <v>5.0999999999999997E-2</v>
      </c>
      <c r="AJ31" s="197">
        <f>'17% Управителю (З ПДВ)'!AJ31/1.2/1.17</f>
        <v>5.0999999999999997E-2</v>
      </c>
      <c r="AK31" s="197">
        <f>'17% Управителю (З ПДВ)'!AK31/1.2/1.17</f>
        <v>1.4E-2</v>
      </c>
      <c r="AL31" s="197">
        <f>'17% Управителю (З ПДВ)'!AL31/1.2/1.17</f>
        <v>1.7000000000000001E-2</v>
      </c>
      <c r="AM31" s="197">
        <f>'17% Управителю (З ПДВ)'!AM31/1.2/1.17</f>
        <v>0</v>
      </c>
      <c r="AN31" s="197">
        <f>'17% Управителю (З ПДВ)'!AN31/1.2/1.17</f>
        <v>3.1E-2</v>
      </c>
      <c r="AO31" s="197">
        <f>'17% Управителю (З ПДВ)'!AO31/1.2/1.17</f>
        <v>1.9E-2</v>
      </c>
      <c r="AP31" s="197">
        <f>'17% Управителю (З ПДВ)'!AP31/1.2/1.17</f>
        <v>4.1000000000000002E-2</v>
      </c>
      <c r="AQ31" s="197">
        <f>'17% Управителю (З ПДВ)'!AQ31/1.2/1.17</f>
        <v>0</v>
      </c>
      <c r="AR31" s="197">
        <f>'17% Управителю (З ПДВ)'!AR31/1.2/1.17</f>
        <v>0</v>
      </c>
      <c r="AS31" s="197">
        <f>'17% Управителю (З ПДВ)'!AS31/1.2/1.17</f>
        <v>7.0000000000000007E-2</v>
      </c>
      <c r="AT31" s="197">
        <f>'17% Управителю (З ПДВ)'!AT31/1.2/1.17</f>
        <v>2.5000000000000001E-2</v>
      </c>
      <c r="AU31" s="197">
        <f>'17% Управителю (З ПДВ)'!AU31/1.2/1.17</f>
        <v>2.7E-2</v>
      </c>
      <c r="AV31" s="197">
        <f>'17% Управителю (З ПДВ)'!AV31/1.2/1.17</f>
        <v>2.3E-2</v>
      </c>
      <c r="AW31" s="197">
        <f>'17% Управителю (З ПДВ)'!AW31/1.2/1.17</f>
        <v>1.0999999999999999E-2</v>
      </c>
      <c r="AX31" s="197">
        <f>'17% Управителю (З ПДВ)'!AX31/1.2/1.17</f>
        <v>1.2999999999999999E-2</v>
      </c>
      <c r="AY31" s="197">
        <f>'17% Управителю (З ПДВ)'!AY31/1.2/1.17</f>
        <v>3.2000000000000001E-2</v>
      </c>
      <c r="AZ31" s="197">
        <f>'17% Управителю (З ПДВ)'!AZ31/1.2/1.17</f>
        <v>5.8999999999999997E-2</v>
      </c>
      <c r="BA31" s="197">
        <f>'17% Управителю (З ПДВ)'!BA31/1.2/1.17</f>
        <v>0.03</v>
      </c>
      <c r="BB31" s="197">
        <f>'17% Управителю (З ПДВ)'!BB31/1.2/1.17</f>
        <v>4.2000000000000003E-2</v>
      </c>
      <c r="BC31" s="197">
        <f>'17% Управителю (З ПДВ)'!BC31/1.2/1.17</f>
        <v>1.9E-2</v>
      </c>
      <c r="BD31" s="197">
        <f>'17% Управителю (З ПДВ)'!BD31/1.2/1.17</f>
        <v>4.8000000000000001E-2</v>
      </c>
      <c r="BE31" s="197">
        <f>'17% Управителю (З ПДВ)'!BE31/1.2/1.17</f>
        <v>4.9000000000000002E-2</v>
      </c>
      <c r="BF31" s="197">
        <f>'17% Управителю (З ПДВ)'!BF31/1.2/1.17</f>
        <v>5.8999999999999997E-2</v>
      </c>
      <c r="BG31" s="197">
        <f>'17% Управителю (З ПДВ)'!BG31/1.2/1.17</f>
        <v>3.2000000000000001E-2</v>
      </c>
      <c r="BH31" s="197">
        <f>'17% Управителю (З ПДВ)'!BH31/1.2/1.17</f>
        <v>1.2999999999999999E-2</v>
      </c>
      <c r="BI31" s="197">
        <f>'17% Управителю (З ПДВ)'!BI31/1.2/1.17</f>
        <v>3.1E-2</v>
      </c>
      <c r="BJ31" s="197">
        <f>'17% Управителю (З ПДВ)'!BJ31/1.2/1.17</f>
        <v>5.6000000000000001E-2</v>
      </c>
      <c r="BK31" s="197">
        <f>'17% Управителю (З ПДВ)'!BK31/1.2/1.17</f>
        <v>2.1000000000000001E-2</v>
      </c>
      <c r="BL31" s="197">
        <f>'17% Управителю (З ПДВ)'!BL31/1.2/1.17</f>
        <v>4.7E-2</v>
      </c>
      <c r="BM31" s="197">
        <f>'17% Управителю (З ПДВ)'!BM31/1.2/1.17</f>
        <v>0.01</v>
      </c>
      <c r="BN31" s="197">
        <f>'17% Управителю (З ПДВ)'!BN31/1.2/1.17</f>
        <v>9.5000000000000001E-2</v>
      </c>
      <c r="BO31" s="197">
        <f>'17% Управителю (З ПДВ)'!BO31/1.2/1.17</f>
        <v>7.8E-2</v>
      </c>
      <c r="BP31" s="197">
        <f>'17% Управителю (З ПДВ)'!BP31/1.2/1.17</f>
        <v>3.1E-2</v>
      </c>
      <c r="BQ31" s="197">
        <f>'17% Управителю (З ПДВ)'!BQ31/1.2/1.17</f>
        <v>2.5999999999999999E-2</v>
      </c>
      <c r="BR31" s="197">
        <f>'17% Управителю (З ПДВ)'!BR31/1.2/1.17</f>
        <v>4.3999999999999997E-2</v>
      </c>
      <c r="BS31" s="197">
        <f>'17% Управителю (З ПДВ)'!BS31/1.2/1.17</f>
        <v>3.5999999999999997E-2</v>
      </c>
      <c r="BT31" s="197">
        <f>'17% Управителю (З ПДВ)'!BT31/1.2/1.17</f>
        <v>0.05</v>
      </c>
      <c r="BU31" s="197">
        <f>'17% Управителю (З ПДВ)'!BU31/1.2/1.17</f>
        <v>5.0999999999999997E-2</v>
      </c>
      <c r="BV31" s="197">
        <f>'17% Управителю (З ПДВ)'!BV31/1.2/1.17</f>
        <v>6.4000000000000001E-2</v>
      </c>
      <c r="BW31" s="197">
        <f>'17% Управителю (З ПДВ)'!BW31/1.2/1.17</f>
        <v>3.2000000000000001E-2</v>
      </c>
      <c r="BX31" s="197">
        <f>'17% Управителю (З ПДВ)'!BX31/1.2/1.17</f>
        <v>2.5000000000000001E-2</v>
      </c>
      <c r="BY31" s="197">
        <f>'17% Управителю (З ПДВ)'!BY31/1.2/1.17</f>
        <v>1.2999999999999999E-2</v>
      </c>
      <c r="BZ31" s="197">
        <f>'17% Управителю (З ПДВ)'!BZ31/1.2/1.17</f>
        <v>3.3000000000000002E-2</v>
      </c>
      <c r="CA31" s="197">
        <f>'17% Управителю (З ПДВ)'!CA31/1.2/1.17</f>
        <v>3.4000000000000002E-2</v>
      </c>
      <c r="CB31" s="197">
        <f>'17% Управителю (З ПДВ)'!CB31/1.2/1.17</f>
        <v>3.5999999999999997E-2</v>
      </c>
      <c r="CC31" s="197">
        <f>'17% Управителю (З ПДВ)'!CC31/1.2/1.17</f>
        <v>3.7999999999999999E-2</v>
      </c>
      <c r="CD31" s="197">
        <f>'17% Управителю (З ПДВ)'!CD31/1.2/1.17</f>
        <v>3.5999999999999997E-2</v>
      </c>
      <c r="CE31" s="197">
        <f>'17% Управителю (З ПДВ)'!CE31/1.2/1.17</f>
        <v>0</v>
      </c>
      <c r="CF31" s="197">
        <f>'17% Управителю (З ПДВ)'!CF31/1.2/1.17</f>
        <v>2.3E-2</v>
      </c>
      <c r="CG31" s="197">
        <f>'17% Управителю (З ПДВ)'!CG31/1.2/1.17</f>
        <v>1.9E-2</v>
      </c>
      <c r="CH31" s="197">
        <f>'17% Управителю (З ПДВ)'!CH31/1.2/1.17</f>
        <v>1.9E-2</v>
      </c>
      <c r="CI31" s="197">
        <f>'17% Управителю (З ПДВ)'!CI31/1.2/1.17</f>
        <v>5.7000000000000002E-2</v>
      </c>
      <c r="CJ31" s="197">
        <f>'17% Управителю (З ПДВ)'!CJ31/1.2/1.17</f>
        <v>4.8000000000000001E-2</v>
      </c>
      <c r="CK31" s="197">
        <f>'17% Управителю (З ПДВ)'!CK31/1.2/1.17</f>
        <v>3.1E-2</v>
      </c>
      <c r="CL31" s="197">
        <f>'17% Управителю (З ПДВ)'!CL31/1.2/1.17</f>
        <v>2.5000000000000001E-2</v>
      </c>
      <c r="CM31" s="197">
        <f>'17% Управителю (З ПДВ)'!CM31/1.2/1.17</f>
        <v>3.2000000000000001E-2</v>
      </c>
      <c r="CN31" s="197">
        <f>'17% Управителю (З ПДВ)'!CN31/1.2/1.17</f>
        <v>0</v>
      </c>
      <c r="CO31" s="197">
        <f>'17% Управителю (З ПДВ)'!CO31/1.2/1.17</f>
        <v>0</v>
      </c>
      <c r="CP31" s="197">
        <f>'17% Управителю (З ПДВ)'!CP31/1.2/1.17</f>
        <v>0</v>
      </c>
      <c r="CQ31" s="197">
        <f>'17% Управителю (З ПДВ)'!CQ31/1.2/1.17</f>
        <v>0</v>
      </c>
      <c r="CR31" s="197">
        <f>'17% Управителю (З ПДВ)'!CR31/1.2/1.17</f>
        <v>0</v>
      </c>
      <c r="CS31" s="197">
        <f>'17% Управителю (З ПДВ)'!CS31/1.2/1.17</f>
        <v>0</v>
      </c>
      <c r="CT31" s="198">
        <f>'17% Управителю (З ПДВ)'!CT31/1.2/1.17</f>
        <v>0</v>
      </c>
      <c r="CU31" s="199"/>
      <c r="CV31" s="199"/>
    </row>
    <row r="32" spans="1:100" s="136" customFormat="1" ht="21">
      <c r="A32" s="201" t="s">
        <v>39</v>
      </c>
      <c r="B32" s="195" t="s">
        <v>40</v>
      </c>
      <c r="C32" s="202"/>
      <c r="D32" s="203">
        <f>'17% Управителю (З ПДВ)'!D32/1.2/1.17</f>
        <v>0.58499999999999996</v>
      </c>
      <c r="E32" s="203">
        <f>'17% Управителю (З ПДВ)'!E32/1.2/1.17</f>
        <v>0.53400000000000003</v>
      </c>
      <c r="F32" s="203">
        <f>'17% Управителю (З ПДВ)'!F32/1.2/1.17</f>
        <v>0.83099999999999996</v>
      </c>
      <c r="G32" s="203">
        <f>'17% Управителю (З ПДВ)'!G32/1.2/1.17</f>
        <v>1.0960000000000001</v>
      </c>
      <c r="H32" s="203">
        <f>'17% Управителю (З ПДВ)'!H32/1.2/1.17</f>
        <v>0.84099999999999997</v>
      </c>
      <c r="I32" s="203">
        <f>'17% Управителю (З ПДВ)'!I32/1.2/1.17</f>
        <v>1.0840000000000001</v>
      </c>
      <c r="J32" s="203">
        <f>'17% Управителю (З ПДВ)'!J32/1.2/1.17</f>
        <v>0.52600000000000002</v>
      </c>
      <c r="K32" s="203">
        <f>'17% Управителю (З ПДВ)'!K32/1.2/1.17</f>
        <v>1.06</v>
      </c>
      <c r="L32" s="203">
        <f>'17% Управителю (З ПДВ)'!L32/1.2/1.17</f>
        <v>0.92900000000000005</v>
      </c>
      <c r="M32" s="203">
        <f>'17% Управителю (З ПДВ)'!M32/1.2/1.17</f>
        <v>0.86499999999999999</v>
      </c>
      <c r="N32" s="203">
        <f>'17% Управителю (З ПДВ)'!N32/1.2/1.17</f>
        <v>0.875</v>
      </c>
      <c r="O32" s="203">
        <f>'17% Управителю (З ПДВ)'!O32/1.2/1.17</f>
        <v>0.64200000000000002</v>
      </c>
      <c r="P32" s="203">
        <f>'17% Управителю (З ПДВ)'!P32/1.2/1.17</f>
        <v>1.071</v>
      </c>
      <c r="Q32" s="203">
        <f>'17% Управителю (З ПДВ)'!Q32/1.2/1.17</f>
        <v>0.57099999999999995</v>
      </c>
      <c r="R32" s="203">
        <f>'17% Управителю (З ПДВ)'!R32/1.2/1.17</f>
        <v>0.58799999999999997</v>
      </c>
      <c r="S32" s="203">
        <f>'17% Управителю (З ПДВ)'!S32/1.2/1.17</f>
        <v>1.004</v>
      </c>
      <c r="T32" s="203">
        <f>'17% Управителю (З ПДВ)'!T32/1.2/1.17</f>
        <v>0.91200000000000003</v>
      </c>
      <c r="U32" s="203">
        <f>'17% Управителю (З ПДВ)'!U32/1.2/1.17</f>
        <v>0.94899999999999995</v>
      </c>
      <c r="V32" s="203">
        <f>'17% Управителю (З ПДВ)'!V32/1.2/1.17</f>
        <v>0.90500000000000003</v>
      </c>
      <c r="W32" s="203">
        <f>'17% Управителю (З ПДВ)'!W32/1.2/1.17</f>
        <v>0.82699999999999996</v>
      </c>
      <c r="X32" s="203">
        <f>'17% Управителю (З ПДВ)'!X32/1.2/1.17</f>
        <v>0.85699999999999998</v>
      </c>
      <c r="Y32" s="203">
        <f>'17% Управителю (З ПДВ)'!Y32/1.2/1.17</f>
        <v>0.754</v>
      </c>
      <c r="Z32" s="203">
        <f>'17% Управителю (З ПДВ)'!Z32/1.2/1.17</f>
        <v>0.6</v>
      </c>
      <c r="AA32" s="203">
        <f>'17% Управителю (З ПДВ)'!AA32/1.2/1.17</f>
        <v>0.65900000000000003</v>
      </c>
      <c r="AB32" s="203">
        <f>'17% Управителю (З ПДВ)'!AB32/1.2/1.17</f>
        <v>0.66200000000000003</v>
      </c>
      <c r="AC32" s="203">
        <f>'17% Управителю (З ПДВ)'!AC32/1.2/1.17</f>
        <v>0.61499999999999999</v>
      </c>
      <c r="AD32" s="203">
        <f>'17% Управителю (З ПДВ)'!AD32/1.2/1.17</f>
        <v>0.41699999999999998</v>
      </c>
      <c r="AE32" s="203">
        <f>'17% Управителю (З ПДВ)'!AE32/1.2/1.17</f>
        <v>0.36899999999999999</v>
      </c>
      <c r="AF32" s="203">
        <f>'17% Управителю (З ПДВ)'!AF32/1.2/1.17</f>
        <v>0.39400000000000002</v>
      </c>
      <c r="AG32" s="203">
        <f>'17% Управителю (З ПДВ)'!AG32/1.2/1.17</f>
        <v>0.371</v>
      </c>
      <c r="AH32" s="203">
        <f>'17% Управителю (З ПДВ)'!AH32/1.2/1.17</f>
        <v>0.66700000000000004</v>
      </c>
      <c r="AI32" s="203">
        <f>'17% Управителю (З ПДВ)'!AI32/1.2/1.17</f>
        <v>0.624</v>
      </c>
      <c r="AJ32" s="203">
        <f>'17% Управителю (З ПДВ)'!AJ32/1.2/1.17</f>
        <v>0.625</v>
      </c>
      <c r="AK32" s="203">
        <f>'17% Управителю (З ПДВ)'!AK32/1.2/1.17</f>
        <v>0.20399999999999999</v>
      </c>
      <c r="AL32" s="203">
        <f>'17% Управителю (З ПДВ)'!AL32/1.2/1.17</f>
        <v>0.60199999999999998</v>
      </c>
      <c r="AM32" s="203">
        <f>'17% Управителю (З ПДВ)'!AM32/1.2/1.17</f>
        <v>0.35699999999999998</v>
      </c>
      <c r="AN32" s="203">
        <f>'17% Управителю (З ПДВ)'!AN32/1.2/1.17</f>
        <v>0.504</v>
      </c>
      <c r="AO32" s="203">
        <f>'17% Управителю (З ПДВ)'!AO32/1.2/1.17</f>
        <v>0.77500000000000002</v>
      </c>
      <c r="AP32" s="203">
        <f>'17% Управителю (З ПДВ)'!AP32/1.2/1.17</f>
        <v>0.88</v>
      </c>
      <c r="AQ32" s="203">
        <f>'17% Управителю (З ПДВ)'!AQ32/1.2/1.17</f>
        <v>0.34699999999999998</v>
      </c>
      <c r="AR32" s="203">
        <f>'17% Управителю (З ПДВ)'!AR32/1.2/1.17</f>
        <v>0.35799999999999998</v>
      </c>
      <c r="AS32" s="203">
        <f>'17% Управителю (З ПДВ)'!AS32/1.2/1.17</f>
        <v>0.61499999999999999</v>
      </c>
      <c r="AT32" s="203">
        <f>'17% Управителю (З ПДВ)'!AT32/1.2/1.17</f>
        <v>0.36699999999999999</v>
      </c>
      <c r="AU32" s="203">
        <f>'17% Управителю (З ПДВ)'!AU32/1.2/1.17</f>
        <v>0.40699999999999997</v>
      </c>
      <c r="AV32" s="203">
        <f>'17% Управителю (З ПДВ)'!AV32/1.2/1.17</f>
        <v>0.39900000000000002</v>
      </c>
      <c r="AW32" s="203">
        <f>'17% Управителю (З ПДВ)'!AW32/1.2/1.17</f>
        <v>0.48899999999999999</v>
      </c>
      <c r="AX32" s="203">
        <f>'17% Управителю (З ПДВ)'!AX32/1.2/1.17</f>
        <v>0.55300000000000005</v>
      </c>
      <c r="AY32" s="203">
        <f>'17% Управителю (З ПДВ)'!AY32/1.2/1.17</f>
        <v>0.498</v>
      </c>
      <c r="AZ32" s="203">
        <f>'17% Управителю (З ПДВ)'!AZ32/1.2/1.17</f>
        <v>0.85099999999999998</v>
      </c>
      <c r="BA32" s="203">
        <f>'17% Управителю (З ПДВ)'!BA32/1.2/1.17</f>
        <v>0.32500000000000001</v>
      </c>
      <c r="BB32" s="203">
        <f>'17% Управителю (З ПДВ)'!BB32/1.2/1.17</f>
        <v>0.60799999999999998</v>
      </c>
      <c r="BC32" s="203">
        <f>'17% Управителю (З ПДВ)'!BC32/1.2/1.17</f>
        <v>0.36</v>
      </c>
      <c r="BD32" s="203">
        <f>'17% Управителю (З ПДВ)'!BD32/1.2/1.17</f>
        <v>0.61499999999999999</v>
      </c>
      <c r="BE32" s="203">
        <f>'17% Управителю (З ПДВ)'!BE32/1.2/1.17</f>
        <v>0.77700000000000002</v>
      </c>
      <c r="BF32" s="203">
        <f>'17% Управителю (З ПДВ)'!BF32/1.2/1.17</f>
        <v>0.81599999999999995</v>
      </c>
      <c r="BG32" s="203">
        <f>'17% Управителю (З ПДВ)'!BG32/1.2/1.17</f>
        <v>0.52600000000000002</v>
      </c>
      <c r="BH32" s="203">
        <f>'17% Управителю (З ПДВ)'!BH32/1.2/1.17</f>
        <v>0.53300000000000003</v>
      </c>
      <c r="BI32" s="203">
        <f>'17% Управителю (З ПДВ)'!BI32/1.2/1.17</f>
        <v>0.55300000000000005</v>
      </c>
      <c r="BJ32" s="203">
        <f>'17% Управителю (З ПДВ)'!BJ32/1.2/1.17</f>
        <v>0.70299999999999996</v>
      </c>
      <c r="BK32" s="203">
        <f>'17% Управителю (З ПДВ)'!BK32/1.2/1.17</f>
        <v>0.48899999999999999</v>
      </c>
      <c r="BL32" s="203">
        <f>'17% Управителю (З ПДВ)'!BL32/1.2/1.17</f>
        <v>0.86099999999999999</v>
      </c>
      <c r="BM32" s="203">
        <f>'17% Управителю (З ПДВ)'!BM32/1.2/1.17</f>
        <v>0.82499999999999996</v>
      </c>
      <c r="BN32" s="203">
        <f>'17% Управителю (З ПДВ)'!BN32/1.2/1.17</f>
        <v>1.113</v>
      </c>
      <c r="BO32" s="203">
        <f>'17% Управителю (З ПДВ)'!BO32/1.2/1.17</f>
        <v>0.70899999999999996</v>
      </c>
      <c r="BP32" s="203">
        <f>'17% Управителю (З ПДВ)'!BP32/1.2/1.17</f>
        <v>0.49399999999999999</v>
      </c>
      <c r="BQ32" s="203">
        <f>'17% Управителю (З ПДВ)'!BQ32/1.2/1.17</f>
        <v>0.46200000000000002</v>
      </c>
      <c r="BR32" s="203">
        <f>'17% Управителю (З ПДВ)'!BR32/1.2/1.17</f>
        <v>0.78600000000000003</v>
      </c>
      <c r="BS32" s="203">
        <f>'17% Управителю (З ПДВ)'!BS32/1.2/1.17</f>
        <v>0.69599999999999995</v>
      </c>
      <c r="BT32" s="203">
        <f>'17% Управителю (З ПДВ)'!BT32/1.2/1.17</f>
        <v>1.008</v>
      </c>
      <c r="BU32" s="203">
        <f>'17% Управителю (З ПДВ)'!BU32/1.2/1.17</f>
        <v>0.7</v>
      </c>
      <c r="BV32" s="203">
        <f>'17% Управителю (З ПДВ)'!BV32/1.2/1.17</f>
        <v>0.91</v>
      </c>
      <c r="BW32" s="203">
        <f>'17% Управителю (З ПДВ)'!BW32/1.2/1.17</f>
        <v>0.48799999999999999</v>
      </c>
      <c r="BX32" s="203">
        <f>'17% Управителю (З ПДВ)'!BX32/1.2/1.17</f>
        <v>0.66</v>
      </c>
      <c r="BY32" s="203">
        <f>'17% Управителю (З ПДВ)'!BY32/1.2/1.17</f>
        <v>0.58599999999999997</v>
      </c>
      <c r="BZ32" s="203">
        <f>'17% Управителю (З ПДВ)'!BZ32/1.2/1.17</f>
        <v>0.64600000000000002</v>
      </c>
      <c r="CA32" s="203">
        <f>'17% Управителю (З ПДВ)'!CA32/1.2/1.17</f>
        <v>0.68300000000000005</v>
      </c>
      <c r="CB32" s="203">
        <f>'17% Управителю (З ПДВ)'!CB32/1.2/1.17</f>
        <v>0.68</v>
      </c>
      <c r="CC32" s="203">
        <f>'17% Управителю (З ПДВ)'!CC32/1.2/1.17</f>
        <v>0.56799999999999995</v>
      </c>
      <c r="CD32" s="203">
        <f>'17% Управителю (З ПДВ)'!CD32/1.2/1.17</f>
        <v>0.58799999999999997</v>
      </c>
      <c r="CE32" s="203">
        <f>'17% Управителю (З ПДВ)'!CE32/1.2/1.17</f>
        <v>0.41799999999999998</v>
      </c>
      <c r="CF32" s="203">
        <f>'17% Управителю (З ПДВ)'!CF32/1.2/1.17</f>
        <v>0.995</v>
      </c>
      <c r="CG32" s="203">
        <f>'17% Управителю (З ПДВ)'!CG32/1.2/1.17</f>
        <v>0.222</v>
      </c>
      <c r="CH32" s="203">
        <f>'17% Управителю (З ПДВ)'!CH32/1.2/1.17</f>
        <v>0.222</v>
      </c>
      <c r="CI32" s="203">
        <f>'17% Управителю (З ПДВ)'!CI32/1.2/1.17</f>
        <v>0.60299999999999998</v>
      </c>
      <c r="CJ32" s="203">
        <f>'17% Управителю (З ПДВ)'!CJ32/1.2/1.17</f>
        <v>0.57799999999999996</v>
      </c>
      <c r="CK32" s="203">
        <f>'17% Управителю (З ПДВ)'!CK32/1.2/1.17</f>
        <v>0.25900000000000001</v>
      </c>
      <c r="CL32" s="203">
        <f>'17% Управителю (З ПДВ)'!CL32/1.2/1.17</f>
        <v>0.54200000000000004</v>
      </c>
      <c r="CM32" s="203">
        <f>'17% Управителю (З ПДВ)'!CM32/1.2/1.17</f>
        <v>6.6000000000000003E-2</v>
      </c>
      <c r="CN32" s="203">
        <f>'17% Управителю (З ПДВ)'!CN32/1.2/1.17</f>
        <v>0.36699999999999999</v>
      </c>
      <c r="CO32" s="203">
        <f>'17% Управителю (З ПДВ)'!CO32/1.2/1.17</f>
        <v>0.35899999999999999</v>
      </c>
      <c r="CP32" s="203">
        <f>'17% Управителю (З ПДВ)'!CP32/1.2/1.17</f>
        <v>0.40699999999999997</v>
      </c>
      <c r="CQ32" s="203">
        <f>'17% Управителю (З ПДВ)'!CQ32/1.2/1.17</f>
        <v>0.41199999999999998</v>
      </c>
      <c r="CR32" s="203">
        <f>'17% Управителю (З ПДВ)'!CR32/1.2/1.17</f>
        <v>0.38500000000000001</v>
      </c>
      <c r="CS32" s="203">
        <f>'17% Управителю (З ПДВ)'!CS32/1.2/1.17</f>
        <v>0.4</v>
      </c>
      <c r="CT32" s="204">
        <f>'17% Управителю (З ПДВ)'!CT32/1.2/1.17</f>
        <v>0.435</v>
      </c>
      <c r="CU32" s="199"/>
    </row>
    <row r="33" spans="1:100" s="136" customFormat="1" ht="21">
      <c r="A33" s="201"/>
      <c r="B33" s="195" t="s">
        <v>41</v>
      </c>
      <c r="C33" s="202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6"/>
      <c r="CU33" s="199"/>
    </row>
    <row r="34" spans="1:100" s="136" customFormat="1" ht="21">
      <c r="A34" s="201"/>
      <c r="B34" s="195" t="s">
        <v>42</v>
      </c>
      <c r="C34" s="202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6"/>
      <c r="CU34" s="199">
        <f t="shared" ref="CU34:CU41" si="0">SUM(D34:CT34)</f>
        <v>0</v>
      </c>
    </row>
    <row r="35" spans="1:100" s="136" customFormat="1" ht="21">
      <c r="A35" s="201"/>
      <c r="B35" s="195" t="s">
        <v>43</v>
      </c>
      <c r="C35" s="202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6"/>
      <c r="CU35" s="199">
        <f t="shared" si="0"/>
        <v>0</v>
      </c>
    </row>
    <row r="36" spans="1:100" s="136" customFormat="1" ht="21">
      <c r="A36" s="201"/>
      <c r="B36" s="195" t="s">
        <v>22</v>
      </c>
      <c r="C36" s="202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6"/>
      <c r="CU36" s="199">
        <f>SUM(D36:CT36)</f>
        <v>0</v>
      </c>
    </row>
    <row r="37" spans="1:100" s="136" customFormat="1" ht="21">
      <c r="A37" s="201"/>
      <c r="B37" s="195" t="s">
        <v>23</v>
      </c>
      <c r="C37" s="202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6"/>
      <c r="CU37" s="199">
        <f t="shared" si="0"/>
        <v>0</v>
      </c>
    </row>
    <row r="38" spans="1:100" s="136" customFormat="1" ht="21">
      <c r="A38" s="201"/>
      <c r="B38" s="195" t="s">
        <v>24</v>
      </c>
      <c r="C38" s="202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6"/>
      <c r="CU38" s="199">
        <f t="shared" si="0"/>
        <v>0</v>
      </c>
    </row>
    <row r="39" spans="1:100" s="136" customFormat="1" ht="21">
      <c r="A39" s="201"/>
      <c r="B39" s="195" t="s">
        <v>25</v>
      </c>
      <c r="C39" s="202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6"/>
      <c r="CU39" s="199">
        <f t="shared" si="0"/>
        <v>0</v>
      </c>
    </row>
    <row r="40" spans="1:100" s="136" customFormat="1" ht="81">
      <c r="A40" s="201"/>
      <c r="B40" s="195" t="s">
        <v>44</v>
      </c>
      <c r="C40" s="202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8"/>
      <c r="CU40" s="199">
        <f t="shared" si="0"/>
        <v>0</v>
      </c>
    </row>
    <row r="41" spans="1:100" s="136" customFormat="1" ht="21">
      <c r="A41" s="209" t="s">
        <v>45</v>
      </c>
      <c r="B41" s="213" t="s">
        <v>46</v>
      </c>
      <c r="C41" s="213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2"/>
      <c r="CU41" s="199">
        <f t="shared" si="0"/>
        <v>0</v>
      </c>
    </row>
    <row r="42" spans="1:100" s="136" customFormat="1" ht="21">
      <c r="A42" s="194" t="s">
        <v>47</v>
      </c>
      <c r="B42" s="195" t="s">
        <v>48</v>
      </c>
      <c r="C42" s="196"/>
      <c r="D42" s="197">
        <f>'17% Управителю (З ПДВ)'!D42/1.2/1.17</f>
        <v>1E-3</v>
      </c>
      <c r="E42" s="197">
        <f>'17% Управителю (З ПДВ)'!E42/1.2/1.17</f>
        <v>1E-3</v>
      </c>
      <c r="F42" s="197">
        <f>'17% Управителю (З ПДВ)'!F42/1.2/1.17</f>
        <v>1E-3</v>
      </c>
      <c r="G42" s="197">
        <f>'17% Управителю (З ПДВ)'!G42/1.2/1.17</f>
        <v>1E-3</v>
      </c>
      <c r="H42" s="197">
        <f>'17% Управителю (З ПДВ)'!H42/1.2/1.17</f>
        <v>1E-3</v>
      </c>
      <c r="I42" s="197">
        <f>'17% Управителю (З ПДВ)'!I42/1.2/1.17</f>
        <v>1E-3</v>
      </c>
      <c r="J42" s="197">
        <f>'17% Управителю (З ПДВ)'!J42/1.2/1.17</f>
        <v>1E-3</v>
      </c>
      <c r="K42" s="197">
        <f>'17% Управителю (З ПДВ)'!K42/1.2/1.17</f>
        <v>1E-3</v>
      </c>
      <c r="L42" s="197">
        <f>'17% Управителю (З ПДВ)'!L42/1.2/1.17</f>
        <v>1E-3</v>
      </c>
      <c r="M42" s="197">
        <f>'17% Управителю (З ПДВ)'!M42/1.2/1.17</f>
        <v>1E-3</v>
      </c>
      <c r="N42" s="197">
        <f>'17% Управителю (З ПДВ)'!N42/1.2/1.17</f>
        <v>1E-3</v>
      </c>
      <c r="O42" s="197">
        <f>'17% Управителю (З ПДВ)'!O42/1.2/1.17</f>
        <v>1E-3</v>
      </c>
      <c r="P42" s="197">
        <f>'17% Управителю (З ПДВ)'!P42/1.2/1.17</f>
        <v>1E-3</v>
      </c>
      <c r="Q42" s="197">
        <f>'17% Управителю (З ПДВ)'!Q42/1.2/1.17</f>
        <v>1E-3</v>
      </c>
      <c r="R42" s="197">
        <f>'17% Управителю (З ПДВ)'!R42/1.2/1.17</f>
        <v>1E-3</v>
      </c>
      <c r="S42" s="197">
        <f>'17% Управителю (З ПДВ)'!S42/1.2/1.17</f>
        <v>1E-3</v>
      </c>
      <c r="T42" s="197">
        <f>'17% Управителю (З ПДВ)'!T42/1.2/1.17</f>
        <v>1E-3</v>
      </c>
      <c r="U42" s="197">
        <f>'17% Управителю (З ПДВ)'!U42/1.2/1.17</f>
        <v>1E-3</v>
      </c>
      <c r="V42" s="197">
        <f>'17% Управителю (З ПДВ)'!V42/1.2/1.17</f>
        <v>1E-3</v>
      </c>
      <c r="W42" s="197">
        <f>'17% Управителю (З ПДВ)'!W42/1.2/1.17</f>
        <v>1E-3</v>
      </c>
      <c r="X42" s="197">
        <f>'17% Управителю (З ПДВ)'!X42/1.2/1.17</f>
        <v>1E-3</v>
      </c>
      <c r="Y42" s="197">
        <f>'17% Управителю (З ПДВ)'!Y42/1.2/1.17</f>
        <v>1E-3</v>
      </c>
      <c r="Z42" s="197">
        <f>'17% Управителю (З ПДВ)'!Z42/1.2/1.17</f>
        <v>1E-3</v>
      </c>
      <c r="AA42" s="197">
        <f>'17% Управителю (З ПДВ)'!AA42/1.2/1.17</f>
        <v>1E-3</v>
      </c>
      <c r="AB42" s="197">
        <f>'17% Управителю (З ПДВ)'!AB42/1.2/1.17</f>
        <v>1E-3</v>
      </c>
      <c r="AC42" s="197">
        <f>'17% Управителю (З ПДВ)'!AC42/1.2/1.17</f>
        <v>1E-3</v>
      </c>
      <c r="AD42" s="197">
        <f>'17% Управителю (З ПДВ)'!AD42/1.2/1.17</f>
        <v>0</v>
      </c>
      <c r="AE42" s="197">
        <f>'17% Управителю (З ПДВ)'!AE42/1.2/1.17</f>
        <v>0</v>
      </c>
      <c r="AF42" s="197">
        <f>'17% Управителю (З ПДВ)'!AF42/1.2/1.17</f>
        <v>0</v>
      </c>
      <c r="AG42" s="197">
        <f>'17% Управителю (З ПДВ)'!AG42/1.2/1.17</f>
        <v>0</v>
      </c>
      <c r="AH42" s="197">
        <f>'17% Управителю (З ПДВ)'!AH42/1.2/1.17</f>
        <v>1E-3</v>
      </c>
      <c r="AI42" s="197">
        <f>'17% Управителю (З ПДВ)'!AI42/1.2/1.17</f>
        <v>1E-3</v>
      </c>
      <c r="AJ42" s="197">
        <f>'17% Управителю (З ПДВ)'!AJ42/1.2/1.17</f>
        <v>1E-3</v>
      </c>
      <c r="AK42" s="197">
        <f>'17% Управителю (З ПДВ)'!AK42/1.2/1.17</f>
        <v>1E-3</v>
      </c>
      <c r="AL42" s="197">
        <f>'17% Управителю (З ПДВ)'!AL42/1.2/1.17</f>
        <v>1E-3</v>
      </c>
      <c r="AM42" s="197">
        <f>'17% Управителю (З ПДВ)'!AM42/1.2/1.17</f>
        <v>0</v>
      </c>
      <c r="AN42" s="197">
        <f>'17% Управителю (З ПДВ)'!AN42/1.2/1.17</f>
        <v>1E-3</v>
      </c>
      <c r="AO42" s="197">
        <f>'17% Управителю (З ПДВ)'!AO42/1.2/1.17</f>
        <v>1E-3</v>
      </c>
      <c r="AP42" s="197">
        <f>'17% Управителю (З ПДВ)'!AP42/1.2/1.17</f>
        <v>2E-3</v>
      </c>
      <c r="AQ42" s="197">
        <f>'17% Управителю (З ПДВ)'!AQ42/1.2/1.17</f>
        <v>0</v>
      </c>
      <c r="AR42" s="197">
        <f>'17% Управителю (З ПДВ)'!AR42/1.2/1.17</f>
        <v>0</v>
      </c>
      <c r="AS42" s="197">
        <f>'17% Управителю (З ПДВ)'!AS42/1.2/1.17</f>
        <v>1E-3</v>
      </c>
      <c r="AT42" s="197">
        <f>'17% Управителю (З ПДВ)'!AT42/1.2/1.17</f>
        <v>1E-3</v>
      </c>
      <c r="AU42" s="197">
        <f>'17% Управителю (З ПДВ)'!AU42/1.2/1.17</f>
        <v>1E-3</v>
      </c>
      <c r="AV42" s="197">
        <f>'17% Управителю (З ПДВ)'!AV42/1.2/1.17</f>
        <v>1E-3</v>
      </c>
      <c r="AW42" s="197">
        <f>'17% Управителю (З ПДВ)'!AW42/1.2/1.17</f>
        <v>1E-3</v>
      </c>
      <c r="AX42" s="197">
        <f>'17% Управителю (З ПДВ)'!AX42/1.2/1.17</f>
        <v>1E-3</v>
      </c>
      <c r="AY42" s="197">
        <f>'17% Управителю (З ПДВ)'!AY42/1.2/1.17</f>
        <v>1E-3</v>
      </c>
      <c r="AZ42" s="197">
        <f>'17% Управителю (З ПДВ)'!AZ42/1.2/1.17</f>
        <v>1E-3</v>
      </c>
      <c r="BA42" s="197">
        <f>'17% Управителю (З ПДВ)'!BA42/1.2/1.17</f>
        <v>1E-3</v>
      </c>
      <c r="BB42" s="197">
        <f>'17% Управителю (З ПДВ)'!BB42/1.2/1.17</f>
        <v>1E-3</v>
      </c>
      <c r="BC42" s="197">
        <f>'17% Управителю (З ПДВ)'!BC42/1.2/1.17</f>
        <v>1E-3</v>
      </c>
      <c r="BD42" s="197">
        <f>'17% Управителю (З ПДВ)'!BD42/1.2/1.17</f>
        <v>1E-3</v>
      </c>
      <c r="BE42" s="197">
        <f>'17% Управителю (З ПДВ)'!BE42/1.2/1.17</f>
        <v>1E-3</v>
      </c>
      <c r="BF42" s="197">
        <f>'17% Управителю (З ПДВ)'!BF42/1.2/1.17</f>
        <v>1E-3</v>
      </c>
      <c r="BG42" s="197">
        <f>'17% Управителю (З ПДВ)'!BG42/1.2/1.17</f>
        <v>2E-3</v>
      </c>
      <c r="BH42" s="197">
        <f>'17% Управителю (З ПДВ)'!BH42/1.2/1.17</f>
        <v>1E-3</v>
      </c>
      <c r="BI42" s="197">
        <f>'17% Управителю (З ПДВ)'!BI42/1.2/1.17</f>
        <v>2E-3</v>
      </c>
      <c r="BJ42" s="197">
        <f>'17% Управителю (З ПДВ)'!BJ42/1.2/1.17</f>
        <v>1E-3</v>
      </c>
      <c r="BK42" s="197">
        <f>'17% Управителю (З ПДВ)'!BK42/1.2/1.17</f>
        <v>1E-3</v>
      </c>
      <c r="BL42" s="197">
        <f>'17% Управителю (З ПДВ)'!BL42/1.2/1.17</f>
        <v>1E-3</v>
      </c>
      <c r="BM42" s="197">
        <f>'17% Управителю (З ПДВ)'!BM42/1.2/1.17</f>
        <v>1E-3</v>
      </c>
      <c r="BN42" s="197">
        <f>'17% Управителю (З ПДВ)'!BN42/1.2/1.17</f>
        <v>1E-3</v>
      </c>
      <c r="BO42" s="197">
        <f>'17% Управителю (З ПДВ)'!BO42/1.2/1.17</f>
        <v>1E-3</v>
      </c>
      <c r="BP42" s="197">
        <f>'17% Управителю (З ПДВ)'!BP42/1.2/1.17</f>
        <v>2E-3</v>
      </c>
      <c r="BQ42" s="197">
        <f>'17% Управителю (З ПДВ)'!BQ42/1.2/1.17</f>
        <v>2E-3</v>
      </c>
      <c r="BR42" s="197">
        <f>'17% Управителю (З ПДВ)'!BR42/1.2/1.17</f>
        <v>1E-3</v>
      </c>
      <c r="BS42" s="197">
        <f>'17% Управителю (З ПДВ)'!BS42/1.2/1.17</f>
        <v>1E-3</v>
      </c>
      <c r="BT42" s="197">
        <f>'17% Управителю (З ПДВ)'!BT42/1.2/1.17</f>
        <v>1E-3</v>
      </c>
      <c r="BU42" s="197">
        <f>'17% Управителю (З ПДВ)'!BU42/1.2/1.17</f>
        <v>1E-3</v>
      </c>
      <c r="BV42" s="197">
        <f>'17% Управителю (З ПДВ)'!BV42/1.2/1.17</f>
        <v>1E-3</v>
      </c>
      <c r="BW42" s="197">
        <f>'17% Управителю (З ПДВ)'!BW42/1.2/1.17</f>
        <v>1E-3</v>
      </c>
      <c r="BX42" s="197">
        <f>'17% Управителю (З ПДВ)'!BX42/1.2/1.17</f>
        <v>1E-3</v>
      </c>
      <c r="BY42" s="197">
        <f>'17% Управителю (З ПДВ)'!BY42/1.2/1.17</f>
        <v>1E-3</v>
      </c>
      <c r="BZ42" s="197">
        <f>'17% Управителю (З ПДВ)'!BZ42/1.2/1.17</f>
        <v>1E-3</v>
      </c>
      <c r="CA42" s="197">
        <f>'17% Управителю (З ПДВ)'!CA42/1.2/1.17</f>
        <v>1E-3</v>
      </c>
      <c r="CB42" s="197">
        <f>'17% Управителю (З ПДВ)'!CB42/1.2/1.17</f>
        <v>1E-3</v>
      </c>
      <c r="CC42" s="197">
        <f>'17% Управителю (З ПДВ)'!CC42/1.2/1.17</f>
        <v>1E-3</v>
      </c>
      <c r="CD42" s="197">
        <f>'17% Управителю (З ПДВ)'!CD42/1.2/1.17</f>
        <v>1E-3</v>
      </c>
      <c r="CE42" s="197">
        <f>'17% Управителю (З ПДВ)'!CE42/1.2/1.17</f>
        <v>0</v>
      </c>
      <c r="CF42" s="197">
        <f>'17% Управителю (З ПДВ)'!CF42/1.2/1.17</f>
        <v>1E-3</v>
      </c>
      <c r="CG42" s="197">
        <f>'17% Управителю (З ПДВ)'!CG42/1.2/1.17</f>
        <v>1E-3</v>
      </c>
      <c r="CH42" s="197">
        <f>'17% Управителю (З ПДВ)'!CH42/1.2/1.17</f>
        <v>1E-3</v>
      </c>
      <c r="CI42" s="197">
        <f>'17% Управителю (З ПДВ)'!CI42/1.2/1.17</f>
        <v>3.0000000000000001E-3</v>
      </c>
      <c r="CJ42" s="197">
        <f>'17% Управителю (З ПДВ)'!CJ42/1.2/1.17</f>
        <v>3.0000000000000001E-3</v>
      </c>
      <c r="CK42" s="197">
        <f>'17% Управителю (З ПДВ)'!CK42/1.2/1.17</f>
        <v>1E-3</v>
      </c>
      <c r="CL42" s="197">
        <f>'17% Управителю (З ПДВ)'!CL42/1.2/1.17</f>
        <v>1E-3</v>
      </c>
      <c r="CM42" s="197">
        <f>'17% Управителю (З ПДВ)'!CM42/1.2/1.17</f>
        <v>1E-3</v>
      </c>
      <c r="CN42" s="197">
        <f>'17% Управителю (З ПДВ)'!CN42/1.2/1.17</f>
        <v>0</v>
      </c>
      <c r="CO42" s="197">
        <f>'17% Управителю (З ПДВ)'!CO42/1.2/1.17</f>
        <v>0</v>
      </c>
      <c r="CP42" s="197">
        <f>'17% Управителю (З ПДВ)'!CP42/1.2/1.17</f>
        <v>0</v>
      </c>
      <c r="CQ42" s="197">
        <f>'17% Управителю (З ПДВ)'!CQ42/1.2/1.17</f>
        <v>0</v>
      </c>
      <c r="CR42" s="197">
        <f>'17% Управителю (З ПДВ)'!CR42/1.2/1.17</f>
        <v>0</v>
      </c>
      <c r="CS42" s="197">
        <f>'17% Управителю (З ПДВ)'!CS42/1.2/1.17</f>
        <v>0</v>
      </c>
      <c r="CT42" s="198">
        <f>'17% Управителю (З ПДВ)'!CT42/1.2/1.17</f>
        <v>0</v>
      </c>
      <c r="CU42" s="199"/>
      <c r="CV42" s="199"/>
    </row>
    <row r="43" spans="1:100" s="136" customFormat="1" ht="40.5">
      <c r="A43" s="194" t="s">
        <v>49</v>
      </c>
      <c r="B43" s="195" t="s">
        <v>50</v>
      </c>
      <c r="C43" s="196"/>
      <c r="D43" s="197">
        <f>'17% Управителю (З ПДВ)'!D43/1.2/1.17</f>
        <v>0.23</v>
      </c>
      <c r="E43" s="197">
        <f>'17% Управителю (З ПДВ)'!E43/1.2/1.17</f>
        <v>0.23699999999999999</v>
      </c>
      <c r="F43" s="197">
        <f>'17% Управителю (З ПДВ)'!F43/1.2/1.17</f>
        <v>0.20100000000000001</v>
      </c>
      <c r="G43" s="197">
        <f>'17% Управителю (З ПДВ)'!G43/1.2/1.17</f>
        <v>0.20399999999999999</v>
      </c>
      <c r="H43" s="197">
        <f>'17% Управителю (З ПДВ)'!H43/1.2/1.17</f>
        <v>0.17799999999999999</v>
      </c>
      <c r="I43" s="197">
        <f>'17% Управителю (З ПДВ)'!I43/1.2/1.17</f>
        <v>0.20799999999999999</v>
      </c>
      <c r="J43" s="197">
        <f>'17% Управителю (З ПДВ)'!J43/1.2/1.17</f>
        <v>0.219</v>
      </c>
      <c r="K43" s="197">
        <f>'17% Управителю (З ПДВ)'!K43/1.2/1.17</f>
        <v>0.20899999999999999</v>
      </c>
      <c r="L43" s="197">
        <f>'17% Управителю (З ПДВ)'!L43/1.2/1.17</f>
        <v>0.18099999999999999</v>
      </c>
      <c r="M43" s="197">
        <f>'17% Управителю (З ПДВ)'!M43/1.2/1.17</f>
        <v>0.18099999999999999</v>
      </c>
      <c r="N43" s="197">
        <f>'17% Управителю (З ПДВ)'!N43/1.2/1.17</f>
        <v>0.187</v>
      </c>
      <c r="O43" s="197">
        <f>'17% Управителю (З ПДВ)'!O43/1.2/1.17</f>
        <v>0.23400000000000001</v>
      </c>
      <c r="P43" s="197">
        <f>'17% Управителю (З ПДВ)'!P43/1.2/1.17</f>
        <v>0.2</v>
      </c>
      <c r="Q43" s="197">
        <f>'17% Управителю (З ПДВ)'!Q43/1.2/1.17</f>
        <v>0.23899999999999999</v>
      </c>
      <c r="R43" s="197">
        <f>'17% Управителю (З ПДВ)'!R43/1.2/1.17</f>
        <v>0.23899999999999999</v>
      </c>
      <c r="S43" s="197">
        <f>'17% Управителю (З ПДВ)'!S43/1.2/1.17</f>
        <v>0.188</v>
      </c>
      <c r="T43" s="197">
        <f>'17% Управителю (З ПДВ)'!T43/1.2/1.17</f>
        <v>0.17699999999999999</v>
      </c>
      <c r="U43" s="197">
        <f>'17% Управителю (З ПДВ)'!U43/1.2/1.17</f>
        <v>0.17399999999999999</v>
      </c>
      <c r="V43" s="197">
        <f>'17% Управителю (З ПДВ)'!V43/1.2/1.17</f>
        <v>0.182</v>
      </c>
      <c r="W43" s="197">
        <f>'17% Управителю (З ПДВ)'!W43/1.2/1.17</f>
        <v>0.20899999999999999</v>
      </c>
      <c r="X43" s="197">
        <f>'17% Управителю (З ПДВ)'!X43/1.2/1.17</f>
        <v>0.20399999999999999</v>
      </c>
      <c r="Y43" s="197">
        <f>'17% Управителю (З ПДВ)'!Y43/1.2/1.17</f>
        <v>0.20100000000000001</v>
      </c>
      <c r="Z43" s="197">
        <f>'17% Управителю (З ПДВ)'!Z43/1.2/1.17</f>
        <v>0.2</v>
      </c>
      <c r="AA43" s="197">
        <f>'17% Управителю (З ПДВ)'!AA43/1.2/1.17</f>
        <v>0.20699999999999999</v>
      </c>
      <c r="AB43" s="197">
        <f>'17% Управителю (З ПДВ)'!AB43/1.2/1.17</f>
        <v>0.215</v>
      </c>
      <c r="AC43" s="197">
        <f>'17% Управителю (З ПДВ)'!AC43/1.2/1.17</f>
        <v>0.20599999999999999</v>
      </c>
      <c r="AD43" s="197">
        <f>'17% Управителю (З ПДВ)'!AD43/1.2/1.17</f>
        <v>0</v>
      </c>
      <c r="AE43" s="197">
        <f>'17% Управителю (З ПДВ)'!AE43/1.2/1.17</f>
        <v>0</v>
      </c>
      <c r="AF43" s="197">
        <f>'17% Управителю (З ПДВ)'!AF43/1.2/1.17</f>
        <v>0</v>
      </c>
      <c r="AG43" s="197">
        <f>'17% Управителю (З ПДВ)'!AG43/1.2/1.17</f>
        <v>0</v>
      </c>
      <c r="AH43" s="197">
        <f>'17% Управителю (З ПДВ)'!AH43/1.2/1.17</f>
        <v>0.25900000000000001</v>
      </c>
      <c r="AI43" s="197">
        <f>'17% Управителю (З ПДВ)'!AI43/1.2/1.17</f>
        <v>0.20399999999999999</v>
      </c>
      <c r="AJ43" s="197">
        <f>'17% Управителю (З ПДВ)'!AJ43/1.2/1.17</f>
        <v>0.21299999999999999</v>
      </c>
      <c r="AK43" s="197">
        <f>'17% Управителю (З ПДВ)'!AK43/1.2/1.17</f>
        <v>0.28299999999999997</v>
      </c>
      <c r="AL43" s="197">
        <f>'17% Управителю (З ПДВ)'!AL43/1.2/1.17</f>
        <v>0.24099999999999999</v>
      </c>
      <c r="AM43" s="197">
        <f>'17% Управителю (З ПДВ)'!AM43/1.2/1.17</f>
        <v>0</v>
      </c>
      <c r="AN43" s="197">
        <f>'17% Управителю (З ПДВ)'!AN43/1.2/1.17</f>
        <v>0.16</v>
      </c>
      <c r="AO43" s="197">
        <f>'17% Управителю (З ПДВ)'!AO43/1.2/1.17</f>
        <v>0.187</v>
      </c>
      <c r="AP43" s="197">
        <f>'17% Управителю (З ПДВ)'!AP43/1.2/1.17</f>
        <v>0.155</v>
      </c>
      <c r="AQ43" s="197">
        <f>'17% Управителю (З ПДВ)'!AQ43/1.2/1.17</f>
        <v>0</v>
      </c>
      <c r="AR43" s="197">
        <f>'17% Управителю (З ПДВ)'!AR43/1.2/1.17</f>
        <v>0</v>
      </c>
      <c r="AS43" s="197">
        <f>'17% Управителю (З ПДВ)'!AS43/1.2/1.17</f>
        <v>0.14000000000000001</v>
      </c>
      <c r="AT43" s="197">
        <f>'17% Управителю (З ПДВ)'!AT43/1.2/1.17</f>
        <v>0.33800000000000002</v>
      </c>
      <c r="AU43" s="197">
        <f>'17% Управителю (З ПДВ)'!AU43/1.2/1.17</f>
        <v>0.17599999999999999</v>
      </c>
      <c r="AV43" s="197">
        <f>'17% Управителю (З ПДВ)'!AV43/1.2/1.17</f>
        <v>0.3</v>
      </c>
      <c r="AW43" s="197">
        <f>'17% Управителю (З ПДВ)'!AW43/1.2/1.17</f>
        <v>0.23400000000000001</v>
      </c>
      <c r="AX43" s="197">
        <f>'17% Управителю (З ПДВ)'!AX43/1.2/1.17</f>
        <v>0.23799999999999999</v>
      </c>
      <c r="AY43" s="197">
        <f>'17% Управителю (З ПДВ)'!AY43/1.2/1.17</f>
        <v>0.157</v>
      </c>
      <c r="AZ43" s="197">
        <f>'17% Управителю (З ПДВ)'!AZ43/1.2/1.17</f>
        <v>0.2</v>
      </c>
      <c r="BA43" s="197">
        <f>'17% Управителю (З ПДВ)'!BA43/1.2/1.17</f>
        <v>0.20699999999999999</v>
      </c>
      <c r="BB43" s="197">
        <f>'17% Управителю (З ПДВ)'!BB43/1.2/1.17</f>
        <v>6.7000000000000004E-2</v>
      </c>
      <c r="BC43" s="197">
        <f>'17% Управителю (З ПДВ)'!BC43/1.2/1.17</f>
        <v>0.46200000000000002</v>
      </c>
      <c r="BD43" s="197">
        <f>'17% Управителю (З ПДВ)'!BD43/1.2/1.17</f>
        <v>0.19</v>
      </c>
      <c r="BE43" s="197">
        <f>'17% Управителю (З ПДВ)'!BE43/1.2/1.17</f>
        <v>0.214</v>
      </c>
      <c r="BF43" s="197">
        <f>'17% Управителю (З ПДВ)'!BF43/1.2/1.17</f>
        <v>0.183</v>
      </c>
      <c r="BG43" s="197">
        <f>'17% Управителю (З ПДВ)'!BG43/1.2/1.17</f>
        <v>0.28499999999999998</v>
      </c>
      <c r="BH43" s="197">
        <f>'17% Управителю (З ПДВ)'!BH43/1.2/1.17</f>
        <v>0.23100000000000001</v>
      </c>
      <c r="BI43" s="197">
        <f>'17% Управителю (З ПДВ)'!BI43/1.2/1.17</f>
        <v>0.28299999999999997</v>
      </c>
      <c r="BJ43" s="197">
        <f>'17% Управителю (З ПДВ)'!BJ43/1.2/1.17</f>
        <v>0.188</v>
      </c>
      <c r="BK43" s="197">
        <f>'17% Управителю (З ПДВ)'!BK43/1.2/1.17</f>
        <v>0.31</v>
      </c>
      <c r="BL43" s="197">
        <f>'17% Управителю (З ПДВ)'!BL43/1.2/1.17</f>
        <v>0.19700000000000001</v>
      </c>
      <c r="BM43" s="197">
        <f>'17% Управителю (З ПДВ)'!BM43/1.2/1.17</f>
        <v>0.23400000000000001</v>
      </c>
      <c r="BN43" s="197">
        <f>'17% Управителю (З ПДВ)'!BN43/1.2/1.17</f>
        <v>0.16400000000000001</v>
      </c>
      <c r="BO43" s="197">
        <f>'17% Управителю (З ПДВ)'!BO43/1.2/1.17</f>
        <v>0.27400000000000002</v>
      </c>
      <c r="BP43" s="197">
        <f>'17% Управителю (З ПДВ)'!BP43/1.2/1.17</f>
        <v>0.29099999999999998</v>
      </c>
      <c r="BQ43" s="197">
        <f>'17% Управителю (З ПДВ)'!BQ43/1.2/1.17</f>
        <v>0.29599999999999999</v>
      </c>
      <c r="BR43" s="197">
        <f>'17% Управителю (З ПДВ)'!BR43/1.2/1.17</f>
        <v>0.20899999999999999</v>
      </c>
      <c r="BS43" s="197">
        <f>'17% Управителю (З ПДВ)'!BS43/1.2/1.17</f>
        <v>0.17899999999999999</v>
      </c>
      <c r="BT43" s="197">
        <f>'17% Управителю (З ПДВ)'!BT43/1.2/1.17</f>
        <v>0.20100000000000001</v>
      </c>
      <c r="BU43" s="197">
        <f>'17% Управителю (З ПДВ)'!BU43/1.2/1.17</f>
        <v>0.14199999999999999</v>
      </c>
      <c r="BV43" s="197">
        <f>'17% Управителю (З ПДВ)'!BV43/1.2/1.17</f>
        <v>0.17</v>
      </c>
      <c r="BW43" s="197">
        <f>'17% Управителю (З ПДВ)'!BW43/1.2/1.17</f>
        <v>0.20399999999999999</v>
      </c>
      <c r="BX43" s="197">
        <f>'17% Управителю (З ПДВ)'!BX43/1.2/1.17</f>
        <v>0.24399999999999999</v>
      </c>
      <c r="BY43" s="197">
        <f>'17% Управителю (З ПДВ)'!BY43/1.2/1.17</f>
        <v>0.23799999999999999</v>
      </c>
      <c r="BZ43" s="197">
        <f>'17% Управителю (З ПДВ)'!BZ43/1.2/1.17</f>
        <v>0.219</v>
      </c>
      <c r="CA43" s="197">
        <f>'17% Управителю (З ПДВ)'!CA43/1.2/1.17</f>
        <v>0.20599999999999999</v>
      </c>
      <c r="CB43" s="197">
        <f>'17% Управителю (З ПДВ)'!CB43/1.2/1.17</f>
        <v>0.187</v>
      </c>
      <c r="CC43" s="197">
        <f>'17% Управителю (З ПДВ)'!CC43/1.2/1.17</f>
        <v>0.189</v>
      </c>
      <c r="CD43" s="197">
        <f>'17% Управителю (З ПДВ)'!CD43/1.2/1.17</f>
        <v>0.188</v>
      </c>
      <c r="CE43" s="197">
        <f>'17% Управителю (З ПДВ)'!CE43/1.2/1.17</f>
        <v>0</v>
      </c>
      <c r="CF43" s="197">
        <f>'17% Управителю (З ПДВ)'!CF43/1.2/1.17</f>
        <v>0.20899999999999999</v>
      </c>
      <c r="CG43" s="197">
        <f>'17% Управителю (З ПДВ)'!CG43/1.2/1.17</f>
        <v>0.214</v>
      </c>
      <c r="CH43" s="197">
        <f>'17% Управителю (З ПДВ)'!CH43/1.2/1.17</f>
        <v>0.21299999999999999</v>
      </c>
      <c r="CI43" s="197">
        <f>'17% Управителю (З ПДВ)'!CI43/1.2/1.17</f>
        <v>0.29199999999999998</v>
      </c>
      <c r="CJ43" s="197">
        <f>'17% Управителю (З ПДВ)'!CJ43/1.2/1.17</f>
        <v>0.30099999999999999</v>
      </c>
      <c r="CK43" s="197">
        <f>'17% Управителю (З ПДВ)'!CK43/1.2/1.17</f>
        <v>0.30299999999999999</v>
      </c>
      <c r="CL43" s="197">
        <f>'17% Управителю (З ПДВ)'!CL43/1.2/1.17</f>
        <v>0.312</v>
      </c>
      <c r="CM43" s="197">
        <f>'17% Управителю (З ПДВ)'!CM43/1.2/1.17</f>
        <v>0.188</v>
      </c>
      <c r="CN43" s="197">
        <f>'17% Управителю (З ПДВ)'!CN43/1.2/1.17</f>
        <v>0</v>
      </c>
      <c r="CO43" s="197">
        <f>'17% Управителю (З ПДВ)'!CO43/1.2/1.17</f>
        <v>0.97799999999999998</v>
      </c>
      <c r="CP43" s="197">
        <f>'17% Управителю (З ПДВ)'!CP43/1.2/1.17</f>
        <v>0.97799999999999998</v>
      </c>
      <c r="CQ43" s="197">
        <f>'17% Управителю (З ПДВ)'!CQ43/1.2/1.17</f>
        <v>0.97799999999999998</v>
      </c>
      <c r="CR43" s="197">
        <f>'17% Управителю (З ПДВ)'!CR43/1.2/1.17</f>
        <v>0.97799999999999998</v>
      </c>
      <c r="CS43" s="197">
        <f>'17% Управителю (З ПДВ)'!CS43/1.2/1.17</f>
        <v>0.97799999999999998</v>
      </c>
      <c r="CT43" s="198">
        <f>'17% Управителю (З ПДВ)'!CT43/1.2/1.17</f>
        <v>0.97799999999999998</v>
      </c>
      <c r="CU43" s="199"/>
      <c r="CV43" s="199"/>
    </row>
    <row r="44" spans="1:100" s="136" customFormat="1" ht="21">
      <c r="A44" s="194" t="s">
        <v>51</v>
      </c>
      <c r="B44" s="195" t="s">
        <v>52</v>
      </c>
      <c r="C44" s="196"/>
      <c r="D44" s="197">
        <f>'17% Управителю (З ПДВ)'!D44/1.2/1.17</f>
        <v>0</v>
      </c>
      <c r="E44" s="197">
        <f>'17% Управителю (З ПДВ)'!E44/1.2/1.17</f>
        <v>0.22900000000000001</v>
      </c>
      <c r="F44" s="197">
        <f>'17% Управителю (З ПДВ)'!F44/1.2/1.17</f>
        <v>0</v>
      </c>
      <c r="G44" s="197">
        <f>'17% Управителю (З ПДВ)'!G44/1.2/1.17</f>
        <v>0</v>
      </c>
      <c r="H44" s="197">
        <f>'17% Управителю (З ПДВ)'!H44/1.2/1.17</f>
        <v>0</v>
      </c>
      <c r="I44" s="197">
        <f>'17% Управителю (З ПДВ)'!I44/1.2/1.17</f>
        <v>0</v>
      </c>
      <c r="J44" s="197">
        <f>'17% Управителю (З ПДВ)'!J44/1.2/1.17</f>
        <v>0</v>
      </c>
      <c r="K44" s="197">
        <f>'17% Управителю (З ПДВ)'!K44/1.2/1.17</f>
        <v>0</v>
      </c>
      <c r="L44" s="197">
        <f>'17% Управителю (З ПДВ)'!L44/1.2/1.17</f>
        <v>0</v>
      </c>
      <c r="M44" s="197">
        <f>'17% Управителю (З ПДВ)'!M44/1.2/1.17</f>
        <v>0</v>
      </c>
      <c r="N44" s="197">
        <f>'17% Управителю (З ПДВ)'!N44/1.2/1.17</f>
        <v>0</v>
      </c>
      <c r="O44" s="197">
        <f>'17% Управителю (З ПДВ)'!O44/1.2/1.17</f>
        <v>0</v>
      </c>
      <c r="P44" s="197">
        <f>'17% Управителю (З ПДВ)'!P44/1.2/1.17</f>
        <v>0</v>
      </c>
      <c r="Q44" s="197">
        <f>'17% Управителю (З ПДВ)'!Q44/1.2/1.17</f>
        <v>0</v>
      </c>
      <c r="R44" s="197">
        <f>'17% Управителю (З ПДВ)'!R44/1.2/1.17</f>
        <v>0.23200000000000001</v>
      </c>
      <c r="S44" s="197">
        <f>'17% Управителю (З ПДВ)'!S44/1.2/1.17</f>
        <v>0</v>
      </c>
      <c r="T44" s="197">
        <f>'17% Управителю (З ПДВ)'!T44/1.2/1.17</f>
        <v>0.17199999999999999</v>
      </c>
      <c r="U44" s="197">
        <f>'17% Управителю (З ПДВ)'!U44/1.2/1.17</f>
        <v>0</v>
      </c>
      <c r="V44" s="197">
        <f>'17% Управителю (З ПДВ)'!V44/1.2/1.17</f>
        <v>0.20100000000000001</v>
      </c>
      <c r="W44" s="197">
        <f>'17% Управителю (З ПДВ)'!W44/1.2/1.17</f>
        <v>0.23100000000000001</v>
      </c>
      <c r="X44" s="197">
        <f>'17% Управителю (З ПДВ)'!X44/1.2/1.17</f>
        <v>0.22500000000000001</v>
      </c>
      <c r="Y44" s="197">
        <f>'17% Управителю (З ПДВ)'!Y44/1.2/1.17</f>
        <v>0.222</v>
      </c>
      <c r="Z44" s="197">
        <f>'17% Управителю (З ПДВ)'!Z44/1.2/1.17</f>
        <v>0.218</v>
      </c>
      <c r="AA44" s="197">
        <f>'17% Управителю (З ПДВ)'!AA44/1.2/1.17</f>
        <v>0.224</v>
      </c>
      <c r="AB44" s="197">
        <f>'17% Управителю (З ПДВ)'!AB44/1.2/1.17</f>
        <v>0.33100000000000002</v>
      </c>
      <c r="AC44" s="197">
        <f>'17% Управителю (З ПДВ)'!AC44/1.2/1.17</f>
        <v>0.312</v>
      </c>
      <c r="AD44" s="197">
        <f>'17% Управителю (З ПДВ)'!AD44/1.2/1.17</f>
        <v>0</v>
      </c>
      <c r="AE44" s="197">
        <f>'17% Управителю (З ПДВ)'!AE44/1.2/1.17</f>
        <v>0</v>
      </c>
      <c r="AF44" s="197">
        <f>'17% Управителю (З ПДВ)'!AF44/1.2/1.17</f>
        <v>0</v>
      </c>
      <c r="AG44" s="197">
        <f>'17% Управителю (З ПДВ)'!AG44/1.2/1.17</f>
        <v>0</v>
      </c>
      <c r="AH44" s="197">
        <f>'17% Управителю (З ПДВ)'!AH44/1.2/1.17</f>
        <v>0</v>
      </c>
      <c r="AI44" s="197">
        <f>'17% Управителю (З ПДВ)'!AI44/1.2/1.17</f>
        <v>0</v>
      </c>
      <c r="AJ44" s="197">
        <f>'17% Управителю (З ПДВ)'!AJ44/1.2/1.17</f>
        <v>0</v>
      </c>
      <c r="AK44" s="197">
        <f>'17% Управителю (З ПДВ)'!AK44/1.2/1.17</f>
        <v>0.27100000000000002</v>
      </c>
      <c r="AL44" s="197">
        <f>'17% Управителю (З ПДВ)'!AL44/1.2/1.17</f>
        <v>0</v>
      </c>
      <c r="AM44" s="197">
        <f>'17% Управителю (З ПДВ)'!AM44/1.2/1.17</f>
        <v>0</v>
      </c>
      <c r="AN44" s="197">
        <f>'17% Управителю (З ПДВ)'!AN44/1.2/1.17</f>
        <v>0</v>
      </c>
      <c r="AO44" s="197">
        <f>'17% Управителю (З ПДВ)'!AO44/1.2/1.17</f>
        <v>0</v>
      </c>
      <c r="AP44" s="197">
        <f>'17% Управителю (З ПДВ)'!AP44/1.2/1.17</f>
        <v>0</v>
      </c>
      <c r="AQ44" s="197">
        <f>'17% Управителю (З ПДВ)'!AQ44/1.2/1.17</f>
        <v>0</v>
      </c>
      <c r="AR44" s="197">
        <f>'17% Управителю (З ПДВ)'!AR44/1.2/1.17</f>
        <v>0</v>
      </c>
      <c r="AS44" s="197">
        <f>'17% Управителю (З ПДВ)'!AS44/1.2/1.17</f>
        <v>0</v>
      </c>
      <c r="AT44" s="197">
        <f>'17% Управителю (З ПДВ)'!AT44/1.2/1.17</f>
        <v>0.33</v>
      </c>
      <c r="AU44" s="197">
        <f>'17% Управителю (З ПДВ)'!AU44/1.2/1.17</f>
        <v>0.29799999999999999</v>
      </c>
      <c r="AV44" s="197">
        <f>'17% Управителю (З ПДВ)'!AV44/1.2/1.17</f>
        <v>0.32300000000000001</v>
      </c>
      <c r="AW44" s="197">
        <f>'17% Управителю (З ПДВ)'!AW44/1.2/1.17</f>
        <v>0.22600000000000001</v>
      </c>
      <c r="AX44" s="197">
        <f>'17% Управителю (З ПДВ)'!AX44/1.2/1.17</f>
        <v>0.23100000000000001</v>
      </c>
      <c r="AY44" s="197">
        <f>'17% Управителю (З ПДВ)'!AY44/1.2/1.17</f>
        <v>0</v>
      </c>
      <c r="AZ44" s="197">
        <f>'17% Управителю (З ПДВ)'!AZ44/1.2/1.17</f>
        <v>0</v>
      </c>
      <c r="BA44" s="197">
        <f>'17% Управителю (З ПДВ)'!BA44/1.2/1.17</f>
        <v>0</v>
      </c>
      <c r="BB44" s="197">
        <f>'17% Управителю (З ПДВ)'!BB44/1.2/1.17</f>
        <v>0.182</v>
      </c>
      <c r="BC44" s="197">
        <f>'17% Управителю (З ПДВ)'!BC44/1.2/1.17</f>
        <v>0.41899999999999998</v>
      </c>
      <c r="BD44" s="197">
        <f>'17% Управителю (З ПДВ)'!BD44/1.2/1.17</f>
        <v>0</v>
      </c>
      <c r="BE44" s="197">
        <f>'17% Управителю (З ПДВ)'!BE44/1.2/1.17</f>
        <v>0</v>
      </c>
      <c r="BF44" s="197">
        <f>'17% Управителю (З ПДВ)'!BF44/1.2/1.17</f>
        <v>0</v>
      </c>
      <c r="BG44" s="197">
        <f>'17% Управителю (З ПДВ)'!BG44/1.2/1.17</f>
        <v>0</v>
      </c>
      <c r="BH44" s="197">
        <f>'17% Управителю (З ПДВ)'!BH44/1.2/1.17</f>
        <v>0</v>
      </c>
      <c r="BI44" s="197">
        <f>'17% Управителю (З ПДВ)'!BI44/1.2/1.17</f>
        <v>0</v>
      </c>
      <c r="BJ44" s="197">
        <f>'17% Управителю (З ПДВ)'!BJ44/1.2/1.17</f>
        <v>0</v>
      </c>
      <c r="BK44" s="197">
        <f>'17% Управителю (З ПДВ)'!BK44/1.2/1.17</f>
        <v>0</v>
      </c>
      <c r="BL44" s="197">
        <f>'17% Управителю (З ПДВ)'!BL44/1.2/1.17</f>
        <v>0</v>
      </c>
      <c r="BM44" s="197">
        <f>'17% Управителю (З ПДВ)'!BM44/1.2/1.17</f>
        <v>0.22500000000000001</v>
      </c>
      <c r="BN44" s="197">
        <f>'17% Управителю (З ПДВ)'!BN44/1.2/1.17</f>
        <v>0</v>
      </c>
      <c r="BO44" s="197">
        <f>'17% Управителю (З ПДВ)'!BO44/1.2/1.17</f>
        <v>0</v>
      </c>
      <c r="BP44" s="197">
        <f>'17% Управителю (З ПДВ)'!BP44/1.2/1.17</f>
        <v>0</v>
      </c>
      <c r="BQ44" s="197">
        <f>'17% Управителю (З ПДВ)'!BQ44/1.2/1.17</f>
        <v>0</v>
      </c>
      <c r="BR44" s="197">
        <f>'17% Управителю (З ПДВ)'!BR44/1.2/1.17</f>
        <v>0</v>
      </c>
      <c r="BS44" s="197">
        <f>'17% Управителю (З ПДВ)'!BS44/1.2/1.17</f>
        <v>0</v>
      </c>
      <c r="BT44" s="197">
        <f>'17% Управителю (З ПДВ)'!BT44/1.2/1.17</f>
        <v>0</v>
      </c>
      <c r="BU44" s="197">
        <f>'17% Управителю (З ПДВ)'!BU44/1.2/1.17</f>
        <v>0</v>
      </c>
      <c r="BV44" s="197">
        <f>'17% Управителю (З ПДВ)'!BV44/1.2/1.17</f>
        <v>0</v>
      </c>
      <c r="BW44" s="197">
        <f>'17% Управителю (З ПДВ)'!BW44/1.2/1.17</f>
        <v>0</v>
      </c>
      <c r="BX44" s="197">
        <f>'17% Управителю (З ПДВ)'!BX44/1.2/1.17</f>
        <v>0.23200000000000001</v>
      </c>
      <c r="BY44" s="197">
        <f>'17% Управителю (З ПДВ)'!BY44/1.2/1.17</f>
        <v>0.23100000000000001</v>
      </c>
      <c r="BZ44" s="197">
        <f>'17% Управителю (З ПДВ)'!BZ44/1.2/1.17</f>
        <v>0.35399999999999998</v>
      </c>
      <c r="CA44" s="197">
        <f>'17% Управителю (З ПДВ)'!CA44/1.2/1.17</f>
        <v>0.22600000000000001</v>
      </c>
      <c r="CB44" s="197">
        <f>'17% Управителю (З ПДВ)'!CB44/1.2/1.17</f>
        <v>0.19500000000000001</v>
      </c>
      <c r="CC44" s="197">
        <f>'17% Управителю (З ПДВ)'!CC44/1.2/1.17</f>
        <v>0.20799999999999999</v>
      </c>
      <c r="CD44" s="197">
        <f>'17% Управителю (З ПДВ)'!CD44/1.2/1.17</f>
        <v>0.20799999999999999</v>
      </c>
      <c r="CE44" s="197">
        <f>'17% Управителю (З ПДВ)'!CE44/1.2/1.17</f>
        <v>0</v>
      </c>
      <c r="CF44" s="197">
        <f>'17% Управителю (З ПДВ)'!CF44/1.2/1.17</f>
        <v>0</v>
      </c>
      <c r="CG44" s="197">
        <f>'17% Управителю (З ПДВ)'!CG44/1.2/1.17</f>
        <v>0.20699999999999999</v>
      </c>
      <c r="CH44" s="197">
        <f>'17% Управителю (З ПДВ)'!CH44/1.2/1.17</f>
        <v>0.20699999999999999</v>
      </c>
      <c r="CI44" s="197">
        <f>'17% Управителю (З ПДВ)'!CI44/1.2/1.17</f>
        <v>0</v>
      </c>
      <c r="CJ44" s="197">
        <f>'17% Управителю (З ПДВ)'!CJ44/1.2/1.17</f>
        <v>0</v>
      </c>
      <c r="CK44" s="197">
        <f>'17% Управителю (З ПДВ)'!CK44/1.2/1.17</f>
        <v>0</v>
      </c>
      <c r="CL44" s="197">
        <f>'17% Управителю (З ПДВ)'!CL44/1.2/1.17</f>
        <v>0</v>
      </c>
      <c r="CM44" s="197">
        <f>'17% Управителю (З ПДВ)'!CM44/1.2/1.17</f>
        <v>0</v>
      </c>
      <c r="CN44" s="197">
        <f>'17% Управителю (З ПДВ)'!CN44/1.2/1.17</f>
        <v>0</v>
      </c>
      <c r="CO44" s="197">
        <f>'17% Управителю (З ПДВ)'!CO44/1.2/1.17</f>
        <v>0</v>
      </c>
      <c r="CP44" s="197">
        <f>'17% Управителю (З ПДВ)'!CP44/1.2/1.17</f>
        <v>0</v>
      </c>
      <c r="CQ44" s="197">
        <f>'17% Управителю (З ПДВ)'!CQ44/1.2/1.17</f>
        <v>0</v>
      </c>
      <c r="CR44" s="197">
        <f>'17% Управителю (З ПДВ)'!CR44/1.2/1.17</f>
        <v>0</v>
      </c>
      <c r="CS44" s="197">
        <f>'17% Управителю (З ПДВ)'!CS44/1.2/1.17</f>
        <v>0</v>
      </c>
      <c r="CT44" s="198">
        <f>'17% Управителю (З ПДВ)'!CT44/1.2/1.17</f>
        <v>0</v>
      </c>
      <c r="CU44" s="199"/>
      <c r="CV44" s="199"/>
    </row>
    <row r="45" spans="1:100" s="136" customFormat="1" ht="21">
      <c r="A45" s="209" t="s">
        <v>53</v>
      </c>
      <c r="B45" s="214" t="s">
        <v>54</v>
      </c>
      <c r="C45" s="215"/>
      <c r="D45" s="211">
        <f>SUM(D13:D44)*($D$7-1)</f>
        <v>0.48499999999999999</v>
      </c>
      <c r="E45" s="211">
        <f t="shared" ref="E45:BP45" si="1">SUM(E13:E44)*($D$7-1)</f>
        <v>0.55100000000000005</v>
      </c>
      <c r="F45" s="211">
        <f t="shared" si="1"/>
        <v>0.433</v>
      </c>
      <c r="G45" s="211">
        <f t="shared" si="1"/>
        <v>0.48799999999999999</v>
      </c>
      <c r="H45" s="211">
        <f t="shared" si="1"/>
        <v>0.44800000000000001</v>
      </c>
      <c r="I45" s="211">
        <f t="shared" si="1"/>
        <v>0.48399999999999999</v>
      </c>
      <c r="J45" s="211">
        <f t="shared" si="1"/>
        <v>0.44700000000000001</v>
      </c>
      <c r="K45" s="211">
        <f t="shared" si="1"/>
        <v>0.48599999999999999</v>
      </c>
      <c r="L45" s="211">
        <f t="shared" si="1"/>
        <v>0.47499999999999998</v>
      </c>
      <c r="M45" s="211">
        <f t="shared" si="1"/>
        <v>0.44700000000000001</v>
      </c>
      <c r="N45" s="211">
        <f t="shared" si="1"/>
        <v>0.46800000000000003</v>
      </c>
      <c r="O45" s="211">
        <f t="shared" si="1"/>
        <v>0.48599999999999999</v>
      </c>
      <c r="P45" s="211">
        <f t="shared" si="1"/>
        <v>0.48799999999999999</v>
      </c>
      <c r="Q45" s="211">
        <f t="shared" si="1"/>
        <v>0.48299999999999998</v>
      </c>
      <c r="R45" s="211">
        <f t="shared" si="1"/>
        <v>0.54</v>
      </c>
      <c r="S45" s="211">
        <f t="shared" si="1"/>
        <v>0.48699999999999999</v>
      </c>
      <c r="T45" s="211">
        <f t="shared" si="1"/>
        <v>0.52900000000000003</v>
      </c>
      <c r="U45" s="211">
        <f t="shared" si="1"/>
        <v>0.48899999999999999</v>
      </c>
      <c r="V45" s="211">
        <f t="shared" si="1"/>
        <v>0.52200000000000002</v>
      </c>
      <c r="W45" s="211">
        <f t="shared" si="1"/>
        <v>0.53400000000000003</v>
      </c>
      <c r="X45" s="211">
        <f t="shared" si="1"/>
        <v>0.55600000000000005</v>
      </c>
      <c r="Y45" s="211">
        <f t="shared" si="1"/>
        <v>0.52500000000000002</v>
      </c>
      <c r="Z45" s="211">
        <f t="shared" si="1"/>
        <v>0.51900000000000002</v>
      </c>
      <c r="AA45" s="211">
        <f t="shared" si="1"/>
        <v>0.504</v>
      </c>
      <c r="AB45" s="211">
        <f t="shared" si="1"/>
        <v>0.53500000000000003</v>
      </c>
      <c r="AC45" s="211">
        <f t="shared" si="1"/>
        <v>0.53600000000000003</v>
      </c>
      <c r="AD45" s="211">
        <f t="shared" si="1"/>
        <v>0.19700000000000001</v>
      </c>
      <c r="AE45" s="211">
        <f t="shared" si="1"/>
        <v>0.14899999999999999</v>
      </c>
      <c r="AF45" s="211">
        <f t="shared" si="1"/>
        <v>0.13</v>
      </c>
      <c r="AG45" s="211">
        <f t="shared" si="1"/>
        <v>0.14099999999999999</v>
      </c>
      <c r="AH45" s="211">
        <f t="shared" si="1"/>
        <v>0.42399999999999999</v>
      </c>
      <c r="AI45" s="211">
        <f t="shared" si="1"/>
        <v>0.432</v>
      </c>
      <c r="AJ45" s="211">
        <f t="shared" si="1"/>
        <v>0.41099999999999998</v>
      </c>
      <c r="AK45" s="211">
        <f t="shared" si="1"/>
        <v>0.55000000000000004</v>
      </c>
      <c r="AL45" s="211">
        <f t="shared" si="1"/>
        <v>0.48399999999999999</v>
      </c>
      <c r="AM45" s="211">
        <f t="shared" si="1"/>
        <v>0.151</v>
      </c>
      <c r="AN45" s="211">
        <f t="shared" si="1"/>
        <v>0.47399999999999998</v>
      </c>
      <c r="AO45" s="211">
        <f t="shared" si="1"/>
        <v>0.501</v>
      </c>
      <c r="AP45" s="211">
        <f t="shared" si="1"/>
        <v>0.4</v>
      </c>
      <c r="AQ45" s="211">
        <f t="shared" si="1"/>
        <v>0.125</v>
      </c>
      <c r="AR45" s="211">
        <f t="shared" si="1"/>
        <v>0.14899999999999999</v>
      </c>
      <c r="AS45" s="211">
        <f t="shared" si="1"/>
        <v>0.432</v>
      </c>
      <c r="AT45" s="211">
        <f t="shared" si="1"/>
        <v>0.40100000000000002</v>
      </c>
      <c r="AU45" s="211">
        <f t="shared" si="1"/>
        <v>0.39600000000000002</v>
      </c>
      <c r="AV45" s="211">
        <f t="shared" si="1"/>
        <v>0.40600000000000003</v>
      </c>
      <c r="AW45" s="211">
        <f t="shared" si="1"/>
        <v>0.56899999999999995</v>
      </c>
      <c r="AX45" s="211">
        <f t="shared" si="1"/>
        <v>0.55900000000000005</v>
      </c>
      <c r="AY45" s="211">
        <f t="shared" si="1"/>
        <v>0.42499999999999999</v>
      </c>
      <c r="AZ45" s="211">
        <f t="shared" si="1"/>
        <v>0.45100000000000001</v>
      </c>
      <c r="BA45" s="211">
        <f t="shared" si="1"/>
        <v>0.47399999999999998</v>
      </c>
      <c r="BB45" s="211">
        <f t="shared" si="1"/>
        <v>0.51300000000000001</v>
      </c>
      <c r="BC45" s="211">
        <f t="shared" si="1"/>
        <v>0.56200000000000006</v>
      </c>
      <c r="BD45" s="211">
        <f t="shared" si="1"/>
        <v>0.442</v>
      </c>
      <c r="BE45" s="211">
        <f t="shared" si="1"/>
        <v>0.46200000000000002</v>
      </c>
      <c r="BF45" s="211">
        <f t="shared" si="1"/>
        <v>0.41899999999999998</v>
      </c>
      <c r="BG45" s="211">
        <f t="shared" si="1"/>
        <v>0.46899999999999997</v>
      </c>
      <c r="BH45" s="211">
        <f t="shared" si="1"/>
        <v>0.48</v>
      </c>
      <c r="BI45" s="211">
        <f t="shared" si="1"/>
        <v>0.47599999999999998</v>
      </c>
      <c r="BJ45" s="211">
        <f t="shared" si="1"/>
        <v>0.436</v>
      </c>
      <c r="BK45" s="211">
        <f t="shared" si="1"/>
        <v>0.47799999999999998</v>
      </c>
      <c r="BL45" s="211">
        <f t="shared" si="1"/>
        <v>0.47399999999999998</v>
      </c>
      <c r="BM45" s="211">
        <f t="shared" si="1"/>
        <v>0.54300000000000004</v>
      </c>
      <c r="BN45" s="211">
        <f t="shared" si="1"/>
        <v>0.47299999999999998</v>
      </c>
      <c r="BO45" s="211">
        <f t="shared" si="1"/>
        <v>0.38100000000000001</v>
      </c>
      <c r="BP45" s="211">
        <f t="shared" si="1"/>
        <v>0.47099999999999997</v>
      </c>
      <c r="BQ45" s="211">
        <f t="shared" ref="BQ45:CT45" si="2">SUM(BQ13:BQ44)*($D$7-1)</f>
        <v>0.47199999999999998</v>
      </c>
      <c r="BR45" s="211">
        <f t="shared" si="2"/>
        <v>0.46200000000000002</v>
      </c>
      <c r="BS45" s="211">
        <f t="shared" si="2"/>
        <v>0.41099999999999998</v>
      </c>
      <c r="BT45" s="211">
        <f t="shared" si="2"/>
        <v>0.48</v>
      </c>
      <c r="BU45" s="211">
        <f t="shared" si="2"/>
        <v>0.38500000000000001</v>
      </c>
      <c r="BV45" s="211">
        <f t="shared" si="2"/>
        <v>0.434</v>
      </c>
      <c r="BW45" s="211">
        <f t="shared" si="2"/>
        <v>0.43099999999999999</v>
      </c>
      <c r="BX45" s="211">
        <f t="shared" si="2"/>
        <v>0.52900000000000003</v>
      </c>
      <c r="BY45" s="211">
        <f t="shared" si="2"/>
        <v>0.52600000000000002</v>
      </c>
      <c r="BZ45" s="211">
        <f t="shared" si="2"/>
        <v>0.52500000000000002</v>
      </c>
      <c r="CA45" s="211">
        <f t="shared" si="2"/>
        <v>0.52</v>
      </c>
      <c r="CB45" s="211">
        <f t="shared" si="2"/>
        <v>0.50600000000000001</v>
      </c>
      <c r="CC45" s="211">
        <f t="shared" si="2"/>
        <v>0.55300000000000005</v>
      </c>
      <c r="CD45" s="211">
        <f t="shared" si="2"/>
        <v>0.55300000000000005</v>
      </c>
      <c r="CE45" s="211">
        <f t="shared" si="2"/>
        <v>0.21199999999999999</v>
      </c>
      <c r="CF45" s="211">
        <f t="shared" si="2"/>
        <v>0.48499999999999999</v>
      </c>
      <c r="CG45" s="211">
        <f t="shared" si="2"/>
        <v>0.50800000000000001</v>
      </c>
      <c r="CH45" s="211">
        <f t="shared" si="2"/>
        <v>0.505</v>
      </c>
      <c r="CI45" s="211">
        <f t="shared" si="2"/>
        <v>0.48299999999999998</v>
      </c>
      <c r="CJ45" s="211">
        <f t="shared" si="2"/>
        <v>0.48099999999999998</v>
      </c>
      <c r="CK45" s="211">
        <f t="shared" si="2"/>
        <v>0.47099999999999997</v>
      </c>
      <c r="CL45" s="211">
        <f t="shared" si="2"/>
        <v>0.48799999999999999</v>
      </c>
      <c r="CM45" s="211">
        <f t="shared" si="2"/>
        <v>0.46300000000000002</v>
      </c>
      <c r="CN45" s="211">
        <f t="shared" si="2"/>
        <v>0.15</v>
      </c>
      <c r="CO45" s="211">
        <f t="shared" si="2"/>
        <v>0.34399999999999997</v>
      </c>
      <c r="CP45" s="211">
        <f t="shared" si="2"/>
        <v>0.38800000000000001</v>
      </c>
      <c r="CQ45" s="211">
        <f t="shared" si="2"/>
        <v>0.39100000000000001</v>
      </c>
      <c r="CR45" s="211">
        <f t="shared" si="2"/>
        <v>0.40400000000000003</v>
      </c>
      <c r="CS45" s="211">
        <f t="shared" si="2"/>
        <v>0.36299999999999999</v>
      </c>
      <c r="CT45" s="212">
        <f t="shared" si="2"/>
        <v>0.371</v>
      </c>
      <c r="CU45" s="199"/>
      <c r="CV45" s="199"/>
    </row>
    <row r="46" spans="1:100" s="136" customFormat="1" ht="21">
      <c r="A46" s="209" t="s">
        <v>55</v>
      </c>
      <c r="B46" s="214" t="s">
        <v>56</v>
      </c>
      <c r="C46" s="215"/>
      <c r="D46" s="211">
        <f>SUM(D13:D45)*0.2</f>
        <v>0.66800000000000004</v>
      </c>
      <c r="E46" s="211">
        <f t="shared" ref="E46:BP46" si="3">SUM(E13:E45)*0.2</f>
        <v>0.75900000000000001</v>
      </c>
      <c r="F46" s="211">
        <f t="shared" si="3"/>
        <v>0.59599999999999997</v>
      </c>
      <c r="G46" s="211">
        <f t="shared" si="3"/>
        <v>0.67100000000000004</v>
      </c>
      <c r="H46" s="211">
        <f t="shared" si="3"/>
        <v>0.61599999999999999</v>
      </c>
      <c r="I46" s="211">
        <f t="shared" si="3"/>
        <v>0.66600000000000004</v>
      </c>
      <c r="J46" s="211">
        <f t="shared" si="3"/>
        <v>0.61599999999999999</v>
      </c>
      <c r="K46" s="211">
        <f t="shared" si="3"/>
        <v>0.66800000000000004</v>
      </c>
      <c r="L46" s="211">
        <f t="shared" si="3"/>
        <v>0.65400000000000003</v>
      </c>
      <c r="M46" s="211">
        <f t="shared" si="3"/>
        <v>0.61499999999999999</v>
      </c>
      <c r="N46" s="211">
        <f t="shared" si="3"/>
        <v>0.64400000000000002</v>
      </c>
      <c r="O46" s="211">
        <f t="shared" si="3"/>
        <v>0.66900000000000004</v>
      </c>
      <c r="P46" s="211">
        <f t="shared" si="3"/>
        <v>0.67100000000000004</v>
      </c>
      <c r="Q46" s="211">
        <f t="shared" si="3"/>
        <v>0.66500000000000004</v>
      </c>
      <c r="R46" s="211">
        <f t="shared" si="3"/>
        <v>0.74299999999999999</v>
      </c>
      <c r="S46" s="211">
        <f t="shared" si="3"/>
        <v>0.67</v>
      </c>
      <c r="T46" s="211">
        <f t="shared" si="3"/>
        <v>0.72799999999999998</v>
      </c>
      <c r="U46" s="211">
        <f t="shared" si="3"/>
        <v>0.67300000000000004</v>
      </c>
      <c r="V46" s="211">
        <f t="shared" si="3"/>
        <v>0.71799999999999997</v>
      </c>
      <c r="W46" s="211">
        <f t="shared" si="3"/>
        <v>0.73499999999999999</v>
      </c>
      <c r="X46" s="211">
        <f t="shared" si="3"/>
        <v>0.76600000000000001</v>
      </c>
      <c r="Y46" s="211">
        <f t="shared" si="3"/>
        <v>0.72299999999999998</v>
      </c>
      <c r="Z46" s="211">
        <f t="shared" si="3"/>
        <v>0.71499999999999997</v>
      </c>
      <c r="AA46" s="211">
        <f t="shared" si="3"/>
        <v>0.69299999999999995</v>
      </c>
      <c r="AB46" s="211">
        <f t="shared" si="3"/>
        <v>0.73599999999999999</v>
      </c>
      <c r="AC46" s="211">
        <f t="shared" si="3"/>
        <v>0.73699999999999999</v>
      </c>
      <c r="AD46" s="211">
        <f t="shared" si="3"/>
        <v>0.27100000000000002</v>
      </c>
      <c r="AE46" s="211">
        <f t="shared" si="3"/>
        <v>0.20599999999999999</v>
      </c>
      <c r="AF46" s="211">
        <f t="shared" si="3"/>
        <v>0.17899999999999999</v>
      </c>
      <c r="AG46" s="211">
        <f t="shared" si="3"/>
        <v>0.19400000000000001</v>
      </c>
      <c r="AH46" s="211">
        <f t="shared" si="3"/>
        <v>0.58399999999999996</v>
      </c>
      <c r="AI46" s="211">
        <f t="shared" si="3"/>
        <v>0.59499999999999997</v>
      </c>
      <c r="AJ46" s="211">
        <f t="shared" si="3"/>
        <v>0.56599999999999995</v>
      </c>
      <c r="AK46" s="211">
        <f t="shared" si="3"/>
        <v>0.75700000000000001</v>
      </c>
      <c r="AL46" s="211">
        <f t="shared" si="3"/>
        <v>0.66600000000000004</v>
      </c>
      <c r="AM46" s="211">
        <f t="shared" si="3"/>
        <v>0.20699999999999999</v>
      </c>
      <c r="AN46" s="211">
        <f t="shared" si="3"/>
        <v>0.65200000000000002</v>
      </c>
      <c r="AO46" s="211">
        <f t="shared" si="3"/>
        <v>0.69</v>
      </c>
      <c r="AP46" s="211">
        <f t="shared" si="3"/>
        <v>0.55100000000000005</v>
      </c>
      <c r="AQ46" s="211">
        <f t="shared" si="3"/>
        <v>0.17199999999999999</v>
      </c>
      <c r="AR46" s="211">
        <f t="shared" si="3"/>
        <v>0.20499999999999999</v>
      </c>
      <c r="AS46" s="211">
        <f t="shared" si="3"/>
        <v>0.59499999999999997</v>
      </c>
      <c r="AT46" s="211">
        <f t="shared" si="3"/>
        <v>0.55200000000000005</v>
      </c>
      <c r="AU46" s="211">
        <f t="shared" si="3"/>
        <v>0.54600000000000004</v>
      </c>
      <c r="AV46" s="211">
        <f t="shared" si="3"/>
        <v>0.55800000000000005</v>
      </c>
      <c r="AW46" s="211">
        <f t="shared" si="3"/>
        <v>0.78300000000000003</v>
      </c>
      <c r="AX46" s="211">
        <f t="shared" si="3"/>
        <v>0.77</v>
      </c>
      <c r="AY46" s="211">
        <f t="shared" si="3"/>
        <v>0.58499999999999996</v>
      </c>
      <c r="AZ46" s="211">
        <f t="shared" si="3"/>
        <v>0.621</v>
      </c>
      <c r="BA46" s="211">
        <f t="shared" si="3"/>
        <v>0.65300000000000002</v>
      </c>
      <c r="BB46" s="211">
        <f t="shared" si="3"/>
        <v>0.70599999999999996</v>
      </c>
      <c r="BC46" s="211">
        <f t="shared" si="3"/>
        <v>0.77400000000000002</v>
      </c>
      <c r="BD46" s="211">
        <f t="shared" si="3"/>
        <v>0.60899999999999999</v>
      </c>
      <c r="BE46" s="211">
        <f t="shared" si="3"/>
        <v>0.63500000000000001</v>
      </c>
      <c r="BF46" s="211">
        <f t="shared" si="3"/>
        <v>0.57699999999999996</v>
      </c>
      <c r="BG46" s="211">
        <f t="shared" si="3"/>
        <v>0.64500000000000002</v>
      </c>
      <c r="BH46" s="211">
        <f t="shared" si="3"/>
        <v>0.66100000000000003</v>
      </c>
      <c r="BI46" s="211">
        <f t="shared" si="3"/>
        <v>0.65500000000000003</v>
      </c>
      <c r="BJ46" s="211">
        <f t="shared" si="3"/>
        <v>0.6</v>
      </c>
      <c r="BK46" s="211">
        <f t="shared" si="3"/>
        <v>0.65800000000000003</v>
      </c>
      <c r="BL46" s="211">
        <f t="shared" si="3"/>
        <v>0.65300000000000002</v>
      </c>
      <c r="BM46" s="211">
        <f t="shared" si="3"/>
        <v>0.747</v>
      </c>
      <c r="BN46" s="211">
        <f t="shared" si="3"/>
        <v>0.65200000000000002</v>
      </c>
      <c r="BO46" s="211">
        <f t="shared" si="3"/>
        <v>0.52500000000000002</v>
      </c>
      <c r="BP46" s="211">
        <f t="shared" si="3"/>
        <v>0.64800000000000002</v>
      </c>
      <c r="BQ46" s="211">
        <f t="shared" ref="BQ46:CT46" si="4">SUM(BQ13:BQ45)*0.2</f>
        <v>0.65</v>
      </c>
      <c r="BR46" s="211">
        <f t="shared" si="4"/>
        <v>0.63600000000000001</v>
      </c>
      <c r="BS46" s="211">
        <f t="shared" si="4"/>
        <v>0.56599999999999995</v>
      </c>
      <c r="BT46" s="211">
        <f t="shared" si="4"/>
        <v>0.66100000000000003</v>
      </c>
      <c r="BU46" s="211">
        <f t="shared" si="4"/>
        <v>0.52900000000000003</v>
      </c>
      <c r="BV46" s="211">
        <f t="shared" si="4"/>
        <v>0.59699999999999998</v>
      </c>
      <c r="BW46" s="211">
        <f t="shared" si="4"/>
        <v>0.59399999999999997</v>
      </c>
      <c r="BX46" s="211">
        <f t="shared" si="4"/>
        <v>0.72799999999999998</v>
      </c>
      <c r="BY46" s="211">
        <f t="shared" si="4"/>
        <v>0.72499999999999998</v>
      </c>
      <c r="BZ46" s="211">
        <f t="shared" si="4"/>
        <v>0.72299999999999998</v>
      </c>
      <c r="CA46" s="211">
        <f t="shared" si="4"/>
        <v>0.71599999999999997</v>
      </c>
      <c r="CB46" s="211">
        <f t="shared" si="4"/>
        <v>0.69699999999999995</v>
      </c>
      <c r="CC46" s="211">
        <f t="shared" si="4"/>
        <v>0.76100000000000001</v>
      </c>
      <c r="CD46" s="211">
        <f t="shared" si="4"/>
        <v>0.76100000000000001</v>
      </c>
      <c r="CE46" s="211">
        <f t="shared" si="4"/>
        <v>0.29199999999999998</v>
      </c>
      <c r="CF46" s="211">
        <f t="shared" si="4"/>
        <v>0.66800000000000004</v>
      </c>
      <c r="CG46" s="211">
        <f t="shared" si="4"/>
        <v>0.69899999999999995</v>
      </c>
      <c r="CH46" s="211">
        <f t="shared" si="4"/>
        <v>0.69499999999999995</v>
      </c>
      <c r="CI46" s="211">
        <f t="shared" si="4"/>
        <v>0.66500000000000004</v>
      </c>
      <c r="CJ46" s="211">
        <f t="shared" si="4"/>
        <v>0.66300000000000003</v>
      </c>
      <c r="CK46" s="211">
        <f t="shared" si="4"/>
        <v>0.64800000000000002</v>
      </c>
      <c r="CL46" s="211">
        <f t="shared" si="4"/>
        <v>0.67200000000000004</v>
      </c>
      <c r="CM46" s="211">
        <f t="shared" si="4"/>
        <v>0.63700000000000001</v>
      </c>
      <c r="CN46" s="211">
        <f t="shared" si="4"/>
        <v>0.20699999999999999</v>
      </c>
      <c r="CO46" s="211">
        <f t="shared" si="4"/>
        <v>0.47399999999999998</v>
      </c>
      <c r="CP46" s="211">
        <f t="shared" si="4"/>
        <v>0.53400000000000003</v>
      </c>
      <c r="CQ46" s="211">
        <f t="shared" si="4"/>
        <v>0.53800000000000003</v>
      </c>
      <c r="CR46" s="211">
        <f t="shared" si="4"/>
        <v>0.55700000000000005</v>
      </c>
      <c r="CS46" s="211">
        <f t="shared" si="4"/>
        <v>0.499</v>
      </c>
      <c r="CT46" s="212">
        <f t="shared" si="4"/>
        <v>0.51100000000000001</v>
      </c>
      <c r="CU46" s="199"/>
      <c r="CV46" s="216"/>
    </row>
    <row r="47" spans="1:100" s="222" customFormat="1" ht="21.75" thickBot="1">
      <c r="A47" s="217" t="s">
        <v>57</v>
      </c>
      <c r="B47" s="218" t="s">
        <v>249</v>
      </c>
      <c r="C47" s="219"/>
      <c r="D47" s="220">
        <f>SUM(D13:D46)</f>
        <v>4.008</v>
      </c>
      <c r="E47" s="220">
        <f t="shared" ref="E47:BP47" si="5">SUM(E13:E46)</f>
        <v>4.5529999999999999</v>
      </c>
      <c r="F47" s="220">
        <f t="shared" si="5"/>
        <v>3.5779999999999998</v>
      </c>
      <c r="G47" s="220">
        <f t="shared" si="5"/>
        <v>4.0279999999999996</v>
      </c>
      <c r="H47" s="220">
        <f t="shared" si="5"/>
        <v>3.698</v>
      </c>
      <c r="I47" s="220">
        <f t="shared" si="5"/>
        <v>3.996</v>
      </c>
      <c r="J47" s="220">
        <f t="shared" si="5"/>
        <v>3.694</v>
      </c>
      <c r="K47" s="220">
        <f t="shared" si="5"/>
        <v>4.01</v>
      </c>
      <c r="L47" s="220">
        <f t="shared" si="5"/>
        <v>3.9220000000000002</v>
      </c>
      <c r="M47" s="220">
        <f t="shared" si="5"/>
        <v>3.6909999999999998</v>
      </c>
      <c r="N47" s="220">
        <f t="shared" si="5"/>
        <v>3.8620000000000001</v>
      </c>
      <c r="O47" s="220">
        <f t="shared" si="5"/>
        <v>4.016</v>
      </c>
      <c r="P47" s="220">
        <f t="shared" si="5"/>
        <v>4.0270000000000001</v>
      </c>
      <c r="Q47" s="220">
        <f t="shared" si="5"/>
        <v>3.99</v>
      </c>
      <c r="R47" s="220">
        <f t="shared" si="5"/>
        <v>4.4580000000000002</v>
      </c>
      <c r="S47" s="220">
        <f t="shared" si="5"/>
        <v>4.0199999999999996</v>
      </c>
      <c r="T47" s="220">
        <f t="shared" si="5"/>
        <v>4.3659999999999997</v>
      </c>
      <c r="U47" s="220">
        <f t="shared" si="5"/>
        <v>4.0380000000000003</v>
      </c>
      <c r="V47" s="220">
        <f t="shared" si="5"/>
        <v>4.3090000000000002</v>
      </c>
      <c r="W47" s="220">
        <f t="shared" si="5"/>
        <v>4.4119999999999999</v>
      </c>
      <c r="X47" s="220">
        <f t="shared" si="5"/>
        <v>4.5940000000000003</v>
      </c>
      <c r="Y47" s="220">
        <f t="shared" si="5"/>
        <v>4.3390000000000004</v>
      </c>
      <c r="Z47" s="220">
        <f t="shared" si="5"/>
        <v>4.2880000000000003</v>
      </c>
      <c r="AA47" s="220">
        <f t="shared" si="5"/>
        <v>4.16</v>
      </c>
      <c r="AB47" s="220">
        <f t="shared" si="5"/>
        <v>4.4160000000000004</v>
      </c>
      <c r="AC47" s="220">
        <f t="shared" si="5"/>
        <v>4.423</v>
      </c>
      <c r="AD47" s="220">
        <f t="shared" si="5"/>
        <v>1.6279999999999999</v>
      </c>
      <c r="AE47" s="220">
        <f t="shared" si="5"/>
        <v>1.234</v>
      </c>
      <c r="AF47" s="220">
        <f t="shared" si="5"/>
        <v>1.0760000000000001</v>
      </c>
      <c r="AG47" s="220">
        <f t="shared" si="5"/>
        <v>1.1659999999999999</v>
      </c>
      <c r="AH47" s="220">
        <f t="shared" si="5"/>
        <v>3.504</v>
      </c>
      <c r="AI47" s="220">
        <f t="shared" si="5"/>
        <v>3.569</v>
      </c>
      <c r="AJ47" s="220">
        <f t="shared" si="5"/>
        <v>3.3940000000000001</v>
      </c>
      <c r="AK47" s="220">
        <f t="shared" si="5"/>
        <v>4.5439999999999996</v>
      </c>
      <c r="AL47" s="220">
        <f t="shared" si="5"/>
        <v>3.9969999999999999</v>
      </c>
      <c r="AM47" s="220">
        <f t="shared" si="5"/>
        <v>1.244</v>
      </c>
      <c r="AN47" s="220">
        <f t="shared" si="5"/>
        <v>3.9119999999999999</v>
      </c>
      <c r="AO47" s="220">
        <f t="shared" si="5"/>
        <v>4.1379999999999999</v>
      </c>
      <c r="AP47" s="220">
        <f t="shared" si="5"/>
        <v>3.3039999999999998</v>
      </c>
      <c r="AQ47" s="220">
        <f t="shared" si="5"/>
        <v>1.034</v>
      </c>
      <c r="AR47" s="220">
        <f t="shared" si="5"/>
        <v>1.2310000000000001</v>
      </c>
      <c r="AS47" s="220">
        <f t="shared" si="5"/>
        <v>3.5710000000000002</v>
      </c>
      <c r="AT47" s="220">
        <f t="shared" si="5"/>
        <v>3.3140000000000001</v>
      </c>
      <c r="AU47" s="220">
        <f t="shared" si="5"/>
        <v>3.274</v>
      </c>
      <c r="AV47" s="220">
        <f t="shared" si="5"/>
        <v>3.35</v>
      </c>
      <c r="AW47" s="220">
        <f t="shared" si="5"/>
        <v>4.6980000000000004</v>
      </c>
      <c r="AX47" s="220">
        <f t="shared" si="5"/>
        <v>4.6189999999999998</v>
      </c>
      <c r="AY47" s="220">
        <f t="shared" si="5"/>
        <v>3.5089999999999999</v>
      </c>
      <c r="AZ47" s="220">
        <f t="shared" si="5"/>
        <v>3.7250000000000001</v>
      </c>
      <c r="BA47" s="220">
        <f t="shared" si="5"/>
        <v>3.9169999999999998</v>
      </c>
      <c r="BB47" s="220">
        <f t="shared" si="5"/>
        <v>4.234</v>
      </c>
      <c r="BC47" s="220">
        <f t="shared" si="5"/>
        <v>4.6429999999999998</v>
      </c>
      <c r="BD47" s="220">
        <f t="shared" si="5"/>
        <v>3.653</v>
      </c>
      <c r="BE47" s="220">
        <f t="shared" si="5"/>
        <v>3.8119999999999998</v>
      </c>
      <c r="BF47" s="220">
        <f t="shared" si="5"/>
        <v>3.4630000000000001</v>
      </c>
      <c r="BG47" s="220">
        <f t="shared" si="5"/>
        <v>3.871</v>
      </c>
      <c r="BH47" s="220">
        <f t="shared" si="5"/>
        <v>3.9649999999999999</v>
      </c>
      <c r="BI47" s="220">
        <f t="shared" si="5"/>
        <v>3.9289999999999998</v>
      </c>
      <c r="BJ47" s="220">
        <f t="shared" si="5"/>
        <v>3.6</v>
      </c>
      <c r="BK47" s="220">
        <f t="shared" si="5"/>
        <v>3.9489999999999998</v>
      </c>
      <c r="BL47" s="220">
        <f t="shared" si="5"/>
        <v>3.9169999999999998</v>
      </c>
      <c r="BM47" s="220">
        <f t="shared" si="5"/>
        <v>4.484</v>
      </c>
      <c r="BN47" s="220">
        <f t="shared" si="5"/>
        <v>3.91</v>
      </c>
      <c r="BO47" s="220">
        <f t="shared" si="5"/>
        <v>3.1480000000000001</v>
      </c>
      <c r="BP47" s="220">
        <f t="shared" si="5"/>
        <v>3.887</v>
      </c>
      <c r="BQ47" s="220">
        <f t="shared" ref="BQ47:CT47" si="6">SUM(BQ13:BQ46)</f>
        <v>3.8980000000000001</v>
      </c>
      <c r="BR47" s="220">
        <f t="shared" si="6"/>
        <v>3.8149999999999999</v>
      </c>
      <c r="BS47" s="220">
        <f t="shared" si="6"/>
        <v>3.3940000000000001</v>
      </c>
      <c r="BT47" s="220">
        <f t="shared" si="6"/>
        <v>3.9649999999999999</v>
      </c>
      <c r="BU47" s="220">
        <f t="shared" si="6"/>
        <v>3.1760000000000002</v>
      </c>
      <c r="BV47" s="220">
        <f t="shared" si="6"/>
        <v>3.581</v>
      </c>
      <c r="BW47" s="220">
        <f t="shared" si="6"/>
        <v>3.5630000000000002</v>
      </c>
      <c r="BX47" s="220">
        <f t="shared" si="6"/>
        <v>4.37</v>
      </c>
      <c r="BY47" s="220">
        <f t="shared" si="6"/>
        <v>4.3479999999999999</v>
      </c>
      <c r="BZ47" s="220">
        <f t="shared" si="6"/>
        <v>4.3369999999999997</v>
      </c>
      <c r="CA47" s="220">
        <f t="shared" si="6"/>
        <v>4.2969999999999997</v>
      </c>
      <c r="CB47" s="220">
        <f t="shared" si="6"/>
        <v>4.18</v>
      </c>
      <c r="CC47" s="220">
        <f t="shared" si="6"/>
        <v>4.5679999999999996</v>
      </c>
      <c r="CD47" s="220">
        <f t="shared" si="6"/>
        <v>4.5640000000000001</v>
      </c>
      <c r="CE47" s="220">
        <f t="shared" si="6"/>
        <v>1.752</v>
      </c>
      <c r="CF47" s="220">
        <f t="shared" si="6"/>
        <v>4.0069999999999997</v>
      </c>
      <c r="CG47" s="220">
        <f t="shared" si="6"/>
        <v>4.194</v>
      </c>
      <c r="CH47" s="220">
        <f t="shared" si="6"/>
        <v>4.1710000000000003</v>
      </c>
      <c r="CI47" s="220">
        <f t="shared" si="6"/>
        <v>3.992</v>
      </c>
      <c r="CJ47" s="220">
        <f t="shared" si="6"/>
        <v>3.976</v>
      </c>
      <c r="CK47" s="220">
        <f t="shared" si="6"/>
        <v>3.887</v>
      </c>
      <c r="CL47" s="220">
        <f t="shared" si="6"/>
        <v>4.03</v>
      </c>
      <c r="CM47" s="220">
        <f t="shared" si="6"/>
        <v>3.8220000000000001</v>
      </c>
      <c r="CN47" s="220">
        <f t="shared" si="6"/>
        <v>1.24</v>
      </c>
      <c r="CO47" s="220">
        <f t="shared" si="6"/>
        <v>2.8420000000000001</v>
      </c>
      <c r="CP47" s="220">
        <f t="shared" si="6"/>
        <v>3.206</v>
      </c>
      <c r="CQ47" s="220">
        <f t="shared" si="6"/>
        <v>3.2280000000000002</v>
      </c>
      <c r="CR47" s="220">
        <f t="shared" si="6"/>
        <v>3.34</v>
      </c>
      <c r="CS47" s="220">
        <f t="shared" si="6"/>
        <v>2.996</v>
      </c>
      <c r="CT47" s="221">
        <f t="shared" si="6"/>
        <v>3.0659999999999998</v>
      </c>
      <c r="CU47" s="151"/>
      <c r="CV47" s="151"/>
    </row>
    <row r="48" spans="1:100" s="136" customFormat="1" ht="21.75" thickBot="1">
      <c r="A48" s="223"/>
      <c r="B48" s="224" t="s">
        <v>248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5"/>
    </row>
    <row r="49" spans="1:99" s="231" customFormat="1" ht="21">
      <c r="A49" s="226"/>
      <c r="B49" s="227" t="s">
        <v>122</v>
      </c>
      <c r="C49" s="227"/>
      <c r="D49" s="228">
        <f>D50+D51+D52</f>
        <v>4.008</v>
      </c>
      <c r="E49" s="228">
        <f>E50+E51+E52</f>
        <v>3.4089999999999998</v>
      </c>
      <c r="F49" s="228">
        <f>F50+F51+F52</f>
        <v>3.5779999999999998</v>
      </c>
      <c r="G49" s="228">
        <f t="shared" ref="G49:BP49" si="7">G50+G51+G52</f>
        <v>4.0279999999999996</v>
      </c>
      <c r="H49" s="228">
        <f t="shared" si="7"/>
        <v>3.698</v>
      </c>
      <c r="I49" s="228">
        <f t="shared" si="7"/>
        <v>3.996</v>
      </c>
      <c r="J49" s="228">
        <f t="shared" si="7"/>
        <v>3.694</v>
      </c>
      <c r="K49" s="228">
        <f t="shared" si="7"/>
        <v>4.01</v>
      </c>
      <c r="L49" s="228">
        <f t="shared" si="7"/>
        <v>3.9220000000000002</v>
      </c>
      <c r="M49" s="228">
        <f t="shared" si="7"/>
        <v>3.6909999999999998</v>
      </c>
      <c r="N49" s="228">
        <f t="shared" si="7"/>
        <v>3.8620000000000001</v>
      </c>
      <c r="O49" s="228">
        <f t="shared" si="7"/>
        <v>4.016</v>
      </c>
      <c r="P49" s="228">
        <f t="shared" si="7"/>
        <v>4.0270000000000001</v>
      </c>
      <c r="Q49" s="228">
        <f t="shared" si="7"/>
        <v>3.99</v>
      </c>
      <c r="R49" s="228">
        <f t="shared" si="7"/>
        <v>3.6080000000000001</v>
      </c>
      <c r="S49" s="228">
        <f t="shared" si="7"/>
        <v>4.0199999999999996</v>
      </c>
      <c r="T49" s="228">
        <f t="shared" si="7"/>
        <v>3.8580000000000001</v>
      </c>
      <c r="U49" s="228">
        <f t="shared" si="7"/>
        <v>4.0380000000000003</v>
      </c>
      <c r="V49" s="228">
        <f t="shared" si="7"/>
        <v>3.7189999999999999</v>
      </c>
      <c r="W49" s="228">
        <f t="shared" si="7"/>
        <v>3.6419999999999999</v>
      </c>
      <c r="X49" s="228">
        <f t="shared" si="7"/>
        <v>3.7610000000000001</v>
      </c>
      <c r="Y49" s="228">
        <f t="shared" si="7"/>
        <v>3.7149999999999999</v>
      </c>
      <c r="Z49" s="228">
        <f t="shared" si="7"/>
        <v>3.5150000000000001</v>
      </c>
      <c r="AA49" s="228">
        <f t="shared" si="7"/>
        <v>3.488</v>
      </c>
      <c r="AB49" s="228">
        <f t="shared" si="7"/>
        <v>3.403</v>
      </c>
      <c r="AC49" s="228">
        <f t="shared" si="7"/>
        <v>3.548</v>
      </c>
      <c r="AD49" s="228">
        <f t="shared" si="7"/>
        <v>1.6279999999999999</v>
      </c>
      <c r="AE49" s="228">
        <f t="shared" si="7"/>
        <v>1.234</v>
      </c>
      <c r="AF49" s="228">
        <f t="shared" si="7"/>
        <v>1.0760000000000001</v>
      </c>
      <c r="AG49" s="228">
        <f t="shared" si="7"/>
        <v>1.1659999999999999</v>
      </c>
      <c r="AH49" s="228">
        <f t="shared" si="7"/>
        <v>3.504</v>
      </c>
      <c r="AI49" s="228">
        <f t="shared" si="7"/>
        <v>3.569</v>
      </c>
      <c r="AJ49" s="228">
        <f t="shared" si="7"/>
        <v>3.3940000000000001</v>
      </c>
      <c r="AK49" s="228">
        <f t="shared" si="7"/>
        <v>3.4140000000000001</v>
      </c>
      <c r="AL49" s="228">
        <f t="shared" si="7"/>
        <v>3.9969999999999999</v>
      </c>
      <c r="AM49" s="228">
        <f t="shared" si="7"/>
        <v>1.244</v>
      </c>
      <c r="AN49" s="228">
        <f t="shared" si="7"/>
        <v>3.9119999999999999</v>
      </c>
      <c r="AO49" s="228">
        <f t="shared" si="7"/>
        <v>4.1379999999999999</v>
      </c>
      <c r="AP49" s="228">
        <f t="shared" si="7"/>
        <v>3.3039999999999998</v>
      </c>
      <c r="AQ49" s="228">
        <f t="shared" si="7"/>
        <v>1.034</v>
      </c>
      <c r="AR49" s="228">
        <f t="shared" si="7"/>
        <v>1.2310000000000001</v>
      </c>
      <c r="AS49" s="228">
        <f t="shared" si="7"/>
        <v>3.5710000000000002</v>
      </c>
      <c r="AT49" s="228">
        <f t="shared" si="7"/>
        <v>2.544</v>
      </c>
      <c r="AU49" s="228">
        <f t="shared" si="7"/>
        <v>2.4529999999999998</v>
      </c>
      <c r="AV49" s="228">
        <f t="shared" si="7"/>
        <v>2.5449999999999999</v>
      </c>
      <c r="AW49" s="228">
        <f t="shared" si="7"/>
        <v>3.5659999999999998</v>
      </c>
      <c r="AX49" s="228">
        <f t="shared" si="7"/>
        <v>3.5739999999999998</v>
      </c>
      <c r="AY49" s="228">
        <f t="shared" si="7"/>
        <v>3.5089999999999999</v>
      </c>
      <c r="AZ49" s="228">
        <f t="shared" si="7"/>
        <v>3.7250000000000001</v>
      </c>
      <c r="BA49" s="228">
        <f t="shared" si="7"/>
        <v>3.9169999999999998</v>
      </c>
      <c r="BB49" s="228">
        <f t="shared" si="7"/>
        <v>3.569</v>
      </c>
      <c r="BC49" s="228">
        <f t="shared" si="7"/>
        <v>3.4180000000000001</v>
      </c>
      <c r="BD49" s="228">
        <f t="shared" si="7"/>
        <v>3.653</v>
      </c>
      <c r="BE49" s="228">
        <f t="shared" si="7"/>
        <v>3.8119999999999998</v>
      </c>
      <c r="BF49" s="228">
        <f t="shared" si="7"/>
        <v>3.4630000000000001</v>
      </c>
      <c r="BG49" s="228">
        <f t="shared" si="7"/>
        <v>3.871</v>
      </c>
      <c r="BH49" s="228">
        <f t="shared" si="7"/>
        <v>3.9649999999999999</v>
      </c>
      <c r="BI49" s="228">
        <f t="shared" si="7"/>
        <v>3.9289999999999998</v>
      </c>
      <c r="BJ49" s="228">
        <f t="shared" si="7"/>
        <v>3.6</v>
      </c>
      <c r="BK49" s="228">
        <f t="shared" si="7"/>
        <v>3.9489999999999998</v>
      </c>
      <c r="BL49" s="228">
        <f t="shared" si="7"/>
        <v>3.9169999999999998</v>
      </c>
      <c r="BM49" s="228">
        <f t="shared" si="7"/>
        <v>3.8090000000000002</v>
      </c>
      <c r="BN49" s="228">
        <f t="shared" si="7"/>
        <v>3.91</v>
      </c>
      <c r="BO49" s="228">
        <f t="shared" si="7"/>
        <v>3.1480000000000001</v>
      </c>
      <c r="BP49" s="228">
        <f t="shared" si="7"/>
        <v>3.887</v>
      </c>
      <c r="BQ49" s="228">
        <f t="shared" ref="BQ49:CT49" si="8">BQ50+BQ51+BQ52</f>
        <v>3.8980000000000001</v>
      </c>
      <c r="BR49" s="228">
        <f t="shared" si="8"/>
        <v>3.8149999999999999</v>
      </c>
      <c r="BS49" s="228">
        <f t="shared" si="8"/>
        <v>3.3940000000000001</v>
      </c>
      <c r="BT49" s="228">
        <f t="shared" si="8"/>
        <v>3.9649999999999999</v>
      </c>
      <c r="BU49" s="228">
        <f t="shared" si="8"/>
        <v>3.1760000000000002</v>
      </c>
      <c r="BV49" s="228">
        <f t="shared" si="8"/>
        <v>3.581</v>
      </c>
      <c r="BW49" s="228">
        <f t="shared" si="8"/>
        <v>3.5630000000000002</v>
      </c>
      <c r="BX49" s="228">
        <f t="shared" si="8"/>
        <v>3.508</v>
      </c>
      <c r="BY49" s="228">
        <f t="shared" si="8"/>
        <v>3.66</v>
      </c>
      <c r="BZ49" s="228">
        <f t="shared" si="8"/>
        <v>3.4940000000000002</v>
      </c>
      <c r="CA49" s="228">
        <f t="shared" si="8"/>
        <v>3.577</v>
      </c>
      <c r="CB49" s="228">
        <f t="shared" si="8"/>
        <v>3.5150000000000001</v>
      </c>
      <c r="CC49" s="228">
        <f t="shared" si="8"/>
        <v>3.774</v>
      </c>
      <c r="CD49" s="228">
        <f t="shared" si="8"/>
        <v>3.7679999999999998</v>
      </c>
      <c r="CE49" s="228">
        <f t="shared" si="8"/>
        <v>1.752</v>
      </c>
      <c r="CF49" s="228">
        <f t="shared" si="8"/>
        <v>4.0069999999999997</v>
      </c>
      <c r="CG49" s="228">
        <f t="shared" si="8"/>
        <v>3.4009999999999998</v>
      </c>
      <c r="CH49" s="228">
        <f t="shared" si="8"/>
        <v>3.3780000000000001</v>
      </c>
      <c r="CI49" s="228">
        <f t="shared" si="8"/>
        <v>3.992</v>
      </c>
      <c r="CJ49" s="228">
        <f t="shared" si="8"/>
        <v>3.976</v>
      </c>
      <c r="CK49" s="228">
        <f t="shared" si="8"/>
        <v>3.887</v>
      </c>
      <c r="CL49" s="228">
        <f t="shared" si="8"/>
        <v>4.03</v>
      </c>
      <c r="CM49" s="228">
        <f t="shared" si="8"/>
        <v>3.8220000000000001</v>
      </c>
      <c r="CN49" s="228">
        <f t="shared" si="8"/>
        <v>1.24</v>
      </c>
      <c r="CO49" s="228">
        <f t="shared" si="8"/>
        <v>2.8420000000000001</v>
      </c>
      <c r="CP49" s="228">
        <f t="shared" si="8"/>
        <v>3.206</v>
      </c>
      <c r="CQ49" s="228">
        <f t="shared" si="8"/>
        <v>3.2280000000000002</v>
      </c>
      <c r="CR49" s="228">
        <f t="shared" si="8"/>
        <v>3.34</v>
      </c>
      <c r="CS49" s="228">
        <f t="shared" si="8"/>
        <v>2.996</v>
      </c>
      <c r="CT49" s="229">
        <f t="shared" si="8"/>
        <v>3.0659999999999998</v>
      </c>
      <c r="CU49" s="230"/>
    </row>
    <row r="50" spans="1:99" s="231" customFormat="1" ht="21" hidden="1">
      <c r="A50" s="232"/>
      <c r="B50" s="233"/>
      <c r="C50" s="233"/>
      <c r="D50" s="234">
        <f>SUM(D13:D16,D19:D43)</f>
        <v>2.855</v>
      </c>
      <c r="E50" s="234">
        <f t="shared" ref="E50:BP50" si="9">SUM(E13:E16,E19:E43)</f>
        <v>2.4279999999999999</v>
      </c>
      <c r="F50" s="234">
        <f t="shared" si="9"/>
        <v>2.5489999999999999</v>
      </c>
      <c r="G50" s="234">
        <f t="shared" si="9"/>
        <v>2.8690000000000002</v>
      </c>
      <c r="H50" s="234">
        <f t="shared" si="9"/>
        <v>2.6339999999999999</v>
      </c>
      <c r="I50" s="234">
        <f t="shared" si="9"/>
        <v>2.8460000000000001</v>
      </c>
      <c r="J50" s="234">
        <f t="shared" si="9"/>
        <v>2.6309999999999998</v>
      </c>
      <c r="K50" s="234">
        <f t="shared" si="9"/>
        <v>2.8559999999999999</v>
      </c>
      <c r="L50" s="234">
        <f t="shared" si="9"/>
        <v>2.7930000000000001</v>
      </c>
      <c r="M50" s="234">
        <f t="shared" si="9"/>
        <v>2.629</v>
      </c>
      <c r="N50" s="234">
        <f t="shared" si="9"/>
        <v>2.75</v>
      </c>
      <c r="O50" s="234">
        <f t="shared" si="9"/>
        <v>2.8610000000000002</v>
      </c>
      <c r="P50" s="234">
        <f t="shared" si="9"/>
        <v>2.8679999999999999</v>
      </c>
      <c r="Q50" s="234">
        <f t="shared" si="9"/>
        <v>2.8420000000000001</v>
      </c>
      <c r="R50" s="234">
        <f t="shared" si="9"/>
        <v>2.57</v>
      </c>
      <c r="S50" s="234">
        <f t="shared" si="9"/>
        <v>2.863</v>
      </c>
      <c r="T50" s="234">
        <f t="shared" si="9"/>
        <v>2.7480000000000002</v>
      </c>
      <c r="U50" s="234">
        <f t="shared" si="9"/>
        <v>2.8759999999999999</v>
      </c>
      <c r="V50" s="234">
        <f t="shared" si="9"/>
        <v>2.649</v>
      </c>
      <c r="W50" s="234">
        <f t="shared" si="9"/>
        <v>2.5939999999999999</v>
      </c>
      <c r="X50" s="234">
        <f t="shared" si="9"/>
        <v>2.6789999999999998</v>
      </c>
      <c r="Y50" s="234">
        <f t="shared" si="9"/>
        <v>2.6459999999999999</v>
      </c>
      <c r="Z50" s="234">
        <f t="shared" si="9"/>
        <v>2.5030000000000001</v>
      </c>
      <c r="AA50" s="234">
        <f t="shared" si="9"/>
        <v>2.4849999999999999</v>
      </c>
      <c r="AB50" s="234">
        <f t="shared" si="9"/>
        <v>2.4239999999999999</v>
      </c>
      <c r="AC50" s="234">
        <f t="shared" si="9"/>
        <v>2.5270000000000001</v>
      </c>
      <c r="AD50" s="234">
        <f t="shared" si="9"/>
        <v>1.1599999999999999</v>
      </c>
      <c r="AE50" s="234">
        <f t="shared" si="9"/>
        <v>0.879</v>
      </c>
      <c r="AF50" s="234">
        <f t="shared" si="9"/>
        <v>0.76700000000000002</v>
      </c>
      <c r="AG50" s="234">
        <f t="shared" si="9"/>
        <v>0.83099999999999996</v>
      </c>
      <c r="AH50" s="234">
        <f t="shared" si="9"/>
        <v>2.496</v>
      </c>
      <c r="AI50" s="234">
        <f t="shared" si="9"/>
        <v>2.5419999999999998</v>
      </c>
      <c r="AJ50" s="234">
        <f t="shared" si="9"/>
        <v>2.4169999999999998</v>
      </c>
      <c r="AK50" s="234">
        <f t="shared" si="9"/>
        <v>2.4319999999999999</v>
      </c>
      <c r="AL50" s="234">
        <f t="shared" si="9"/>
        <v>2.847</v>
      </c>
      <c r="AM50" s="234">
        <f t="shared" si="9"/>
        <v>0.88600000000000001</v>
      </c>
      <c r="AN50" s="234">
        <f t="shared" si="9"/>
        <v>2.786</v>
      </c>
      <c r="AO50" s="234">
        <f t="shared" si="9"/>
        <v>2.9470000000000001</v>
      </c>
      <c r="AP50" s="234">
        <f t="shared" si="9"/>
        <v>2.3530000000000002</v>
      </c>
      <c r="AQ50" s="234">
        <f t="shared" si="9"/>
        <v>0.73699999999999999</v>
      </c>
      <c r="AR50" s="234">
        <f t="shared" si="9"/>
        <v>0.877</v>
      </c>
      <c r="AS50" s="234">
        <f t="shared" si="9"/>
        <v>2.544</v>
      </c>
      <c r="AT50" s="234">
        <f t="shared" si="9"/>
        <v>1.8120000000000001</v>
      </c>
      <c r="AU50" s="234">
        <f t="shared" si="9"/>
        <v>1.7470000000000001</v>
      </c>
      <c r="AV50" s="234">
        <f t="shared" si="9"/>
        <v>1.8129999999999999</v>
      </c>
      <c r="AW50" s="234">
        <f t="shared" si="9"/>
        <v>2.54</v>
      </c>
      <c r="AX50" s="234">
        <f t="shared" si="9"/>
        <v>2.5449999999999999</v>
      </c>
      <c r="AY50" s="234">
        <f t="shared" si="9"/>
        <v>2.4990000000000001</v>
      </c>
      <c r="AZ50" s="234">
        <f t="shared" si="9"/>
        <v>2.653</v>
      </c>
      <c r="BA50" s="234">
        <f t="shared" si="9"/>
        <v>2.79</v>
      </c>
      <c r="BB50" s="234">
        <f t="shared" si="9"/>
        <v>2.5419999999999998</v>
      </c>
      <c r="BC50" s="234">
        <f t="shared" si="9"/>
        <v>2.4340000000000002</v>
      </c>
      <c r="BD50" s="234">
        <f t="shared" si="9"/>
        <v>2.6019999999999999</v>
      </c>
      <c r="BE50" s="234">
        <f t="shared" si="9"/>
        <v>2.7149999999999999</v>
      </c>
      <c r="BF50" s="234">
        <f t="shared" si="9"/>
        <v>2.4670000000000001</v>
      </c>
      <c r="BG50" s="234">
        <f t="shared" si="9"/>
        <v>2.7570000000000001</v>
      </c>
      <c r="BH50" s="234">
        <f t="shared" si="9"/>
        <v>2.8239999999999998</v>
      </c>
      <c r="BI50" s="234">
        <f t="shared" si="9"/>
        <v>2.798</v>
      </c>
      <c r="BJ50" s="234">
        <f t="shared" si="9"/>
        <v>2.5640000000000001</v>
      </c>
      <c r="BK50" s="234">
        <f t="shared" si="9"/>
        <v>2.8130000000000002</v>
      </c>
      <c r="BL50" s="234">
        <f t="shared" si="9"/>
        <v>2.79</v>
      </c>
      <c r="BM50" s="234">
        <f t="shared" si="9"/>
        <v>2.7130000000000001</v>
      </c>
      <c r="BN50" s="234">
        <f t="shared" si="9"/>
        <v>2.7850000000000001</v>
      </c>
      <c r="BO50" s="234">
        <f t="shared" si="9"/>
        <v>2.242</v>
      </c>
      <c r="BP50" s="234">
        <f t="shared" si="9"/>
        <v>2.7679999999999998</v>
      </c>
      <c r="BQ50" s="234">
        <f t="shared" ref="BQ50:CT50" si="10">SUM(BQ13:BQ16,BQ19:BQ43)</f>
        <v>2.7759999999999998</v>
      </c>
      <c r="BR50" s="234">
        <f t="shared" si="10"/>
        <v>2.7170000000000001</v>
      </c>
      <c r="BS50" s="234">
        <f t="shared" si="10"/>
        <v>2.4169999999999998</v>
      </c>
      <c r="BT50" s="234">
        <f t="shared" si="10"/>
        <v>2.8239999999999998</v>
      </c>
      <c r="BU50" s="234">
        <f t="shared" si="10"/>
        <v>2.262</v>
      </c>
      <c r="BV50" s="234">
        <f t="shared" si="10"/>
        <v>2.5499999999999998</v>
      </c>
      <c r="BW50" s="234">
        <f t="shared" si="10"/>
        <v>2.5379999999999998</v>
      </c>
      <c r="BX50" s="234">
        <f t="shared" si="10"/>
        <v>2.4980000000000002</v>
      </c>
      <c r="BY50" s="234">
        <f t="shared" si="10"/>
        <v>2.6070000000000002</v>
      </c>
      <c r="BZ50" s="234">
        <f t="shared" si="10"/>
        <v>2.4889999999999999</v>
      </c>
      <c r="CA50" s="234">
        <f t="shared" si="10"/>
        <v>2.548</v>
      </c>
      <c r="CB50" s="234">
        <f t="shared" si="10"/>
        <v>2.5030000000000001</v>
      </c>
      <c r="CC50" s="234">
        <f t="shared" si="10"/>
        <v>2.6880000000000002</v>
      </c>
      <c r="CD50" s="234">
        <f t="shared" si="10"/>
        <v>2.6840000000000002</v>
      </c>
      <c r="CE50" s="234">
        <f t="shared" si="10"/>
        <v>1.248</v>
      </c>
      <c r="CF50" s="234">
        <f t="shared" si="10"/>
        <v>2.8540000000000001</v>
      </c>
      <c r="CG50" s="234">
        <f t="shared" si="10"/>
        <v>2.4220000000000002</v>
      </c>
      <c r="CH50" s="234">
        <f t="shared" si="10"/>
        <v>2.4060000000000001</v>
      </c>
      <c r="CI50" s="234">
        <f t="shared" si="10"/>
        <v>2.8439999999999999</v>
      </c>
      <c r="CJ50" s="234">
        <f t="shared" si="10"/>
        <v>2.8319999999999999</v>
      </c>
      <c r="CK50" s="234">
        <f t="shared" si="10"/>
        <v>2.7679999999999998</v>
      </c>
      <c r="CL50" s="234">
        <f t="shared" si="10"/>
        <v>2.87</v>
      </c>
      <c r="CM50" s="234">
        <f t="shared" si="10"/>
        <v>2.722</v>
      </c>
      <c r="CN50" s="234">
        <f t="shared" si="10"/>
        <v>0.88300000000000001</v>
      </c>
      <c r="CO50" s="234">
        <f t="shared" si="10"/>
        <v>2.024</v>
      </c>
      <c r="CP50" s="234">
        <f t="shared" si="10"/>
        <v>2.2839999999999998</v>
      </c>
      <c r="CQ50" s="234">
        <f t="shared" si="10"/>
        <v>2.2989999999999999</v>
      </c>
      <c r="CR50" s="234">
        <f t="shared" si="10"/>
        <v>2.379</v>
      </c>
      <c r="CS50" s="234">
        <f t="shared" si="10"/>
        <v>2.1339999999999999</v>
      </c>
      <c r="CT50" s="235">
        <f t="shared" si="10"/>
        <v>2.1840000000000002</v>
      </c>
    </row>
    <row r="51" spans="1:99" s="231" customFormat="1" ht="21" hidden="1">
      <c r="A51" s="232"/>
      <c r="B51" s="233"/>
      <c r="C51" s="233"/>
      <c r="D51" s="234">
        <f>D50*($D$7-1)</f>
        <v>0.48499999999999999</v>
      </c>
      <c r="E51" s="234">
        <f t="shared" ref="E51:BP51" si="11">E50*($D$7-1)</f>
        <v>0.41299999999999998</v>
      </c>
      <c r="F51" s="234">
        <f t="shared" si="11"/>
        <v>0.433</v>
      </c>
      <c r="G51" s="234">
        <f t="shared" si="11"/>
        <v>0.48799999999999999</v>
      </c>
      <c r="H51" s="234">
        <f t="shared" si="11"/>
        <v>0.44800000000000001</v>
      </c>
      <c r="I51" s="234">
        <f t="shared" si="11"/>
        <v>0.48399999999999999</v>
      </c>
      <c r="J51" s="234">
        <f t="shared" si="11"/>
        <v>0.44700000000000001</v>
      </c>
      <c r="K51" s="234">
        <f t="shared" si="11"/>
        <v>0.48599999999999999</v>
      </c>
      <c r="L51" s="234">
        <f t="shared" si="11"/>
        <v>0.47499999999999998</v>
      </c>
      <c r="M51" s="234">
        <f t="shared" si="11"/>
        <v>0.44700000000000001</v>
      </c>
      <c r="N51" s="234">
        <f t="shared" si="11"/>
        <v>0.46800000000000003</v>
      </c>
      <c r="O51" s="234">
        <f t="shared" si="11"/>
        <v>0.48599999999999999</v>
      </c>
      <c r="P51" s="234">
        <f t="shared" si="11"/>
        <v>0.48799999999999999</v>
      </c>
      <c r="Q51" s="234">
        <f t="shared" si="11"/>
        <v>0.48299999999999998</v>
      </c>
      <c r="R51" s="234">
        <f t="shared" si="11"/>
        <v>0.437</v>
      </c>
      <c r="S51" s="234">
        <f t="shared" si="11"/>
        <v>0.48699999999999999</v>
      </c>
      <c r="T51" s="234">
        <f t="shared" si="11"/>
        <v>0.46700000000000003</v>
      </c>
      <c r="U51" s="234">
        <f t="shared" si="11"/>
        <v>0.48899999999999999</v>
      </c>
      <c r="V51" s="234">
        <f t="shared" si="11"/>
        <v>0.45</v>
      </c>
      <c r="W51" s="234">
        <f t="shared" si="11"/>
        <v>0.441</v>
      </c>
      <c r="X51" s="234">
        <f t="shared" si="11"/>
        <v>0.45500000000000002</v>
      </c>
      <c r="Y51" s="234">
        <f t="shared" si="11"/>
        <v>0.45</v>
      </c>
      <c r="Z51" s="234">
        <f t="shared" si="11"/>
        <v>0.42599999999999999</v>
      </c>
      <c r="AA51" s="234">
        <f t="shared" si="11"/>
        <v>0.42199999999999999</v>
      </c>
      <c r="AB51" s="234">
        <f t="shared" si="11"/>
        <v>0.41199999999999998</v>
      </c>
      <c r="AC51" s="234">
        <f t="shared" si="11"/>
        <v>0.43</v>
      </c>
      <c r="AD51" s="234">
        <f t="shared" si="11"/>
        <v>0.19700000000000001</v>
      </c>
      <c r="AE51" s="234">
        <f t="shared" si="11"/>
        <v>0.14899999999999999</v>
      </c>
      <c r="AF51" s="234">
        <f t="shared" si="11"/>
        <v>0.13</v>
      </c>
      <c r="AG51" s="234">
        <f t="shared" si="11"/>
        <v>0.14099999999999999</v>
      </c>
      <c r="AH51" s="234">
        <f t="shared" si="11"/>
        <v>0.42399999999999999</v>
      </c>
      <c r="AI51" s="234">
        <f t="shared" si="11"/>
        <v>0.432</v>
      </c>
      <c r="AJ51" s="234">
        <f t="shared" si="11"/>
        <v>0.41099999999999998</v>
      </c>
      <c r="AK51" s="234">
        <f t="shared" si="11"/>
        <v>0.41299999999999998</v>
      </c>
      <c r="AL51" s="234">
        <f t="shared" si="11"/>
        <v>0.48399999999999999</v>
      </c>
      <c r="AM51" s="234">
        <f t="shared" si="11"/>
        <v>0.151</v>
      </c>
      <c r="AN51" s="234">
        <f t="shared" si="11"/>
        <v>0.47399999999999998</v>
      </c>
      <c r="AO51" s="234">
        <f t="shared" si="11"/>
        <v>0.501</v>
      </c>
      <c r="AP51" s="234">
        <f t="shared" si="11"/>
        <v>0.4</v>
      </c>
      <c r="AQ51" s="234">
        <f t="shared" si="11"/>
        <v>0.125</v>
      </c>
      <c r="AR51" s="234">
        <f t="shared" si="11"/>
        <v>0.14899999999999999</v>
      </c>
      <c r="AS51" s="234">
        <f t="shared" si="11"/>
        <v>0.432</v>
      </c>
      <c r="AT51" s="234">
        <f t="shared" si="11"/>
        <v>0.308</v>
      </c>
      <c r="AU51" s="234">
        <f t="shared" si="11"/>
        <v>0.29699999999999999</v>
      </c>
      <c r="AV51" s="234">
        <f t="shared" si="11"/>
        <v>0.308</v>
      </c>
      <c r="AW51" s="234">
        <f t="shared" si="11"/>
        <v>0.432</v>
      </c>
      <c r="AX51" s="234">
        <f t="shared" si="11"/>
        <v>0.433</v>
      </c>
      <c r="AY51" s="234">
        <f t="shared" si="11"/>
        <v>0.42499999999999999</v>
      </c>
      <c r="AZ51" s="234">
        <f t="shared" si="11"/>
        <v>0.45100000000000001</v>
      </c>
      <c r="BA51" s="234">
        <f t="shared" si="11"/>
        <v>0.47399999999999998</v>
      </c>
      <c r="BB51" s="234">
        <f t="shared" si="11"/>
        <v>0.432</v>
      </c>
      <c r="BC51" s="234">
        <f t="shared" si="11"/>
        <v>0.41399999999999998</v>
      </c>
      <c r="BD51" s="234">
        <f t="shared" si="11"/>
        <v>0.442</v>
      </c>
      <c r="BE51" s="234">
        <f t="shared" si="11"/>
        <v>0.46200000000000002</v>
      </c>
      <c r="BF51" s="234">
        <f t="shared" si="11"/>
        <v>0.41899999999999998</v>
      </c>
      <c r="BG51" s="234">
        <f t="shared" si="11"/>
        <v>0.46899999999999997</v>
      </c>
      <c r="BH51" s="234">
        <f t="shared" si="11"/>
        <v>0.48</v>
      </c>
      <c r="BI51" s="234">
        <f t="shared" si="11"/>
        <v>0.47599999999999998</v>
      </c>
      <c r="BJ51" s="234">
        <f t="shared" si="11"/>
        <v>0.436</v>
      </c>
      <c r="BK51" s="234">
        <f t="shared" si="11"/>
        <v>0.47799999999999998</v>
      </c>
      <c r="BL51" s="234">
        <f t="shared" si="11"/>
        <v>0.47399999999999998</v>
      </c>
      <c r="BM51" s="234">
        <f t="shared" si="11"/>
        <v>0.46100000000000002</v>
      </c>
      <c r="BN51" s="234">
        <f t="shared" si="11"/>
        <v>0.47299999999999998</v>
      </c>
      <c r="BO51" s="234">
        <f t="shared" si="11"/>
        <v>0.38100000000000001</v>
      </c>
      <c r="BP51" s="234">
        <f t="shared" si="11"/>
        <v>0.47099999999999997</v>
      </c>
      <c r="BQ51" s="234">
        <f t="shared" ref="BQ51:CT51" si="12">BQ50*($D$7-1)</f>
        <v>0.47199999999999998</v>
      </c>
      <c r="BR51" s="234">
        <f t="shared" si="12"/>
        <v>0.46200000000000002</v>
      </c>
      <c r="BS51" s="234">
        <f t="shared" si="12"/>
        <v>0.41099999999999998</v>
      </c>
      <c r="BT51" s="234">
        <f t="shared" si="12"/>
        <v>0.48</v>
      </c>
      <c r="BU51" s="234">
        <f t="shared" si="12"/>
        <v>0.38500000000000001</v>
      </c>
      <c r="BV51" s="234">
        <f t="shared" si="12"/>
        <v>0.434</v>
      </c>
      <c r="BW51" s="234">
        <f t="shared" si="12"/>
        <v>0.43099999999999999</v>
      </c>
      <c r="BX51" s="234">
        <f t="shared" si="12"/>
        <v>0.42499999999999999</v>
      </c>
      <c r="BY51" s="234">
        <f t="shared" si="12"/>
        <v>0.443</v>
      </c>
      <c r="BZ51" s="234">
        <f t="shared" si="12"/>
        <v>0.42299999999999999</v>
      </c>
      <c r="CA51" s="234">
        <f t="shared" si="12"/>
        <v>0.433</v>
      </c>
      <c r="CB51" s="234">
        <f t="shared" si="12"/>
        <v>0.42599999999999999</v>
      </c>
      <c r="CC51" s="234">
        <f t="shared" si="12"/>
        <v>0.45700000000000002</v>
      </c>
      <c r="CD51" s="234">
        <f t="shared" si="12"/>
        <v>0.45600000000000002</v>
      </c>
      <c r="CE51" s="234">
        <f t="shared" si="12"/>
        <v>0.21199999999999999</v>
      </c>
      <c r="CF51" s="234">
        <f t="shared" si="12"/>
        <v>0.48499999999999999</v>
      </c>
      <c r="CG51" s="234">
        <f t="shared" si="12"/>
        <v>0.41199999999999998</v>
      </c>
      <c r="CH51" s="234">
        <f t="shared" si="12"/>
        <v>0.40899999999999997</v>
      </c>
      <c r="CI51" s="234">
        <f t="shared" si="12"/>
        <v>0.48299999999999998</v>
      </c>
      <c r="CJ51" s="234">
        <f t="shared" si="12"/>
        <v>0.48099999999999998</v>
      </c>
      <c r="CK51" s="234">
        <f t="shared" si="12"/>
        <v>0.47099999999999997</v>
      </c>
      <c r="CL51" s="234">
        <f t="shared" si="12"/>
        <v>0.48799999999999999</v>
      </c>
      <c r="CM51" s="234">
        <f t="shared" si="12"/>
        <v>0.46300000000000002</v>
      </c>
      <c r="CN51" s="234">
        <f t="shared" si="12"/>
        <v>0.15</v>
      </c>
      <c r="CO51" s="234">
        <f t="shared" si="12"/>
        <v>0.34399999999999997</v>
      </c>
      <c r="CP51" s="234">
        <f t="shared" si="12"/>
        <v>0.38800000000000001</v>
      </c>
      <c r="CQ51" s="234">
        <f t="shared" si="12"/>
        <v>0.39100000000000001</v>
      </c>
      <c r="CR51" s="234">
        <f t="shared" si="12"/>
        <v>0.40400000000000003</v>
      </c>
      <c r="CS51" s="234">
        <f t="shared" si="12"/>
        <v>0.36299999999999999</v>
      </c>
      <c r="CT51" s="235">
        <f t="shared" si="12"/>
        <v>0.371</v>
      </c>
    </row>
    <row r="52" spans="1:99" s="231" customFormat="1" ht="21" hidden="1">
      <c r="A52" s="232"/>
      <c r="B52" s="233"/>
      <c r="C52" s="233"/>
      <c r="D52" s="234">
        <f>D51*0.2+D50*0.2</f>
        <v>0.66800000000000004</v>
      </c>
      <c r="E52" s="234">
        <f t="shared" ref="E52:BP52" si="13">E51*0.2+E50*0.2</f>
        <v>0.56799999999999995</v>
      </c>
      <c r="F52" s="234">
        <f t="shared" si="13"/>
        <v>0.59599999999999997</v>
      </c>
      <c r="G52" s="234">
        <f t="shared" si="13"/>
        <v>0.67100000000000004</v>
      </c>
      <c r="H52" s="234">
        <f t="shared" si="13"/>
        <v>0.61599999999999999</v>
      </c>
      <c r="I52" s="234">
        <f t="shared" si="13"/>
        <v>0.66600000000000004</v>
      </c>
      <c r="J52" s="234">
        <f t="shared" si="13"/>
        <v>0.61599999999999999</v>
      </c>
      <c r="K52" s="234">
        <f t="shared" si="13"/>
        <v>0.66800000000000004</v>
      </c>
      <c r="L52" s="234">
        <f t="shared" si="13"/>
        <v>0.65400000000000003</v>
      </c>
      <c r="M52" s="234">
        <f t="shared" si="13"/>
        <v>0.61499999999999999</v>
      </c>
      <c r="N52" s="234">
        <f t="shared" si="13"/>
        <v>0.64400000000000002</v>
      </c>
      <c r="O52" s="234">
        <f t="shared" si="13"/>
        <v>0.66900000000000004</v>
      </c>
      <c r="P52" s="234">
        <f t="shared" si="13"/>
        <v>0.67100000000000004</v>
      </c>
      <c r="Q52" s="234">
        <f t="shared" si="13"/>
        <v>0.66500000000000004</v>
      </c>
      <c r="R52" s="234">
        <f t="shared" si="13"/>
        <v>0.60099999999999998</v>
      </c>
      <c r="S52" s="234">
        <f t="shared" si="13"/>
        <v>0.67</v>
      </c>
      <c r="T52" s="234">
        <f t="shared" si="13"/>
        <v>0.64300000000000002</v>
      </c>
      <c r="U52" s="234">
        <f t="shared" si="13"/>
        <v>0.67300000000000004</v>
      </c>
      <c r="V52" s="234">
        <f t="shared" si="13"/>
        <v>0.62</v>
      </c>
      <c r="W52" s="234">
        <f t="shared" si="13"/>
        <v>0.60699999999999998</v>
      </c>
      <c r="X52" s="234">
        <f t="shared" si="13"/>
        <v>0.627</v>
      </c>
      <c r="Y52" s="234">
        <f t="shared" si="13"/>
        <v>0.61899999999999999</v>
      </c>
      <c r="Z52" s="234">
        <f t="shared" si="13"/>
        <v>0.58599999999999997</v>
      </c>
      <c r="AA52" s="234">
        <f t="shared" si="13"/>
        <v>0.58099999999999996</v>
      </c>
      <c r="AB52" s="234">
        <f t="shared" si="13"/>
        <v>0.56699999999999995</v>
      </c>
      <c r="AC52" s="234">
        <f t="shared" si="13"/>
        <v>0.59099999999999997</v>
      </c>
      <c r="AD52" s="234">
        <f t="shared" si="13"/>
        <v>0.27100000000000002</v>
      </c>
      <c r="AE52" s="234">
        <f t="shared" si="13"/>
        <v>0.20599999999999999</v>
      </c>
      <c r="AF52" s="234">
        <f t="shared" si="13"/>
        <v>0.17899999999999999</v>
      </c>
      <c r="AG52" s="234">
        <f t="shared" si="13"/>
        <v>0.19400000000000001</v>
      </c>
      <c r="AH52" s="234">
        <f t="shared" si="13"/>
        <v>0.58399999999999996</v>
      </c>
      <c r="AI52" s="234">
        <f t="shared" si="13"/>
        <v>0.59499999999999997</v>
      </c>
      <c r="AJ52" s="234">
        <f t="shared" si="13"/>
        <v>0.56599999999999995</v>
      </c>
      <c r="AK52" s="234">
        <f t="shared" si="13"/>
        <v>0.56899999999999995</v>
      </c>
      <c r="AL52" s="234">
        <f t="shared" si="13"/>
        <v>0.66600000000000004</v>
      </c>
      <c r="AM52" s="234">
        <f t="shared" si="13"/>
        <v>0.20699999999999999</v>
      </c>
      <c r="AN52" s="234">
        <f t="shared" si="13"/>
        <v>0.65200000000000002</v>
      </c>
      <c r="AO52" s="234">
        <f t="shared" si="13"/>
        <v>0.69</v>
      </c>
      <c r="AP52" s="234">
        <f t="shared" si="13"/>
        <v>0.55100000000000005</v>
      </c>
      <c r="AQ52" s="234">
        <f t="shared" si="13"/>
        <v>0.17199999999999999</v>
      </c>
      <c r="AR52" s="234">
        <f t="shared" si="13"/>
        <v>0.20499999999999999</v>
      </c>
      <c r="AS52" s="234">
        <f t="shared" si="13"/>
        <v>0.59499999999999997</v>
      </c>
      <c r="AT52" s="234">
        <f t="shared" si="13"/>
        <v>0.42399999999999999</v>
      </c>
      <c r="AU52" s="234">
        <f t="shared" si="13"/>
        <v>0.40899999999999997</v>
      </c>
      <c r="AV52" s="234">
        <f t="shared" si="13"/>
        <v>0.42399999999999999</v>
      </c>
      <c r="AW52" s="234">
        <f t="shared" si="13"/>
        <v>0.59399999999999997</v>
      </c>
      <c r="AX52" s="234">
        <f t="shared" si="13"/>
        <v>0.59599999999999997</v>
      </c>
      <c r="AY52" s="234">
        <f t="shared" si="13"/>
        <v>0.58499999999999996</v>
      </c>
      <c r="AZ52" s="234">
        <f t="shared" si="13"/>
        <v>0.621</v>
      </c>
      <c r="BA52" s="234">
        <f t="shared" si="13"/>
        <v>0.65300000000000002</v>
      </c>
      <c r="BB52" s="234">
        <f t="shared" si="13"/>
        <v>0.59499999999999997</v>
      </c>
      <c r="BC52" s="234">
        <f t="shared" si="13"/>
        <v>0.56999999999999995</v>
      </c>
      <c r="BD52" s="234">
        <f t="shared" si="13"/>
        <v>0.60899999999999999</v>
      </c>
      <c r="BE52" s="234">
        <f t="shared" si="13"/>
        <v>0.63500000000000001</v>
      </c>
      <c r="BF52" s="234">
        <f t="shared" si="13"/>
        <v>0.57699999999999996</v>
      </c>
      <c r="BG52" s="234">
        <f t="shared" si="13"/>
        <v>0.64500000000000002</v>
      </c>
      <c r="BH52" s="234">
        <f t="shared" si="13"/>
        <v>0.66100000000000003</v>
      </c>
      <c r="BI52" s="234">
        <f t="shared" si="13"/>
        <v>0.65500000000000003</v>
      </c>
      <c r="BJ52" s="234">
        <f t="shared" si="13"/>
        <v>0.6</v>
      </c>
      <c r="BK52" s="234">
        <f t="shared" si="13"/>
        <v>0.65800000000000003</v>
      </c>
      <c r="BL52" s="234">
        <f t="shared" si="13"/>
        <v>0.65300000000000002</v>
      </c>
      <c r="BM52" s="234">
        <f t="shared" si="13"/>
        <v>0.63500000000000001</v>
      </c>
      <c r="BN52" s="234">
        <f t="shared" si="13"/>
        <v>0.65200000000000002</v>
      </c>
      <c r="BO52" s="234">
        <f t="shared" si="13"/>
        <v>0.52500000000000002</v>
      </c>
      <c r="BP52" s="234">
        <f t="shared" si="13"/>
        <v>0.64800000000000002</v>
      </c>
      <c r="BQ52" s="234">
        <f t="shared" ref="BQ52:CT52" si="14">BQ51*0.2+BQ50*0.2</f>
        <v>0.65</v>
      </c>
      <c r="BR52" s="234">
        <f t="shared" si="14"/>
        <v>0.63600000000000001</v>
      </c>
      <c r="BS52" s="234">
        <f t="shared" si="14"/>
        <v>0.56599999999999995</v>
      </c>
      <c r="BT52" s="234">
        <f t="shared" si="14"/>
        <v>0.66100000000000003</v>
      </c>
      <c r="BU52" s="234">
        <f t="shared" si="14"/>
        <v>0.52900000000000003</v>
      </c>
      <c r="BV52" s="234">
        <f t="shared" si="14"/>
        <v>0.59699999999999998</v>
      </c>
      <c r="BW52" s="234">
        <f t="shared" si="14"/>
        <v>0.59399999999999997</v>
      </c>
      <c r="BX52" s="234">
        <f t="shared" si="14"/>
        <v>0.58499999999999996</v>
      </c>
      <c r="BY52" s="234">
        <f t="shared" si="14"/>
        <v>0.61</v>
      </c>
      <c r="BZ52" s="234">
        <f t="shared" si="14"/>
        <v>0.58199999999999996</v>
      </c>
      <c r="CA52" s="234">
        <f t="shared" si="14"/>
        <v>0.59599999999999997</v>
      </c>
      <c r="CB52" s="234">
        <f t="shared" si="14"/>
        <v>0.58599999999999997</v>
      </c>
      <c r="CC52" s="234">
        <f t="shared" si="14"/>
        <v>0.629</v>
      </c>
      <c r="CD52" s="234">
        <f t="shared" si="14"/>
        <v>0.628</v>
      </c>
      <c r="CE52" s="234">
        <f t="shared" si="14"/>
        <v>0.29199999999999998</v>
      </c>
      <c r="CF52" s="234">
        <f t="shared" si="14"/>
        <v>0.66800000000000004</v>
      </c>
      <c r="CG52" s="234">
        <f t="shared" si="14"/>
        <v>0.56699999999999995</v>
      </c>
      <c r="CH52" s="234">
        <f t="shared" si="14"/>
        <v>0.56299999999999994</v>
      </c>
      <c r="CI52" s="234">
        <f t="shared" si="14"/>
        <v>0.66500000000000004</v>
      </c>
      <c r="CJ52" s="234">
        <f t="shared" si="14"/>
        <v>0.66300000000000003</v>
      </c>
      <c r="CK52" s="234">
        <f t="shared" si="14"/>
        <v>0.64800000000000002</v>
      </c>
      <c r="CL52" s="234">
        <f t="shared" si="14"/>
        <v>0.67200000000000004</v>
      </c>
      <c r="CM52" s="234">
        <f t="shared" si="14"/>
        <v>0.63700000000000001</v>
      </c>
      <c r="CN52" s="234">
        <f t="shared" si="14"/>
        <v>0.20699999999999999</v>
      </c>
      <c r="CO52" s="234">
        <f t="shared" si="14"/>
        <v>0.47399999999999998</v>
      </c>
      <c r="CP52" s="234">
        <f t="shared" si="14"/>
        <v>0.53400000000000003</v>
      </c>
      <c r="CQ52" s="234">
        <f t="shared" si="14"/>
        <v>0.53800000000000003</v>
      </c>
      <c r="CR52" s="234">
        <f t="shared" si="14"/>
        <v>0.55700000000000005</v>
      </c>
      <c r="CS52" s="234">
        <f t="shared" si="14"/>
        <v>0.499</v>
      </c>
      <c r="CT52" s="235">
        <f t="shared" si="14"/>
        <v>0.51100000000000001</v>
      </c>
    </row>
    <row r="53" spans="1:99" s="231" customFormat="1" ht="21">
      <c r="A53" s="232"/>
      <c r="B53" s="236" t="s">
        <v>123</v>
      </c>
      <c r="C53" s="236"/>
      <c r="D53" s="234">
        <f>D47</f>
        <v>4.008</v>
      </c>
      <c r="E53" s="234">
        <f t="shared" ref="E53:BO53" si="15">E47</f>
        <v>4.5529999999999999</v>
      </c>
      <c r="F53" s="234">
        <f t="shared" si="15"/>
        <v>3.5779999999999998</v>
      </c>
      <c r="G53" s="234">
        <f t="shared" si="15"/>
        <v>4.0279999999999996</v>
      </c>
      <c r="H53" s="234">
        <f t="shared" si="15"/>
        <v>3.698</v>
      </c>
      <c r="I53" s="234">
        <f t="shared" si="15"/>
        <v>3.996</v>
      </c>
      <c r="J53" s="234">
        <f t="shared" si="15"/>
        <v>3.694</v>
      </c>
      <c r="K53" s="234">
        <f t="shared" si="15"/>
        <v>4.01</v>
      </c>
      <c r="L53" s="234">
        <f t="shared" si="15"/>
        <v>3.9220000000000002</v>
      </c>
      <c r="M53" s="234">
        <f t="shared" si="15"/>
        <v>3.6909999999999998</v>
      </c>
      <c r="N53" s="234">
        <f t="shared" si="15"/>
        <v>3.8620000000000001</v>
      </c>
      <c r="O53" s="234">
        <f t="shared" si="15"/>
        <v>4.016</v>
      </c>
      <c r="P53" s="234">
        <f t="shared" si="15"/>
        <v>4.0270000000000001</v>
      </c>
      <c r="Q53" s="234">
        <f t="shared" si="15"/>
        <v>3.99</v>
      </c>
      <c r="R53" s="234">
        <f t="shared" si="15"/>
        <v>4.4580000000000002</v>
      </c>
      <c r="S53" s="234">
        <f t="shared" si="15"/>
        <v>4.0199999999999996</v>
      </c>
      <c r="T53" s="234">
        <f t="shared" si="15"/>
        <v>4.3659999999999997</v>
      </c>
      <c r="U53" s="234">
        <f t="shared" si="15"/>
        <v>4.0380000000000003</v>
      </c>
      <c r="V53" s="234">
        <f t="shared" si="15"/>
        <v>4.3090000000000002</v>
      </c>
      <c r="W53" s="234">
        <f t="shared" si="15"/>
        <v>4.4119999999999999</v>
      </c>
      <c r="X53" s="234">
        <f t="shared" si="15"/>
        <v>4.5940000000000003</v>
      </c>
      <c r="Y53" s="234">
        <f t="shared" si="15"/>
        <v>4.3390000000000004</v>
      </c>
      <c r="Z53" s="234">
        <f t="shared" si="15"/>
        <v>4.2880000000000003</v>
      </c>
      <c r="AA53" s="234">
        <f t="shared" si="15"/>
        <v>4.16</v>
      </c>
      <c r="AB53" s="234">
        <f t="shared" si="15"/>
        <v>4.4160000000000004</v>
      </c>
      <c r="AC53" s="234">
        <f t="shared" si="15"/>
        <v>4.423</v>
      </c>
      <c r="AD53" s="234">
        <f t="shared" si="15"/>
        <v>1.6279999999999999</v>
      </c>
      <c r="AE53" s="234">
        <f t="shared" si="15"/>
        <v>1.234</v>
      </c>
      <c r="AF53" s="234">
        <f t="shared" si="15"/>
        <v>1.0760000000000001</v>
      </c>
      <c r="AG53" s="234">
        <f t="shared" si="15"/>
        <v>1.1659999999999999</v>
      </c>
      <c r="AH53" s="234">
        <f t="shared" si="15"/>
        <v>3.504</v>
      </c>
      <c r="AI53" s="234">
        <f t="shared" si="15"/>
        <v>3.569</v>
      </c>
      <c r="AJ53" s="234">
        <f t="shared" si="15"/>
        <v>3.3940000000000001</v>
      </c>
      <c r="AK53" s="234">
        <f t="shared" si="15"/>
        <v>4.5439999999999996</v>
      </c>
      <c r="AL53" s="234">
        <f t="shared" si="15"/>
        <v>3.9969999999999999</v>
      </c>
      <c r="AM53" s="234">
        <f t="shared" si="15"/>
        <v>1.244</v>
      </c>
      <c r="AN53" s="234">
        <f t="shared" si="15"/>
        <v>3.9119999999999999</v>
      </c>
      <c r="AO53" s="234">
        <f t="shared" si="15"/>
        <v>4.1379999999999999</v>
      </c>
      <c r="AP53" s="234">
        <f t="shared" si="15"/>
        <v>3.3039999999999998</v>
      </c>
      <c r="AQ53" s="234">
        <f t="shared" si="15"/>
        <v>1.034</v>
      </c>
      <c r="AR53" s="234">
        <f t="shared" si="15"/>
        <v>1.2310000000000001</v>
      </c>
      <c r="AS53" s="234">
        <f t="shared" si="15"/>
        <v>3.5710000000000002</v>
      </c>
      <c r="AT53" s="234">
        <f t="shared" si="15"/>
        <v>3.3140000000000001</v>
      </c>
      <c r="AU53" s="234">
        <f t="shared" si="15"/>
        <v>3.274</v>
      </c>
      <c r="AV53" s="234">
        <f t="shared" si="15"/>
        <v>3.35</v>
      </c>
      <c r="AW53" s="234">
        <f t="shared" si="15"/>
        <v>4.6980000000000004</v>
      </c>
      <c r="AX53" s="234">
        <f t="shared" si="15"/>
        <v>4.6189999999999998</v>
      </c>
      <c r="AY53" s="234">
        <f t="shared" si="15"/>
        <v>3.5089999999999999</v>
      </c>
      <c r="AZ53" s="234">
        <f t="shared" si="15"/>
        <v>3.7250000000000001</v>
      </c>
      <c r="BA53" s="234">
        <f t="shared" si="15"/>
        <v>3.9169999999999998</v>
      </c>
      <c r="BB53" s="234">
        <f t="shared" si="15"/>
        <v>4.234</v>
      </c>
      <c r="BC53" s="234">
        <f t="shared" si="15"/>
        <v>4.6429999999999998</v>
      </c>
      <c r="BD53" s="234">
        <f t="shared" si="15"/>
        <v>3.653</v>
      </c>
      <c r="BE53" s="234">
        <f t="shared" si="15"/>
        <v>3.8119999999999998</v>
      </c>
      <c r="BF53" s="234">
        <f t="shared" si="15"/>
        <v>3.4630000000000001</v>
      </c>
      <c r="BG53" s="234">
        <f t="shared" si="15"/>
        <v>3.871</v>
      </c>
      <c r="BH53" s="234">
        <f t="shared" si="15"/>
        <v>3.9649999999999999</v>
      </c>
      <c r="BI53" s="234">
        <f t="shared" si="15"/>
        <v>3.9289999999999998</v>
      </c>
      <c r="BJ53" s="234">
        <f t="shared" si="15"/>
        <v>3.6</v>
      </c>
      <c r="BK53" s="234">
        <f t="shared" si="15"/>
        <v>3.9489999999999998</v>
      </c>
      <c r="BL53" s="234">
        <f t="shared" si="15"/>
        <v>3.9169999999999998</v>
      </c>
      <c r="BM53" s="234">
        <f t="shared" si="15"/>
        <v>4.484</v>
      </c>
      <c r="BN53" s="234">
        <f t="shared" si="15"/>
        <v>3.91</v>
      </c>
      <c r="BO53" s="234">
        <f t="shared" si="15"/>
        <v>3.1480000000000001</v>
      </c>
      <c r="BP53" s="234">
        <f t="shared" ref="BP53:CT53" si="16">BP47</f>
        <v>3.887</v>
      </c>
      <c r="BQ53" s="234">
        <f t="shared" si="16"/>
        <v>3.8980000000000001</v>
      </c>
      <c r="BR53" s="234">
        <f t="shared" si="16"/>
        <v>3.8149999999999999</v>
      </c>
      <c r="BS53" s="234">
        <f t="shared" si="16"/>
        <v>3.3940000000000001</v>
      </c>
      <c r="BT53" s="234">
        <f t="shared" si="16"/>
        <v>3.9649999999999999</v>
      </c>
      <c r="BU53" s="234">
        <f t="shared" si="16"/>
        <v>3.1760000000000002</v>
      </c>
      <c r="BV53" s="234">
        <f t="shared" si="16"/>
        <v>3.581</v>
      </c>
      <c r="BW53" s="234">
        <f t="shared" si="16"/>
        <v>3.5630000000000002</v>
      </c>
      <c r="BX53" s="234">
        <f t="shared" si="16"/>
        <v>4.37</v>
      </c>
      <c r="BY53" s="234">
        <f t="shared" si="16"/>
        <v>4.3479999999999999</v>
      </c>
      <c r="BZ53" s="234">
        <f t="shared" si="16"/>
        <v>4.3369999999999997</v>
      </c>
      <c r="CA53" s="234">
        <f t="shared" si="16"/>
        <v>4.2969999999999997</v>
      </c>
      <c r="CB53" s="234">
        <f t="shared" si="16"/>
        <v>4.18</v>
      </c>
      <c r="CC53" s="234">
        <f t="shared" si="16"/>
        <v>4.5679999999999996</v>
      </c>
      <c r="CD53" s="234">
        <f t="shared" si="16"/>
        <v>4.5640000000000001</v>
      </c>
      <c r="CE53" s="234">
        <f t="shared" si="16"/>
        <v>1.752</v>
      </c>
      <c r="CF53" s="234">
        <f t="shared" si="16"/>
        <v>4.0069999999999997</v>
      </c>
      <c r="CG53" s="234">
        <f t="shared" si="16"/>
        <v>4.194</v>
      </c>
      <c r="CH53" s="234">
        <f t="shared" si="16"/>
        <v>4.1710000000000003</v>
      </c>
      <c r="CI53" s="234">
        <f t="shared" si="16"/>
        <v>3.992</v>
      </c>
      <c r="CJ53" s="234">
        <f t="shared" si="16"/>
        <v>3.976</v>
      </c>
      <c r="CK53" s="234">
        <f t="shared" si="16"/>
        <v>3.887</v>
      </c>
      <c r="CL53" s="234">
        <f t="shared" si="16"/>
        <v>4.03</v>
      </c>
      <c r="CM53" s="234">
        <f t="shared" si="16"/>
        <v>3.8220000000000001</v>
      </c>
      <c r="CN53" s="234">
        <f t="shared" si="16"/>
        <v>1.24</v>
      </c>
      <c r="CO53" s="234">
        <f t="shared" si="16"/>
        <v>2.8420000000000001</v>
      </c>
      <c r="CP53" s="234">
        <f t="shared" si="16"/>
        <v>3.206</v>
      </c>
      <c r="CQ53" s="234">
        <f t="shared" si="16"/>
        <v>3.2280000000000002</v>
      </c>
      <c r="CR53" s="234">
        <f t="shared" si="16"/>
        <v>3.34</v>
      </c>
      <c r="CS53" s="234">
        <f t="shared" si="16"/>
        <v>2.996</v>
      </c>
      <c r="CT53" s="235">
        <f t="shared" si="16"/>
        <v>3.0659999999999998</v>
      </c>
      <c r="CU53" s="230"/>
    </row>
    <row r="54" spans="1:99" s="231" customFormat="1" ht="21">
      <c r="A54" s="232"/>
      <c r="B54" s="236" t="s">
        <v>124</v>
      </c>
      <c r="C54" s="236"/>
      <c r="D54" s="234">
        <f>D55+D56+D57</f>
        <v>2.8610000000000002</v>
      </c>
      <c r="E54" s="234">
        <f t="shared" ref="E54:BP54" si="17">E55+E56+E57</f>
        <v>2.484</v>
      </c>
      <c r="F54" s="234">
        <f t="shared" si="17"/>
        <v>2.95</v>
      </c>
      <c r="G54" s="234">
        <f t="shared" si="17"/>
        <v>3.302</v>
      </c>
      <c r="H54" s="234">
        <f t="shared" si="17"/>
        <v>2.8079999999999998</v>
      </c>
      <c r="I54" s="234">
        <f t="shared" si="17"/>
        <v>3.1789999999999998</v>
      </c>
      <c r="J54" s="234">
        <f t="shared" si="17"/>
        <v>2.4359999999999999</v>
      </c>
      <c r="K54" s="234">
        <f t="shared" si="17"/>
        <v>3.2770000000000001</v>
      </c>
      <c r="L54" s="234">
        <f t="shared" si="17"/>
        <v>3.11</v>
      </c>
      <c r="M54" s="234">
        <f t="shared" si="17"/>
        <v>2.9630000000000001</v>
      </c>
      <c r="N54" s="234">
        <f t="shared" si="17"/>
        <v>3.0529999999999999</v>
      </c>
      <c r="O54" s="234">
        <f t="shared" si="17"/>
        <v>2.7759999999999998</v>
      </c>
      <c r="P54" s="234">
        <f t="shared" si="17"/>
        <v>3.26</v>
      </c>
      <c r="Q54" s="234">
        <f t="shared" si="17"/>
        <v>2.617</v>
      </c>
      <c r="R54" s="234">
        <f t="shared" si="17"/>
        <v>2.65</v>
      </c>
      <c r="S54" s="234">
        <f t="shared" si="17"/>
        <v>3.1680000000000001</v>
      </c>
      <c r="T54" s="234">
        <f t="shared" si="17"/>
        <v>2.9889999999999999</v>
      </c>
      <c r="U54" s="234">
        <f t="shared" si="17"/>
        <v>3.1779999999999999</v>
      </c>
      <c r="V54" s="234">
        <v>1.8180000000000001</v>
      </c>
      <c r="W54" s="234">
        <v>1.696</v>
      </c>
      <c r="X54" s="234">
        <v>1.792</v>
      </c>
      <c r="Y54" s="234">
        <v>1.7330000000000001</v>
      </c>
      <c r="Z54" s="234">
        <v>1.603</v>
      </c>
      <c r="AA54" s="234">
        <v>1.5669999999999999</v>
      </c>
      <c r="AB54" s="234">
        <v>1.488</v>
      </c>
      <c r="AC54" s="234">
        <v>1.579</v>
      </c>
      <c r="AD54" s="234">
        <f t="shared" si="17"/>
        <v>1.1619999999999999</v>
      </c>
      <c r="AE54" s="234">
        <f t="shared" si="17"/>
        <v>0.60799999999999998</v>
      </c>
      <c r="AF54" s="234">
        <f t="shared" si="17"/>
        <v>0.63200000000000001</v>
      </c>
      <c r="AG54" s="234">
        <f t="shared" si="17"/>
        <v>0.61899999999999999</v>
      </c>
      <c r="AH54" s="234">
        <f t="shared" si="17"/>
        <v>2.1970000000000001</v>
      </c>
      <c r="AI54" s="234">
        <f t="shared" si="17"/>
        <v>2.4969999999999999</v>
      </c>
      <c r="AJ54" s="234">
        <f t="shared" si="17"/>
        <v>2.2810000000000001</v>
      </c>
      <c r="AK54" s="234">
        <f t="shared" si="17"/>
        <v>2.2389999999999999</v>
      </c>
      <c r="AL54" s="234">
        <f t="shared" si="17"/>
        <v>2.5840000000000001</v>
      </c>
      <c r="AM54" s="234">
        <f t="shared" si="17"/>
        <v>0.54400000000000004</v>
      </c>
      <c r="AN54" s="234">
        <v>1.9319999999999999</v>
      </c>
      <c r="AO54" s="234">
        <v>2.0619999999999998</v>
      </c>
      <c r="AP54" s="234">
        <v>1.7569999999999999</v>
      </c>
      <c r="AQ54" s="234">
        <f t="shared" si="17"/>
        <v>0.70199999999999996</v>
      </c>
      <c r="AR54" s="234">
        <f t="shared" si="17"/>
        <v>0.53800000000000003</v>
      </c>
      <c r="AS54" s="234">
        <v>1.768</v>
      </c>
      <c r="AT54" s="234">
        <f t="shared" si="17"/>
        <v>1.9019999999999999</v>
      </c>
      <c r="AU54" s="234">
        <f t="shared" si="17"/>
        <v>1.778</v>
      </c>
      <c r="AV54" s="234">
        <f t="shared" si="17"/>
        <v>1.897</v>
      </c>
      <c r="AW54" s="234">
        <f t="shared" si="17"/>
        <v>2.4500000000000002</v>
      </c>
      <c r="AX54" s="234">
        <f t="shared" si="17"/>
        <v>2.66</v>
      </c>
      <c r="AY54" s="234">
        <f t="shared" si="17"/>
        <v>2.0569999999999999</v>
      </c>
      <c r="AZ54" s="234">
        <f t="shared" si="17"/>
        <v>2.956</v>
      </c>
      <c r="BA54" s="234">
        <f t="shared" si="17"/>
        <v>3.0379999999999998</v>
      </c>
      <c r="BB54" s="234">
        <f t="shared" si="17"/>
        <v>2.5009999999999999</v>
      </c>
      <c r="BC54" s="234">
        <f t="shared" si="17"/>
        <v>2.2480000000000002</v>
      </c>
      <c r="BD54" s="234">
        <f t="shared" si="17"/>
        <v>2.8919999999999999</v>
      </c>
      <c r="BE54" s="234">
        <f t="shared" si="17"/>
        <v>2.9820000000000002</v>
      </c>
      <c r="BF54" s="234">
        <f t="shared" si="17"/>
        <v>2.665</v>
      </c>
      <c r="BG54" s="234">
        <f t="shared" si="17"/>
        <v>3.0790000000000002</v>
      </c>
      <c r="BH54" s="234">
        <f t="shared" si="17"/>
        <v>2.9660000000000002</v>
      </c>
      <c r="BI54" s="234">
        <f t="shared" si="17"/>
        <v>3.145</v>
      </c>
      <c r="BJ54" s="234">
        <f t="shared" si="17"/>
        <v>2.7679999999999998</v>
      </c>
      <c r="BK54" s="234">
        <f t="shared" si="17"/>
        <v>2.9950000000000001</v>
      </c>
      <c r="BL54" s="234">
        <f t="shared" si="17"/>
        <v>3.0670000000000002</v>
      </c>
      <c r="BM54" s="234">
        <f t="shared" si="17"/>
        <v>2.94</v>
      </c>
      <c r="BN54" s="234">
        <f t="shared" si="17"/>
        <v>3.2949999999999999</v>
      </c>
      <c r="BO54" s="234">
        <f t="shared" si="17"/>
        <v>2.3210000000000002</v>
      </c>
      <c r="BP54" s="234">
        <f t="shared" si="17"/>
        <v>3.1970000000000001</v>
      </c>
      <c r="BQ54" s="234">
        <f t="shared" ref="BQ54:CT54" si="18">BQ55+BQ56+BQ57</f>
        <v>3.0840000000000001</v>
      </c>
      <c r="BR54" s="234">
        <f t="shared" si="18"/>
        <v>2.6230000000000002</v>
      </c>
      <c r="BS54" s="234">
        <f t="shared" si="18"/>
        <v>2.6150000000000002</v>
      </c>
      <c r="BT54" s="234">
        <f t="shared" si="18"/>
        <v>3.1760000000000002</v>
      </c>
      <c r="BU54" s="234">
        <f t="shared" si="18"/>
        <v>2.552</v>
      </c>
      <c r="BV54" s="234">
        <f t="shared" si="18"/>
        <v>2.9140000000000001</v>
      </c>
      <c r="BW54" s="234">
        <f t="shared" si="18"/>
        <v>2.1379999999999999</v>
      </c>
      <c r="BX54" s="234">
        <f t="shared" si="18"/>
        <v>2.6150000000000002</v>
      </c>
      <c r="BY54" s="234">
        <f t="shared" si="18"/>
        <v>2.718</v>
      </c>
      <c r="BZ54" s="234">
        <v>1.528</v>
      </c>
      <c r="CA54" s="234">
        <v>1.6579999999999999</v>
      </c>
      <c r="CB54" s="234">
        <v>1.6990000000000001</v>
      </c>
      <c r="CC54" s="234">
        <v>1.5640000000000001</v>
      </c>
      <c r="CD54" s="234">
        <v>1.64</v>
      </c>
      <c r="CE54" s="234">
        <f t="shared" si="18"/>
        <v>0.97699999999999998</v>
      </c>
      <c r="CF54" s="234">
        <f t="shared" si="18"/>
        <v>3.1880000000000002</v>
      </c>
      <c r="CG54" s="234">
        <f t="shared" si="18"/>
        <v>2.1560000000000001</v>
      </c>
      <c r="CH54" s="234">
        <f t="shared" si="18"/>
        <v>2.137</v>
      </c>
      <c r="CI54" s="234">
        <f t="shared" si="18"/>
        <v>2.93</v>
      </c>
      <c r="CJ54" s="234">
        <f t="shared" si="18"/>
        <v>3.0779999999999998</v>
      </c>
      <c r="CK54" s="234">
        <f t="shared" si="18"/>
        <v>3.1480000000000001</v>
      </c>
      <c r="CL54" s="234">
        <f t="shared" si="18"/>
        <v>3.2229999999999999</v>
      </c>
      <c r="CM54" s="234">
        <f t="shared" si="18"/>
        <v>3.0009999999999999</v>
      </c>
      <c r="CN54" s="234">
        <f t="shared" si="18"/>
        <v>0.65</v>
      </c>
      <c r="CO54" s="234">
        <f t="shared" si="18"/>
        <v>2.3820000000000001</v>
      </c>
      <c r="CP54" s="234">
        <f t="shared" si="18"/>
        <v>2.4580000000000002</v>
      </c>
      <c r="CQ54" s="234">
        <f t="shared" si="18"/>
        <v>2.4590000000000001</v>
      </c>
      <c r="CR54" s="234">
        <f t="shared" si="18"/>
        <v>2.419</v>
      </c>
      <c r="CS54" s="234">
        <f t="shared" si="18"/>
        <v>2.4609999999999999</v>
      </c>
      <c r="CT54" s="235">
        <f t="shared" si="18"/>
        <v>2.262</v>
      </c>
    </row>
    <row r="55" spans="1:99" s="231" customFormat="1" ht="21" hidden="1">
      <c r="A55" s="232"/>
      <c r="B55" s="233"/>
      <c r="C55" s="233"/>
      <c r="D55" s="234">
        <f>SUM(D13:D16,D19:D43)-D15-D14</f>
        <v>2.0379999999999998</v>
      </c>
      <c r="E55" s="234">
        <f t="shared" ref="E55:BP55" si="19">SUM(E13:E16,E19:E43)-E15-E14</f>
        <v>1.7689999999999999</v>
      </c>
      <c r="F55" s="234">
        <f t="shared" si="19"/>
        <v>2.101</v>
      </c>
      <c r="G55" s="234">
        <f t="shared" si="19"/>
        <v>2.3519999999999999</v>
      </c>
      <c r="H55" s="234">
        <f t="shared" si="19"/>
        <v>2</v>
      </c>
      <c r="I55" s="234">
        <f t="shared" si="19"/>
        <v>2.2639999999999998</v>
      </c>
      <c r="J55" s="234">
        <f t="shared" si="19"/>
        <v>1.7350000000000001</v>
      </c>
      <c r="K55" s="234">
        <f t="shared" si="19"/>
        <v>2.3340000000000001</v>
      </c>
      <c r="L55" s="234">
        <f t="shared" si="19"/>
        <v>2.2149999999999999</v>
      </c>
      <c r="M55" s="234">
        <f t="shared" si="19"/>
        <v>2.11</v>
      </c>
      <c r="N55" s="234">
        <f t="shared" si="19"/>
        <v>2.1739999999999999</v>
      </c>
      <c r="O55" s="234">
        <f t="shared" si="19"/>
        <v>1.9770000000000001</v>
      </c>
      <c r="P55" s="234">
        <f t="shared" si="19"/>
        <v>2.3220000000000001</v>
      </c>
      <c r="Q55" s="234">
        <f t="shared" si="19"/>
        <v>1.8640000000000001</v>
      </c>
      <c r="R55" s="234">
        <f t="shared" si="19"/>
        <v>1.887</v>
      </c>
      <c r="S55" s="234">
        <f t="shared" si="19"/>
        <v>2.2559999999999998</v>
      </c>
      <c r="T55" s="234">
        <f t="shared" si="19"/>
        <v>2.129</v>
      </c>
      <c r="U55" s="234">
        <f t="shared" si="19"/>
        <v>2.2629999999999999</v>
      </c>
      <c r="V55" s="234">
        <f t="shared" si="19"/>
        <v>2.1040000000000001</v>
      </c>
      <c r="W55" s="234">
        <f t="shared" si="19"/>
        <v>1.9970000000000001</v>
      </c>
      <c r="X55" s="234">
        <f t="shared" si="19"/>
        <v>2.0910000000000002</v>
      </c>
      <c r="Y55" s="234">
        <f t="shared" si="19"/>
        <v>2.024</v>
      </c>
      <c r="Z55" s="234">
        <f t="shared" si="19"/>
        <v>1.869</v>
      </c>
      <c r="AA55" s="234">
        <f t="shared" si="19"/>
        <v>1.8560000000000001</v>
      </c>
      <c r="AB55" s="234">
        <f t="shared" si="19"/>
        <v>1.786</v>
      </c>
      <c r="AC55" s="234">
        <f t="shared" si="19"/>
        <v>1.857</v>
      </c>
      <c r="AD55" s="234">
        <f t="shared" si="19"/>
        <v>0.82699999999999996</v>
      </c>
      <c r="AE55" s="234">
        <f t="shared" si="19"/>
        <v>0.433</v>
      </c>
      <c r="AF55" s="234">
        <f t="shared" si="19"/>
        <v>0.45</v>
      </c>
      <c r="AG55" s="234">
        <f t="shared" si="19"/>
        <v>0.441</v>
      </c>
      <c r="AH55" s="234">
        <f t="shared" si="19"/>
        <v>1.5649999999999999</v>
      </c>
      <c r="AI55" s="234">
        <f t="shared" si="19"/>
        <v>1.7789999999999999</v>
      </c>
      <c r="AJ55" s="234">
        <f t="shared" si="19"/>
        <v>1.625</v>
      </c>
      <c r="AK55" s="234">
        <f t="shared" si="19"/>
        <v>1.595</v>
      </c>
      <c r="AL55" s="234">
        <f t="shared" si="19"/>
        <v>1.84</v>
      </c>
      <c r="AM55" s="234">
        <f t="shared" si="19"/>
        <v>0.38700000000000001</v>
      </c>
      <c r="AN55" s="234">
        <f t="shared" si="19"/>
        <v>2.1309999999999998</v>
      </c>
      <c r="AO55" s="234">
        <f t="shared" si="19"/>
        <v>2.3010000000000002</v>
      </c>
      <c r="AP55" s="234">
        <f t="shared" si="19"/>
        <v>2.0059999999999998</v>
      </c>
      <c r="AQ55" s="234">
        <f t="shared" si="19"/>
        <v>0.5</v>
      </c>
      <c r="AR55" s="234">
        <f t="shared" si="19"/>
        <v>0.38300000000000001</v>
      </c>
      <c r="AS55" s="234">
        <f t="shared" si="19"/>
        <v>1.911</v>
      </c>
      <c r="AT55" s="234">
        <f t="shared" si="19"/>
        <v>1.355</v>
      </c>
      <c r="AU55" s="234">
        <f t="shared" si="19"/>
        <v>1.2669999999999999</v>
      </c>
      <c r="AV55" s="234">
        <f t="shared" si="19"/>
        <v>1.351</v>
      </c>
      <c r="AW55" s="234">
        <f t="shared" si="19"/>
        <v>1.7450000000000001</v>
      </c>
      <c r="AX55" s="234">
        <f t="shared" si="19"/>
        <v>1.895</v>
      </c>
      <c r="AY55" s="234">
        <f t="shared" si="19"/>
        <v>1.4650000000000001</v>
      </c>
      <c r="AZ55" s="234">
        <f t="shared" si="19"/>
        <v>2.105</v>
      </c>
      <c r="BA55" s="234">
        <f t="shared" si="19"/>
        <v>2.1640000000000001</v>
      </c>
      <c r="BB55" s="234">
        <f t="shared" si="19"/>
        <v>1.7809999999999999</v>
      </c>
      <c r="BC55" s="234">
        <f t="shared" si="19"/>
        <v>1.601</v>
      </c>
      <c r="BD55" s="234">
        <f t="shared" si="19"/>
        <v>2.06</v>
      </c>
      <c r="BE55" s="234">
        <f t="shared" si="19"/>
        <v>2.1240000000000001</v>
      </c>
      <c r="BF55" s="234">
        <f t="shared" si="19"/>
        <v>1.8979999999999999</v>
      </c>
      <c r="BG55" s="234">
        <f t="shared" si="19"/>
        <v>2.1930000000000001</v>
      </c>
      <c r="BH55" s="234">
        <f t="shared" si="19"/>
        <v>2.113</v>
      </c>
      <c r="BI55" s="234">
        <f t="shared" si="19"/>
        <v>2.2400000000000002</v>
      </c>
      <c r="BJ55" s="234">
        <f t="shared" si="19"/>
        <v>1.972</v>
      </c>
      <c r="BK55" s="234">
        <f t="shared" si="19"/>
        <v>2.133</v>
      </c>
      <c r="BL55" s="234">
        <f t="shared" si="19"/>
        <v>2.1850000000000001</v>
      </c>
      <c r="BM55" s="234">
        <f t="shared" si="19"/>
        <v>2.0939999999999999</v>
      </c>
      <c r="BN55" s="234">
        <f t="shared" si="19"/>
        <v>2.347</v>
      </c>
      <c r="BO55" s="234">
        <f t="shared" si="19"/>
        <v>1.653</v>
      </c>
      <c r="BP55" s="234">
        <f t="shared" si="19"/>
        <v>2.2770000000000001</v>
      </c>
      <c r="BQ55" s="234">
        <f t="shared" ref="BQ55:CT55" si="20">SUM(BQ13:BQ16,BQ19:BQ43)-BQ15-BQ14</f>
        <v>2.1970000000000001</v>
      </c>
      <c r="BR55" s="234">
        <f t="shared" si="20"/>
        <v>1.8680000000000001</v>
      </c>
      <c r="BS55" s="234">
        <f t="shared" si="20"/>
        <v>1.8620000000000001</v>
      </c>
      <c r="BT55" s="234">
        <f t="shared" si="20"/>
        <v>2.262</v>
      </c>
      <c r="BU55" s="234">
        <f t="shared" si="20"/>
        <v>1.8180000000000001</v>
      </c>
      <c r="BV55" s="234">
        <f t="shared" si="20"/>
        <v>2.0750000000000002</v>
      </c>
      <c r="BW55" s="234">
        <f t="shared" si="20"/>
        <v>1.5229999999999999</v>
      </c>
      <c r="BX55" s="234">
        <f t="shared" si="20"/>
        <v>1.8620000000000001</v>
      </c>
      <c r="BY55" s="234">
        <f t="shared" si="20"/>
        <v>1.9359999999999999</v>
      </c>
      <c r="BZ55" s="234">
        <f t="shared" si="20"/>
        <v>1.8240000000000001</v>
      </c>
      <c r="CA55" s="234">
        <f t="shared" si="20"/>
        <v>1.9490000000000001</v>
      </c>
      <c r="CB55" s="234">
        <f t="shared" si="20"/>
        <v>1.964</v>
      </c>
      <c r="CC55" s="234">
        <f t="shared" si="20"/>
        <v>1.8160000000000001</v>
      </c>
      <c r="CD55" s="234">
        <f t="shared" si="20"/>
        <v>1.8919999999999999</v>
      </c>
      <c r="CE55" s="234">
        <f t="shared" si="20"/>
        <v>0.69599999999999995</v>
      </c>
      <c r="CF55" s="234">
        <f t="shared" si="20"/>
        <v>2.2709999999999999</v>
      </c>
      <c r="CG55" s="234">
        <f t="shared" si="20"/>
        <v>1.536</v>
      </c>
      <c r="CH55" s="234">
        <f t="shared" si="20"/>
        <v>1.522</v>
      </c>
      <c r="CI55" s="234">
        <f t="shared" si="20"/>
        <v>2.0870000000000002</v>
      </c>
      <c r="CJ55" s="234">
        <f t="shared" si="20"/>
        <v>2.1920000000000002</v>
      </c>
      <c r="CK55" s="234">
        <f t="shared" si="20"/>
        <v>2.242</v>
      </c>
      <c r="CL55" s="234">
        <f t="shared" si="20"/>
        <v>2.2959999999999998</v>
      </c>
      <c r="CM55" s="234">
        <f t="shared" si="20"/>
        <v>2.1379999999999999</v>
      </c>
      <c r="CN55" s="234">
        <f t="shared" si="20"/>
        <v>0.46300000000000002</v>
      </c>
      <c r="CO55" s="234">
        <f t="shared" si="20"/>
        <v>1.6970000000000001</v>
      </c>
      <c r="CP55" s="234">
        <f t="shared" si="20"/>
        <v>1.75</v>
      </c>
      <c r="CQ55" s="234">
        <f t="shared" si="20"/>
        <v>1.7509999999999999</v>
      </c>
      <c r="CR55" s="234">
        <f t="shared" si="20"/>
        <v>1.7230000000000001</v>
      </c>
      <c r="CS55" s="234">
        <f t="shared" si="20"/>
        <v>1.7529999999999999</v>
      </c>
      <c r="CT55" s="235">
        <f t="shared" si="20"/>
        <v>1.611</v>
      </c>
    </row>
    <row r="56" spans="1:99" s="231" customFormat="1" ht="21" hidden="1">
      <c r="A56" s="232"/>
      <c r="B56" s="233"/>
      <c r="C56" s="233"/>
      <c r="D56" s="234">
        <f>D55*($D$7-1)</f>
        <v>0.34599999999999997</v>
      </c>
      <c r="E56" s="234">
        <f t="shared" ref="E56:BP56" si="21">E55*($D$7-1)</f>
        <v>0.30099999999999999</v>
      </c>
      <c r="F56" s="234">
        <f t="shared" si="21"/>
        <v>0.35699999999999998</v>
      </c>
      <c r="G56" s="234">
        <f t="shared" si="21"/>
        <v>0.4</v>
      </c>
      <c r="H56" s="234">
        <f t="shared" si="21"/>
        <v>0.34</v>
      </c>
      <c r="I56" s="234">
        <f t="shared" si="21"/>
        <v>0.38500000000000001</v>
      </c>
      <c r="J56" s="234">
        <f t="shared" si="21"/>
        <v>0.29499999999999998</v>
      </c>
      <c r="K56" s="234">
        <f t="shared" si="21"/>
        <v>0.39700000000000002</v>
      </c>
      <c r="L56" s="234">
        <f t="shared" si="21"/>
        <v>0.377</v>
      </c>
      <c r="M56" s="234">
        <f t="shared" si="21"/>
        <v>0.35899999999999999</v>
      </c>
      <c r="N56" s="234">
        <f t="shared" si="21"/>
        <v>0.37</v>
      </c>
      <c r="O56" s="234">
        <f t="shared" si="21"/>
        <v>0.33600000000000002</v>
      </c>
      <c r="P56" s="234">
        <f t="shared" si="21"/>
        <v>0.39500000000000002</v>
      </c>
      <c r="Q56" s="234">
        <f t="shared" si="21"/>
        <v>0.317</v>
      </c>
      <c r="R56" s="234">
        <f t="shared" si="21"/>
        <v>0.32100000000000001</v>
      </c>
      <c r="S56" s="234">
        <f t="shared" si="21"/>
        <v>0.38400000000000001</v>
      </c>
      <c r="T56" s="234">
        <f t="shared" si="21"/>
        <v>0.36199999999999999</v>
      </c>
      <c r="U56" s="234">
        <f t="shared" si="21"/>
        <v>0.38500000000000001</v>
      </c>
      <c r="V56" s="234">
        <f t="shared" si="21"/>
        <v>0.35799999999999998</v>
      </c>
      <c r="W56" s="234">
        <f t="shared" si="21"/>
        <v>0.33900000000000002</v>
      </c>
      <c r="X56" s="234">
        <f t="shared" si="21"/>
        <v>0.35499999999999998</v>
      </c>
      <c r="Y56" s="234">
        <f t="shared" si="21"/>
        <v>0.34399999999999997</v>
      </c>
      <c r="Z56" s="234">
        <f t="shared" si="21"/>
        <v>0.318</v>
      </c>
      <c r="AA56" s="234">
        <f t="shared" si="21"/>
        <v>0.316</v>
      </c>
      <c r="AB56" s="234">
        <f t="shared" si="21"/>
        <v>0.30399999999999999</v>
      </c>
      <c r="AC56" s="234">
        <f t="shared" si="21"/>
        <v>0.316</v>
      </c>
      <c r="AD56" s="234">
        <f t="shared" si="21"/>
        <v>0.14099999999999999</v>
      </c>
      <c r="AE56" s="234">
        <f t="shared" si="21"/>
        <v>7.3999999999999996E-2</v>
      </c>
      <c r="AF56" s="234">
        <f t="shared" si="21"/>
        <v>7.6999999999999999E-2</v>
      </c>
      <c r="AG56" s="234">
        <f t="shared" si="21"/>
        <v>7.4999999999999997E-2</v>
      </c>
      <c r="AH56" s="234">
        <f t="shared" si="21"/>
        <v>0.26600000000000001</v>
      </c>
      <c r="AI56" s="234">
        <f t="shared" si="21"/>
        <v>0.30199999999999999</v>
      </c>
      <c r="AJ56" s="234">
        <f t="shared" si="21"/>
        <v>0.27600000000000002</v>
      </c>
      <c r="AK56" s="234">
        <f t="shared" si="21"/>
        <v>0.27100000000000002</v>
      </c>
      <c r="AL56" s="234">
        <f t="shared" si="21"/>
        <v>0.313</v>
      </c>
      <c r="AM56" s="234">
        <f t="shared" si="21"/>
        <v>6.6000000000000003E-2</v>
      </c>
      <c r="AN56" s="234">
        <f t="shared" si="21"/>
        <v>0.36199999999999999</v>
      </c>
      <c r="AO56" s="234">
        <f t="shared" si="21"/>
        <v>0.39100000000000001</v>
      </c>
      <c r="AP56" s="234">
        <f t="shared" si="21"/>
        <v>0.34100000000000003</v>
      </c>
      <c r="AQ56" s="234">
        <f t="shared" si="21"/>
        <v>8.5000000000000006E-2</v>
      </c>
      <c r="AR56" s="234">
        <f t="shared" si="21"/>
        <v>6.5000000000000002E-2</v>
      </c>
      <c r="AS56" s="234">
        <f t="shared" si="21"/>
        <v>0.32500000000000001</v>
      </c>
      <c r="AT56" s="234">
        <f t="shared" si="21"/>
        <v>0.23</v>
      </c>
      <c r="AU56" s="234">
        <f t="shared" si="21"/>
        <v>0.215</v>
      </c>
      <c r="AV56" s="234">
        <f t="shared" si="21"/>
        <v>0.23</v>
      </c>
      <c r="AW56" s="234">
        <f t="shared" si="21"/>
        <v>0.29699999999999999</v>
      </c>
      <c r="AX56" s="234">
        <f t="shared" si="21"/>
        <v>0.32200000000000001</v>
      </c>
      <c r="AY56" s="234">
        <f t="shared" si="21"/>
        <v>0.249</v>
      </c>
      <c r="AZ56" s="234">
        <f t="shared" si="21"/>
        <v>0.35799999999999998</v>
      </c>
      <c r="BA56" s="234">
        <f t="shared" si="21"/>
        <v>0.36799999999999999</v>
      </c>
      <c r="BB56" s="234">
        <f t="shared" si="21"/>
        <v>0.30299999999999999</v>
      </c>
      <c r="BC56" s="234">
        <f t="shared" si="21"/>
        <v>0.27200000000000002</v>
      </c>
      <c r="BD56" s="234">
        <f t="shared" si="21"/>
        <v>0.35</v>
      </c>
      <c r="BE56" s="234">
        <f t="shared" si="21"/>
        <v>0.36099999999999999</v>
      </c>
      <c r="BF56" s="234">
        <f t="shared" si="21"/>
        <v>0.32300000000000001</v>
      </c>
      <c r="BG56" s="234">
        <f t="shared" si="21"/>
        <v>0.373</v>
      </c>
      <c r="BH56" s="234">
        <f t="shared" si="21"/>
        <v>0.35899999999999999</v>
      </c>
      <c r="BI56" s="234">
        <f t="shared" si="21"/>
        <v>0.38100000000000001</v>
      </c>
      <c r="BJ56" s="234">
        <f t="shared" si="21"/>
        <v>0.33500000000000002</v>
      </c>
      <c r="BK56" s="234">
        <f t="shared" si="21"/>
        <v>0.36299999999999999</v>
      </c>
      <c r="BL56" s="234">
        <f t="shared" si="21"/>
        <v>0.371</v>
      </c>
      <c r="BM56" s="234">
        <f t="shared" si="21"/>
        <v>0.35599999999999998</v>
      </c>
      <c r="BN56" s="234">
        <f t="shared" si="21"/>
        <v>0.39900000000000002</v>
      </c>
      <c r="BO56" s="234">
        <f t="shared" si="21"/>
        <v>0.28100000000000003</v>
      </c>
      <c r="BP56" s="234">
        <f t="shared" si="21"/>
        <v>0.38700000000000001</v>
      </c>
      <c r="BQ56" s="234">
        <f t="shared" ref="BQ56:CT56" si="22">BQ55*($D$7-1)</f>
        <v>0.373</v>
      </c>
      <c r="BR56" s="234">
        <f t="shared" si="22"/>
        <v>0.318</v>
      </c>
      <c r="BS56" s="234">
        <f t="shared" si="22"/>
        <v>0.317</v>
      </c>
      <c r="BT56" s="234">
        <f t="shared" si="22"/>
        <v>0.38500000000000001</v>
      </c>
      <c r="BU56" s="234">
        <f t="shared" si="22"/>
        <v>0.309</v>
      </c>
      <c r="BV56" s="234">
        <f t="shared" si="22"/>
        <v>0.35299999999999998</v>
      </c>
      <c r="BW56" s="234">
        <f t="shared" si="22"/>
        <v>0.25900000000000001</v>
      </c>
      <c r="BX56" s="234">
        <f t="shared" si="22"/>
        <v>0.317</v>
      </c>
      <c r="BY56" s="234">
        <f t="shared" si="22"/>
        <v>0.32900000000000001</v>
      </c>
      <c r="BZ56" s="234">
        <f t="shared" si="22"/>
        <v>0.31</v>
      </c>
      <c r="CA56" s="234">
        <f t="shared" si="22"/>
        <v>0.33100000000000002</v>
      </c>
      <c r="CB56" s="234">
        <f t="shared" si="22"/>
        <v>0.33400000000000002</v>
      </c>
      <c r="CC56" s="234">
        <f t="shared" si="22"/>
        <v>0.309</v>
      </c>
      <c r="CD56" s="234">
        <f t="shared" si="22"/>
        <v>0.32200000000000001</v>
      </c>
      <c r="CE56" s="234">
        <f t="shared" si="22"/>
        <v>0.11799999999999999</v>
      </c>
      <c r="CF56" s="234">
        <f t="shared" si="22"/>
        <v>0.38600000000000001</v>
      </c>
      <c r="CG56" s="234">
        <f t="shared" si="22"/>
        <v>0.26100000000000001</v>
      </c>
      <c r="CH56" s="234">
        <f t="shared" si="22"/>
        <v>0.25900000000000001</v>
      </c>
      <c r="CI56" s="234">
        <f t="shared" si="22"/>
        <v>0.35499999999999998</v>
      </c>
      <c r="CJ56" s="234">
        <f t="shared" si="22"/>
        <v>0.373</v>
      </c>
      <c r="CK56" s="234">
        <f t="shared" si="22"/>
        <v>0.38100000000000001</v>
      </c>
      <c r="CL56" s="234">
        <f t="shared" si="22"/>
        <v>0.39</v>
      </c>
      <c r="CM56" s="234">
        <f t="shared" si="22"/>
        <v>0.36299999999999999</v>
      </c>
      <c r="CN56" s="234">
        <f t="shared" si="22"/>
        <v>7.9000000000000001E-2</v>
      </c>
      <c r="CO56" s="234">
        <f t="shared" si="22"/>
        <v>0.28799999999999998</v>
      </c>
      <c r="CP56" s="234">
        <f t="shared" si="22"/>
        <v>0.29799999999999999</v>
      </c>
      <c r="CQ56" s="234">
        <f t="shared" si="22"/>
        <v>0.29799999999999999</v>
      </c>
      <c r="CR56" s="234">
        <f t="shared" si="22"/>
        <v>0.29299999999999998</v>
      </c>
      <c r="CS56" s="234">
        <f t="shared" si="22"/>
        <v>0.29799999999999999</v>
      </c>
      <c r="CT56" s="235">
        <f t="shared" si="22"/>
        <v>0.27400000000000002</v>
      </c>
    </row>
    <row r="57" spans="1:99" s="231" customFormat="1" ht="21" hidden="1">
      <c r="A57" s="232"/>
      <c r="B57" s="233"/>
      <c r="C57" s="233"/>
      <c r="D57" s="234">
        <f>D56*0.2+D55*0.2</f>
        <v>0.47699999999999998</v>
      </c>
      <c r="E57" s="234">
        <f t="shared" ref="E57:BP57" si="23">E56*0.2+E55*0.2</f>
        <v>0.41399999999999998</v>
      </c>
      <c r="F57" s="234">
        <f t="shared" si="23"/>
        <v>0.49199999999999999</v>
      </c>
      <c r="G57" s="234">
        <f t="shared" si="23"/>
        <v>0.55000000000000004</v>
      </c>
      <c r="H57" s="234">
        <f t="shared" si="23"/>
        <v>0.46800000000000003</v>
      </c>
      <c r="I57" s="234">
        <f t="shared" si="23"/>
        <v>0.53</v>
      </c>
      <c r="J57" s="234">
        <f t="shared" si="23"/>
        <v>0.40600000000000003</v>
      </c>
      <c r="K57" s="234">
        <f t="shared" si="23"/>
        <v>0.54600000000000004</v>
      </c>
      <c r="L57" s="234">
        <f t="shared" si="23"/>
        <v>0.51800000000000002</v>
      </c>
      <c r="M57" s="234">
        <f t="shared" si="23"/>
        <v>0.49399999999999999</v>
      </c>
      <c r="N57" s="234">
        <f t="shared" si="23"/>
        <v>0.50900000000000001</v>
      </c>
      <c r="O57" s="234">
        <f t="shared" si="23"/>
        <v>0.46300000000000002</v>
      </c>
      <c r="P57" s="234">
        <f t="shared" si="23"/>
        <v>0.54300000000000004</v>
      </c>
      <c r="Q57" s="234">
        <f t="shared" si="23"/>
        <v>0.436</v>
      </c>
      <c r="R57" s="234">
        <f t="shared" si="23"/>
        <v>0.442</v>
      </c>
      <c r="S57" s="234">
        <f t="shared" si="23"/>
        <v>0.52800000000000002</v>
      </c>
      <c r="T57" s="234">
        <f t="shared" si="23"/>
        <v>0.498</v>
      </c>
      <c r="U57" s="234">
        <f t="shared" si="23"/>
        <v>0.53</v>
      </c>
      <c r="V57" s="234">
        <f t="shared" si="23"/>
        <v>0.49199999999999999</v>
      </c>
      <c r="W57" s="234">
        <f t="shared" si="23"/>
        <v>0.46700000000000003</v>
      </c>
      <c r="X57" s="234">
        <f t="shared" si="23"/>
        <v>0.48899999999999999</v>
      </c>
      <c r="Y57" s="234">
        <f t="shared" si="23"/>
        <v>0.47399999999999998</v>
      </c>
      <c r="Z57" s="234">
        <f t="shared" si="23"/>
        <v>0.437</v>
      </c>
      <c r="AA57" s="234">
        <f t="shared" si="23"/>
        <v>0.434</v>
      </c>
      <c r="AB57" s="234">
        <f t="shared" si="23"/>
        <v>0.41799999999999998</v>
      </c>
      <c r="AC57" s="234">
        <f t="shared" si="23"/>
        <v>0.435</v>
      </c>
      <c r="AD57" s="234">
        <f t="shared" si="23"/>
        <v>0.19400000000000001</v>
      </c>
      <c r="AE57" s="234">
        <f t="shared" si="23"/>
        <v>0.10100000000000001</v>
      </c>
      <c r="AF57" s="234">
        <f t="shared" si="23"/>
        <v>0.105</v>
      </c>
      <c r="AG57" s="234">
        <f t="shared" si="23"/>
        <v>0.10299999999999999</v>
      </c>
      <c r="AH57" s="234">
        <f t="shared" si="23"/>
        <v>0.36599999999999999</v>
      </c>
      <c r="AI57" s="234">
        <f t="shared" si="23"/>
        <v>0.41599999999999998</v>
      </c>
      <c r="AJ57" s="234">
        <f t="shared" si="23"/>
        <v>0.38</v>
      </c>
      <c r="AK57" s="234">
        <f t="shared" si="23"/>
        <v>0.373</v>
      </c>
      <c r="AL57" s="234">
        <f t="shared" si="23"/>
        <v>0.43099999999999999</v>
      </c>
      <c r="AM57" s="234">
        <f t="shared" si="23"/>
        <v>9.0999999999999998E-2</v>
      </c>
      <c r="AN57" s="234">
        <f t="shared" si="23"/>
        <v>0.499</v>
      </c>
      <c r="AO57" s="234">
        <f t="shared" si="23"/>
        <v>0.53800000000000003</v>
      </c>
      <c r="AP57" s="234">
        <f t="shared" si="23"/>
        <v>0.46899999999999997</v>
      </c>
      <c r="AQ57" s="234">
        <f t="shared" si="23"/>
        <v>0.11700000000000001</v>
      </c>
      <c r="AR57" s="234">
        <f t="shared" si="23"/>
        <v>0.09</v>
      </c>
      <c r="AS57" s="234">
        <f t="shared" si="23"/>
        <v>0.44700000000000001</v>
      </c>
      <c r="AT57" s="234">
        <f t="shared" si="23"/>
        <v>0.317</v>
      </c>
      <c r="AU57" s="234">
        <f t="shared" si="23"/>
        <v>0.29599999999999999</v>
      </c>
      <c r="AV57" s="234">
        <f t="shared" si="23"/>
        <v>0.316</v>
      </c>
      <c r="AW57" s="234">
        <f t="shared" si="23"/>
        <v>0.40799999999999997</v>
      </c>
      <c r="AX57" s="234">
        <f t="shared" si="23"/>
        <v>0.443</v>
      </c>
      <c r="AY57" s="234">
        <f t="shared" si="23"/>
        <v>0.34300000000000003</v>
      </c>
      <c r="AZ57" s="234">
        <f t="shared" si="23"/>
        <v>0.49299999999999999</v>
      </c>
      <c r="BA57" s="234">
        <f t="shared" si="23"/>
        <v>0.50600000000000001</v>
      </c>
      <c r="BB57" s="234">
        <f t="shared" si="23"/>
        <v>0.41699999999999998</v>
      </c>
      <c r="BC57" s="234">
        <f t="shared" si="23"/>
        <v>0.375</v>
      </c>
      <c r="BD57" s="234">
        <f t="shared" si="23"/>
        <v>0.48199999999999998</v>
      </c>
      <c r="BE57" s="234">
        <f t="shared" si="23"/>
        <v>0.497</v>
      </c>
      <c r="BF57" s="234">
        <f t="shared" si="23"/>
        <v>0.44400000000000001</v>
      </c>
      <c r="BG57" s="234">
        <f t="shared" si="23"/>
        <v>0.51300000000000001</v>
      </c>
      <c r="BH57" s="234">
        <f t="shared" si="23"/>
        <v>0.49399999999999999</v>
      </c>
      <c r="BI57" s="234">
        <f t="shared" si="23"/>
        <v>0.52400000000000002</v>
      </c>
      <c r="BJ57" s="234">
        <f t="shared" si="23"/>
        <v>0.46100000000000002</v>
      </c>
      <c r="BK57" s="234">
        <f t="shared" si="23"/>
        <v>0.499</v>
      </c>
      <c r="BL57" s="234">
        <f t="shared" si="23"/>
        <v>0.51100000000000001</v>
      </c>
      <c r="BM57" s="234">
        <f t="shared" si="23"/>
        <v>0.49</v>
      </c>
      <c r="BN57" s="234">
        <f t="shared" si="23"/>
        <v>0.54900000000000004</v>
      </c>
      <c r="BO57" s="234">
        <f t="shared" si="23"/>
        <v>0.38700000000000001</v>
      </c>
      <c r="BP57" s="234">
        <f t="shared" si="23"/>
        <v>0.53300000000000003</v>
      </c>
      <c r="BQ57" s="234">
        <f t="shared" ref="BQ57:CT57" si="24">BQ56*0.2+BQ55*0.2</f>
        <v>0.51400000000000001</v>
      </c>
      <c r="BR57" s="234">
        <f t="shared" si="24"/>
        <v>0.437</v>
      </c>
      <c r="BS57" s="234">
        <f t="shared" si="24"/>
        <v>0.436</v>
      </c>
      <c r="BT57" s="234">
        <f t="shared" si="24"/>
        <v>0.52900000000000003</v>
      </c>
      <c r="BU57" s="234">
        <f t="shared" si="24"/>
        <v>0.42499999999999999</v>
      </c>
      <c r="BV57" s="234">
        <f t="shared" si="24"/>
        <v>0.48599999999999999</v>
      </c>
      <c r="BW57" s="234">
        <f t="shared" si="24"/>
        <v>0.35599999999999998</v>
      </c>
      <c r="BX57" s="234">
        <f t="shared" si="24"/>
        <v>0.436</v>
      </c>
      <c r="BY57" s="234">
        <f t="shared" si="24"/>
        <v>0.45300000000000001</v>
      </c>
      <c r="BZ57" s="234">
        <f t="shared" si="24"/>
        <v>0.42699999999999999</v>
      </c>
      <c r="CA57" s="234">
        <f t="shared" si="24"/>
        <v>0.45600000000000002</v>
      </c>
      <c r="CB57" s="234">
        <f t="shared" si="24"/>
        <v>0.46</v>
      </c>
      <c r="CC57" s="234">
        <f t="shared" si="24"/>
        <v>0.42499999999999999</v>
      </c>
      <c r="CD57" s="234">
        <f t="shared" si="24"/>
        <v>0.443</v>
      </c>
      <c r="CE57" s="234">
        <f t="shared" si="24"/>
        <v>0.16300000000000001</v>
      </c>
      <c r="CF57" s="234">
        <f t="shared" si="24"/>
        <v>0.53100000000000003</v>
      </c>
      <c r="CG57" s="234">
        <f t="shared" si="24"/>
        <v>0.35899999999999999</v>
      </c>
      <c r="CH57" s="234">
        <f t="shared" si="24"/>
        <v>0.35599999999999998</v>
      </c>
      <c r="CI57" s="234">
        <f t="shared" si="24"/>
        <v>0.48799999999999999</v>
      </c>
      <c r="CJ57" s="234">
        <f t="shared" si="24"/>
        <v>0.51300000000000001</v>
      </c>
      <c r="CK57" s="234">
        <f t="shared" si="24"/>
        <v>0.52500000000000002</v>
      </c>
      <c r="CL57" s="234">
        <f t="shared" si="24"/>
        <v>0.53700000000000003</v>
      </c>
      <c r="CM57" s="234">
        <f t="shared" si="24"/>
        <v>0.5</v>
      </c>
      <c r="CN57" s="234">
        <f t="shared" si="24"/>
        <v>0.108</v>
      </c>
      <c r="CO57" s="234">
        <f t="shared" si="24"/>
        <v>0.39700000000000002</v>
      </c>
      <c r="CP57" s="234">
        <f t="shared" si="24"/>
        <v>0.41</v>
      </c>
      <c r="CQ57" s="234">
        <f t="shared" si="24"/>
        <v>0.41</v>
      </c>
      <c r="CR57" s="234">
        <f t="shared" si="24"/>
        <v>0.40300000000000002</v>
      </c>
      <c r="CS57" s="234">
        <f t="shared" si="24"/>
        <v>0.41</v>
      </c>
      <c r="CT57" s="235">
        <f t="shared" si="24"/>
        <v>0.377</v>
      </c>
    </row>
    <row r="58" spans="1:99" s="231" customFormat="1" ht="21.75" thickBot="1">
      <c r="A58" s="237"/>
      <c r="B58" s="238" t="s">
        <v>125</v>
      </c>
      <c r="C58" s="238"/>
      <c r="D58" s="239">
        <f>D59+D60+D61</f>
        <v>2.988</v>
      </c>
      <c r="E58" s="239">
        <f t="shared" ref="E58:BP58" si="25">E59+E60+E61</f>
        <v>2.927</v>
      </c>
      <c r="F58" s="239">
        <f t="shared" si="25"/>
        <v>3.16</v>
      </c>
      <c r="G58" s="239">
        <f t="shared" si="25"/>
        <v>3.536</v>
      </c>
      <c r="H58" s="239">
        <f t="shared" si="25"/>
        <v>2.9089999999999998</v>
      </c>
      <c r="I58" s="239">
        <f t="shared" si="25"/>
        <v>3.4129999999999998</v>
      </c>
      <c r="J58" s="239">
        <f t="shared" si="25"/>
        <v>2.569</v>
      </c>
      <c r="K58" s="239">
        <f t="shared" si="25"/>
        <v>3.5089999999999999</v>
      </c>
      <c r="L58" s="239">
        <f t="shared" si="25"/>
        <v>3.4180000000000001</v>
      </c>
      <c r="M58" s="239">
        <f t="shared" si="25"/>
        <v>3.2280000000000002</v>
      </c>
      <c r="N58" s="239">
        <f t="shared" si="25"/>
        <v>3.3290000000000002</v>
      </c>
      <c r="O58" s="239">
        <f t="shared" si="25"/>
        <v>2.9119999999999999</v>
      </c>
      <c r="P58" s="239">
        <f t="shared" si="25"/>
        <v>3.4569999999999999</v>
      </c>
      <c r="Q58" s="239">
        <f t="shared" si="25"/>
        <v>2.8420000000000001</v>
      </c>
      <c r="R58" s="239">
        <f t="shared" si="25"/>
        <v>3.0960000000000001</v>
      </c>
      <c r="S58" s="239">
        <f t="shared" si="25"/>
        <v>3.3559999999999999</v>
      </c>
      <c r="T58" s="239">
        <f t="shared" si="25"/>
        <v>3.234</v>
      </c>
      <c r="U58" s="239">
        <f t="shared" si="25"/>
        <v>3.3519999999999999</v>
      </c>
      <c r="V58" s="239">
        <v>2.056</v>
      </c>
      <c r="W58" s="239">
        <v>1.9610000000000001</v>
      </c>
      <c r="X58" s="239">
        <v>2.0379999999999998</v>
      </c>
      <c r="Y58" s="239">
        <v>2.0259999999999998</v>
      </c>
      <c r="Z58" s="239">
        <v>1.8859999999999999</v>
      </c>
      <c r="AA58" s="239">
        <v>1.82</v>
      </c>
      <c r="AB58" s="239">
        <v>1.7649999999999999</v>
      </c>
      <c r="AC58" s="239">
        <v>1.877</v>
      </c>
      <c r="AD58" s="239">
        <f t="shared" si="25"/>
        <v>1.1619999999999999</v>
      </c>
      <c r="AE58" s="239">
        <f t="shared" si="25"/>
        <v>0.60799999999999998</v>
      </c>
      <c r="AF58" s="239">
        <f t="shared" si="25"/>
        <v>0.63200000000000001</v>
      </c>
      <c r="AG58" s="239">
        <f t="shared" si="25"/>
        <v>0.61899999999999999</v>
      </c>
      <c r="AH58" s="239">
        <f t="shared" si="25"/>
        <v>2.4380000000000002</v>
      </c>
      <c r="AI58" s="239">
        <f t="shared" si="25"/>
        <v>2.6320000000000001</v>
      </c>
      <c r="AJ58" s="239">
        <f t="shared" si="25"/>
        <v>2.3889999999999998</v>
      </c>
      <c r="AK58" s="239">
        <f t="shared" si="25"/>
        <v>2.4500000000000002</v>
      </c>
      <c r="AL58" s="239">
        <f t="shared" si="25"/>
        <v>2.81</v>
      </c>
      <c r="AM58" s="239">
        <f t="shared" si="25"/>
        <v>0.54400000000000004</v>
      </c>
      <c r="AN58" s="239">
        <v>1.9319999999999999</v>
      </c>
      <c r="AO58" s="239">
        <v>2.125</v>
      </c>
      <c r="AP58" s="239">
        <v>1.7569999999999999</v>
      </c>
      <c r="AQ58" s="239">
        <f t="shared" si="25"/>
        <v>0.70199999999999996</v>
      </c>
      <c r="AR58" s="239">
        <f t="shared" si="25"/>
        <v>0.53800000000000003</v>
      </c>
      <c r="AS58" s="239">
        <v>1.964</v>
      </c>
      <c r="AT58" s="239">
        <f t="shared" si="25"/>
        <v>2.2029999999999998</v>
      </c>
      <c r="AU58" s="239">
        <f t="shared" si="25"/>
        <v>2.1120000000000001</v>
      </c>
      <c r="AV58" s="239">
        <f t="shared" si="25"/>
        <v>2.2040000000000002</v>
      </c>
      <c r="AW58" s="239">
        <f t="shared" si="25"/>
        <v>2.875</v>
      </c>
      <c r="AX58" s="239">
        <f t="shared" si="25"/>
        <v>3.07</v>
      </c>
      <c r="AY58" s="239">
        <f t="shared" si="25"/>
        <v>2.2120000000000002</v>
      </c>
      <c r="AZ58" s="239">
        <f t="shared" si="25"/>
        <v>3.169</v>
      </c>
      <c r="BA58" s="239">
        <f t="shared" si="25"/>
        <v>3.2959999999999998</v>
      </c>
      <c r="BB58" s="239">
        <f t="shared" si="25"/>
        <v>3.1640000000000001</v>
      </c>
      <c r="BC58" s="239">
        <f t="shared" si="25"/>
        <v>2.831</v>
      </c>
      <c r="BD58" s="239">
        <f t="shared" si="25"/>
        <v>3.1659999999999999</v>
      </c>
      <c r="BE58" s="239">
        <f t="shared" si="25"/>
        <v>3.206</v>
      </c>
      <c r="BF58" s="239">
        <f t="shared" si="25"/>
        <v>2.9870000000000001</v>
      </c>
      <c r="BG58" s="239">
        <f t="shared" si="25"/>
        <v>3.3279999999999998</v>
      </c>
      <c r="BH58" s="239">
        <f t="shared" si="25"/>
        <v>3.1850000000000001</v>
      </c>
      <c r="BI58" s="239">
        <f t="shared" si="25"/>
        <v>3.3889999999999998</v>
      </c>
      <c r="BJ58" s="239">
        <f t="shared" si="25"/>
        <v>3.0459999999999998</v>
      </c>
      <c r="BK58" s="239">
        <f t="shared" si="25"/>
        <v>3.3130000000000002</v>
      </c>
      <c r="BL58" s="239">
        <f t="shared" si="25"/>
        <v>3.2280000000000002</v>
      </c>
      <c r="BM58" s="239">
        <f t="shared" si="25"/>
        <v>3.3530000000000002</v>
      </c>
      <c r="BN58" s="239">
        <f t="shared" si="25"/>
        <v>3.4140000000000001</v>
      </c>
      <c r="BO58" s="239">
        <f t="shared" si="25"/>
        <v>2.4119999999999999</v>
      </c>
      <c r="BP58" s="239">
        <f t="shared" si="25"/>
        <v>3.4359999999999999</v>
      </c>
      <c r="BQ58" s="239">
        <f t="shared" ref="BQ58:CT58" si="26">BQ59+BQ60+BQ61</f>
        <v>3.3359999999999999</v>
      </c>
      <c r="BR58" s="239">
        <f t="shared" si="26"/>
        <v>2.7759999999999998</v>
      </c>
      <c r="BS58" s="239">
        <f t="shared" si="26"/>
        <v>2.827</v>
      </c>
      <c r="BT58" s="239">
        <f t="shared" si="26"/>
        <v>3.4209999999999998</v>
      </c>
      <c r="BU58" s="239">
        <f t="shared" si="26"/>
        <v>2.702</v>
      </c>
      <c r="BV58" s="239">
        <f t="shared" si="26"/>
        <v>3.0910000000000002</v>
      </c>
      <c r="BW58" s="239">
        <f t="shared" si="26"/>
        <v>2.2930000000000001</v>
      </c>
      <c r="BX58" s="239">
        <f t="shared" si="26"/>
        <v>3.0230000000000001</v>
      </c>
      <c r="BY58" s="239">
        <f t="shared" si="26"/>
        <v>3.1160000000000001</v>
      </c>
      <c r="BZ58" s="239">
        <v>1.7929999999999999</v>
      </c>
      <c r="CA58" s="239">
        <v>1.8819999999999999</v>
      </c>
      <c r="CB58" s="239">
        <v>1.931</v>
      </c>
      <c r="CC58" s="239">
        <v>1.81</v>
      </c>
      <c r="CD58" s="239">
        <v>1.859</v>
      </c>
      <c r="CE58" s="239">
        <f t="shared" si="26"/>
        <v>0.97699999999999998</v>
      </c>
      <c r="CF58" s="239">
        <f t="shared" si="26"/>
        <v>3.4220000000000002</v>
      </c>
      <c r="CG58" s="239">
        <f t="shared" si="26"/>
        <v>2.6360000000000001</v>
      </c>
      <c r="CH58" s="239">
        <f t="shared" si="26"/>
        <v>2.617</v>
      </c>
      <c r="CI58" s="239">
        <f t="shared" si="26"/>
        <v>3.2160000000000002</v>
      </c>
      <c r="CJ58" s="239">
        <f t="shared" si="26"/>
        <v>3.3650000000000002</v>
      </c>
      <c r="CK58" s="239">
        <f t="shared" si="26"/>
        <v>3.4</v>
      </c>
      <c r="CL58" s="239">
        <f t="shared" si="26"/>
        <v>3.4340000000000002</v>
      </c>
      <c r="CM58" s="239">
        <f t="shared" si="26"/>
        <v>3.2930000000000001</v>
      </c>
      <c r="CN58" s="239">
        <f t="shared" si="26"/>
        <v>0.65</v>
      </c>
      <c r="CO58" s="239">
        <f t="shared" si="26"/>
        <v>2.3820000000000001</v>
      </c>
      <c r="CP58" s="239">
        <f t="shared" si="26"/>
        <v>2.4580000000000002</v>
      </c>
      <c r="CQ58" s="239">
        <f t="shared" si="26"/>
        <v>2.4590000000000001</v>
      </c>
      <c r="CR58" s="239">
        <f t="shared" si="26"/>
        <v>2.419</v>
      </c>
      <c r="CS58" s="239">
        <f t="shared" si="26"/>
        <v>2.4609999999999999</v>
      </c>
      <c r="CT58" s="240">
        <f t="shared" si="26"/>
        <v>2.262</v>
      </c>
    </row>
    <row r="59" spans="1:99" s="67" customFormat="1" ht="18.75" hidden="1">
      <c r="A59" s="68"/>
      <c r="B59" s="69"/>
      <c r="C59" s="69"/>
      <c r="D59" s="70">
        <f>SUM(D13:D16,D19:D43)-D15</f>
        <v>2.1280000000000001</v>
      </c>
      <c r="E59" s="70">
        <f t="shared" ref="E59:BP59" si="27">SUM(E13:E16,E19:E43)-E15</f>
        <v>2.085</v>
      </c>
      <c r="F59" s="70">
        <f t="shared" si="27"/>
        <v>2.25</v>
      </c>
      <c r="G59" s="70">
        <f t="shared" si="27"/>
        <v>2.5190000000000001</v>
      </c>
      <c r="H59" s="70">
        <f t="shared" si="27"/>
        <v>2.0720000000000001</v>
      </c>
      <c r="I59" s="70">
        <f t="shared" si="27"/>
        <v>2.431</v>
      </c>
      <c r="J59" s="70">
        <f t="shared" si="27"/>
        <v>1.83</v>
      </c>
      <c r="K59" s="70">
        <f t="shared" si="27"/>
        <v>2.4990000000000001</v>
      </c>
      <c r="L59" s="70">
        <f t="shared" si="27"/>
        <v>2.4340000000000002</v>
      </c>
      <c r="M59" s="70">
        <f t="shared" si="27"/>
        <v>2.2989999999999999</v>
      </c>
      <c r="N59" s="70">
        <f t="shared" si="27"/>
        <v>2.371</v>
      </c>
      <c r="O59" s="70">
        <f t="shared" si="27"/>
        <v>2.0739999999999998</v>
      </c>
      <c r="P59" s="70">
        <f t="shared" si="27"/>
        <v>2.4620000000000002</v>
      </c>
      <c r="Q59" s="70">
        <f t="shared" si="27"/>
        <v>2.024</v>
      </c>
      <c r="R59" s="70">
        <f t="shared" si="27"/>
        <v>2.2050000000000001</v>
      </c>
      <c r="S59" s="70">
        <f t="shared" si="27"/>
        <v>2.391</v>
      </c>
      <c r="T59" s="70">
        <f t="shared" si="27"/>
        <v>2.3029999999999999</v>
      </c>
      <c r="U59" s="70">
        <f t="shared" si="27"/>
        <v>2.387</v>
      </c>
      <c r="V59" s="70">
        <f t="shared" si="27"/>
        <v>2.34</v>
      </c>
      <c r="W59" s="70">
        <f t="shared" si="27"/>
        <v>2.2610000000000001</v>
      </c>
      <c r="X59" s="70">
        <f t="shared" si="27"/>
        <v>2.3359999999999999</v>
      </c>
      <c r="Y59" s="70">
        <f t="shared" si="27"/>
        <v>2.3159999999999998</v>
      </c>
      <c r="Z59" s="70">
        <f t="shared" si="27"/>
        <v>2.1509999999999998</v>
      </c>
      <c r="AA59" s="70">
        <f t="shared" si="27"/>
        <v>2.11</v>
      </c>
      <c r="AB59" s="70">
        <f t="shared" si="27"/>
        <v>2.0619999999999998</v>
      </c>
      <c r="AC59" s="70">
        <f t="shared" si="27"/>
        <v>2.1539999999999999</v>
      </c>
      <c r="AD59" s="70">
        <f t="shared" si="27"/>
        <v>0.82699999999999996</v>
      </c>
      <c r="AE59" s="70">
        <f t="shared" si="27"/>
        <v>0.433</v>
      </c>
      <c r="AF59" s="70">
        <f t="shared" si="27"/>
        <v>0.45</v>
      </c>
      <c r="AG59" s="70">
        <f t="shared" si="27"/>
        <v>0.441</v>
      </c>
      <c r="AH59" s="70">
        <f t="shared" si="27"/>
        <v>1.7370000000000001</v>
      </c>
      <c r="AI59" s="70">
        <f t="shared" si="27"/>
        <v>1.8740000000000001</v>
      </c>
      <c r="AJ59" s="70">
        <f t="shared" si="27"/>
        <v>1.702</v>
      </c>
      <c r="AK59" s="70">
        <f t="shared" si="27"/>
        <v>1.7450000000000001</v>
      </c>
      <c r="AL59" s="70">
        <f t="shared" si="27"/>
        <v>2.0019999999999998</v>
      </c>
      <c r="AM59" s="70">
        <f t="shared" si="27"/>
        <v>0.38700000000000001</v>
      </c>
      <c r="AN59" s="70">
        <f t="shared" si="27"/>
        <v>2.1309999999999998</v>
      </c>
      <c r="AO59" s="70">
        <f t="shared" si="27"/>
        <v>2.3650000000000002</v>
      </c>
      <c r="AP59" s="70">
        <f t="shared" si="27"/>
        <v>2.0059999999999998</v>
      </c>
      <c r="AQ59" s="70">
        <f t="shared" si="27"/>
        <v>0.5</v>
      </c>
      <c r="AR59" s="70">
        <f t="shared" si="27"/>
        <v>0.38300000000000001</v>
      </c>
      <c r="AS59" s="70">
        <f t="shared" si="27"/>
        <v>2.1080000000000001</v>
      </c>
      <c r="AT59" s="70">
        <f t="shared" si="27"/>
        <v>1.569</v>
      </c>
      <c r="AU59" s="70">
        <f t="shared" si="27"/>
        <v>1.504</v>
      </c>
      <c r="AV59" s="70">
        <f t="shared" si="27"/>
        <v>1.57</v>
      </c>
      <c r="AW59" s="70">
        <f t="shared" si="27"/>
        <v>2.048</v>
      </c>
      <c r="AX59" s="70">
        <f t="shared" si="27"/>
        <v>2.1859999999999999</v>
      </c>
      <c r="AY59" s="70">
        <f t="shared" si="27"/>
        <v>1.575</v>
      </c>
      <c r="AZ59" s="70">
        <f t="shared" si="27"/>
        <v>2.2570000000000001</v>
      </c>
      <c r="BA59" s="70">
        <f t="shared" si="27"/>
        <v>2.3479999999999999</v>
      </c>
      <c r="BB59" s="70">
        <f t="shared" si="27"/>
        <v>2.254</v>
      </c>
      <c r="BC59" s="70">
        <f t="shared" si="27"/>
        <v>2.016</v>
      </c>
      <c r="BD59" s="70">
        <f t="shared" si="27"/>
        <v>2.2549999999999999</v>
      </c>
      <c r="BE59" s="70">
        <f t="shared" si="27"/>
        <v>2.2839999999999998</v>
      </c>
      <c r="BF59" s="70">
        <f t="shared" si="27"/>
        <v>2.1269999999999998</v>
      </c>
      <c r="BG59" s="70">
        <f t="shared" si="27"/>
        <v>2.37</v>
      </c>
      <c r="BH59" s="70">
        <f t="shared" si="27"/>
        <v>2.2679999999999998</v>
      </c>
      <c r="BI59" s="70">
        <f t="shared" si="27"/>
        <v>2.4140000000000001</v>
      </c>
      <c r="BJ59" s="70">
        <f t="shared" si="27"/>
        <v>2.169</v>
      </c>
      <c r="BK59" s="70">
        <f t="shared" si="27"/>
        <v>2.36</v>
      </c>
      <c r="BL59" s="70">
        <f t="shared" si="27"/>
        <v>2.2989999999999999</v>
      </c>
      <c r="BM59" s="70">
        <f t="shared" si="27"/>
        <v>2.3879999999999999</v>
      </c>
      <c r="BN59" s="70">
        <f t="shared" si="27"/>
        <v>2.4319999999999999</v>
      </c>
      <c r="BO59" s="70">
        <f t="shared" si="27"/>
        <v>1.718</v>
      </c>
      <c r="BP59" s="70">
        <f t="shared" si="27"/>
        <v>2.4470000000000001</v>
      </c>
      <c r="BQ59" s="70">
        <f t="shared" ref="BQ59:CT59" si="28">SUM(BQ13:BQ16,BQ19:BQ43)-BQ15</f>
        <v>2.3759999999999999</v>
      </c>
      <c r="BR59" s="70">
        <f t="shared" si="28"/>
        <v>1.9770000000000001</v>
      </c>
      <c r="BS59" s="70">
        <f t="shared" si="28"/>
        <v>2.0139999999999998</v>
      </c>
      <c r="BT59" s="70">
        <f t="shared" si="28"/>
        <v>2.4369999999999998</v>
      </c>
      <c r="BU59" s="70">
        <f t="shared" si="28"/>
        <v>1.925</v>
      </c>
      <c r="BV59" s="70">
        <f t="shared" si="28"/>
        <v>2.202</v>
      </c>
      <c r="BW59" s="70">
        <f t="shared" si="28"/>
        <v>1.633</v>
      </c>
      <c r="BX59" s="70">
        <f t="shared" si="28"/>
        <v>2.153</v>
      </c>
      <c r="BY59" s="70">
        <f t="shared" si="28"/>
        <v>2.2200000000000002</v>
      </c>
      <c r="BZ59" s="70">
        <f t="shared" si="28"/>
        <v>2.089</v>
      </c>
      <c r="CA59" s="70">
        <f t="shared" si="28"/>
        <v>2.1709999999999998</v>
      </c>
      <c r="CB59" s="70">
        <f t="shared" si="28"/>
        <v>2.194</v>
      </c>
      <c r="CC59" s="70">
        <f t="shared" si="28"/>
        <v>2.06</v>
      </c>
      <c r="CD59" s="70">
        <f t="shared" si="28"/>
        <v>2.1110000000000002</v>
      </c>
      <c r="CE59" s="70">
        <f t="shared" si="28"/>
        <v>0.69599999999999995</v>
      </c>
      <c r="CF59" s="70">
        <f t="shared" si="28"/>
        <v>2.4380000000000002</v>
      </c>
      <c r="CG59" s="70">
        <f t="shared" si="28"/>
        <v>1.8779999999999999</v>
      </c>
      <c r="CH59" s="70">
        <f t="shared" si="28"/>
        <v>1.8640000000000001</v>
      </c>
      <c r="CI59" s="70">
        <f t="shared" si="28"/>
        <v>2.2909999999999999</v>
      </c>
      <c r="CJ59" s="70">
        <f t="shared" si="28"/>
        <v>2.3969999999999998</v>
      </c>
      <c r="CK59" s="70">
        <f t="shared" si="28"/>
        <v>2.4209999999999998</v>
      </c>
      <c r="CL59" s="70">
        <f t="shared" si="28"/>
        <v>2.4460000000000002</v>
      </c>
      <c r="CM59" s="70">
        <f t="shared" si="28"/>
        <v>2.3450000000000002</v>
      </c>
      <c r="CN59" s="70">
        <f t="shared" si="28"/>
        <v>0.46300000000000002</v>
      </c>
      <c r="CO59" s="70">
        <f t="shared" si="28"/>
        <v>1.6970000000000001</v>
      </c>
      <c r="CP59" s="70">
        <f t="shared" si="28"/>
        <v>1.75</v>
      </c>
      <c r="CQ59" s="70">
        <f t="shared" si="28"/>
        <v>1.7509999999999999</v>
      </c>
      <c r="CR59" s="70">
        <f t="shared" si="28"/>
        <v>1.7230000000000001</v>
      </c>
      <c r="CS59" s="70">
        <f t="shared" si="28"/>
        <v>1.7529999999999999</v>
      </c>
      <c r="CT59" s="70">
        <f t="shared" si="28"/>
        <v>1.611</v>
      </c>
    </row>
    <row r="60" spans="1:99" s="67" customFormat="1" ht="18.75" hidden="1">
      <c r="A60" s="68"/>
      <c r="B60" s="69"/>
      <c r="C60" s="69"/>
      <c r="D60" s="66">
        <f>D59*($D$7-1)</f>
        <v>0.36199999999999999</v>
      </c>
      <c r="E60" s="66">
        <f t="shared" ref="E60:BP60" si="29">E59*($D$7-1)</f>
        <v>0.35399999999999998</v>
      </c>
      <c r="F60" s="66">
        <f t="shared" si="29"/>
        <v>0.38300000000000001</v>
      </c>
      <c r="G60" s="66">
        <f t="shared" si="29"/>
        <v>0.42799999999999999</v>
      </c>
      <c r="H60" s="66">
        <f t="shared" si="29"/>
        <v>0.35199999999999998</v>
      </c>
      <c r="I60" s="66">
        <f t="shared" si="29"/>
        <v>0.41299999999999998</v>
      </c>
      <c r="J60" s="66">
        <f t="shared" si="29"/>
        <v>0.311</v>
      </c>
      <c r="K60" s="66">
        <f t="shared" si="29"/>
        <v>0.42499999999999999</v>
      </c>
      <c r="L60" s="66">
        <f t="shared" si="29"/>
        <v>0.41399999999999998</v>
      </c>
      <c r="M60" s="66">
        <f t="shared" si="29"/>
        <v>0.39100000000000001</v>
      </c>
      <c r="N60" s="66">
        <f t="shared" si="29"/>
        <v>0.40300000000000002</v>
      </c>
      <c r="O60" s="66">
        <f t="shared" si="29"/>
        <v>0.35299999999999998</v>
      </c>
      <c r="P60" s="66">
        <f t="shared" si="29"/>
        <v>0.41899999999999998</v>
      </c>
      <c r="Q60" s="66">
        <f t="shared" si="29"/>
        <v>0.34399999999999997</v>
      </c>
      <c r="R60" s="66">
        <f t="shared" si="29"/>
        <v>0.375</v>
      </c>
      <c r="S60" s="66">
        <f t="shared" si="29"/>
        <v>0.40600000000000003</v>
      </c>
      <c r="T60" s="66">
        <f t="shared" si="29"/>
        <v>0.39200000000000002</v>
      </c>
      <c r="U60" s="66">
        <f t="shared" si="29"/>
        <v>0.40600000000000003</v>
      </c>
      <c r="V60" s="66">
        <f t="shared" si="29"/>
        <v>0.39800000000000002</v>
      </c>
      <c r="W60" s="66">
        <f t="shared" si="29"/>
        <v>0.38400000000000001</v>
      </c>
      <c r="X60" s="66">
        <f t="shared" si="29"/>
        <v>0.39700000000000002</v>
      </c>
      <c r="Y60" s="66">
        <f t="shared" si="29"/>
        <v>0.39400000000000002</v>
      </c>
      <c r="Z60" s="66">
        <f t="shared" si="29"/>
        <v>0.36599999999999999</v>
      </c>
      <c r="AA60" s="66">
        <f t="shared" si="29"/>
        <v>0.35899999999999999</v>
      </c>
      <c r="AB60" s="66">
        <f t="shared" si="29"/>
        <v>0.35099999999999998</v>
      </c>
      <c r="AC60" s="66">
        <f t="shared" si="29"/>
        <v>0.36599999999999999</v>
      </c>
      <c r="AD60" s="66">
        <f t="shared" si="29"/>
        <v>0.14099999999999999</v>
      </c>
      <c r="AE60" s="66">
        <f t="shared" si="29"/>
        <v>7.3999999999999996E-2</v>
      </c>
      <c r="AF60" s="66">
        <f t="shared" si="29"/>
        <v>7.6999999999999999E-2</v>
      </c>
      <c r="AG60" s="66">
        <f t="shared" si="29"/>
        <v>7.4999999999999997E-2</v>
      </c>
      <c r="AH60" s="66">
        <f t="shared" si="29"/>
        <v>0.29499999999999998</v>
      </c>
      <c r="AI60" s="66">
        <f t="shared" si="29"/>
        <v>0.31900000000000001</v>
      </c>
      <c r="AJ60" s="66">
        <f t="shared" si="29"/>
        <v>0.28899999999999998</v>
      </c>
      <c r="AK60" s="66">
        <f t="shared" si="29"/>
        <v>0.29699999999999999</v>
      </c>
      <c r="AL60" s="66">
        <f t="shared" si="29"/>
        <v>0.34</v>
      </c>
      <c r="AM60" s="66">
        <f t="shared" si="29"/>
        <v>6.6000000000000003E-2</v>
      </c>
      <c r="AN60" s="66">
        <f t="shared" si="29"/>
        <v>0.36199999999999999</v>
      </c>
      <c r="AO60" s="66">
        <f t="shared" si="29"/>
        <v>0.40200000000000002</v>
      </c>
      <c r="AP60" s="66">
        <f t="shared" si="29"/>
        <v>0.34100000000000003</v>
      </c>
      <c r="AQ60" s="66">
        <f t="shared" si="29"/>
        <v>8.5000000000000006E-2</v>
      </c>
      <c r="AR60" s="66">
        <f t="shared" si="29"/>
        <v>6.5000000000000002E-2</v>
      </c>
      <c r="AS60" s="66">
        <f t="shared" si="29"/>
        <v>0.35799999999999998</v>
      </c>
      <c r="AT60" s="66">
        <f t="shared" si="29"/>
        <v>0.26700000000000002</v>
      </c>
      <c r="AU60" s="66">
        <f t="shared" si="29"/>
        <v>0.25600000000000001</v>
      </c>
      <c r="AV60" s="66">
        <f t="shared" si="29"/>
        <v>0.26700000000000002</v>
      </c>
      <c r="AW60" s="66">
        <f t="shared" si="29"/>
        <v>0.34799999999999998</v>
      </c>
      <c r="AX60" s="66">
        <f t="shared" si="29"/>
        <v>0.372</v>
      </c>
      <c r="AY60" s="66">
        <f t="shared" si="29"/>
        <v>0.26800000000000002</v>
      </c>
      <c r="AZ60" s="66">
        <f t="shared" si="29"/>
        <v>0.38400000000000001</v>
      </c>
      <c r="BA60" s="66">
        <f t="shared" si="29"/>
        <v>0.39900000000000002</v>
      </c>
      <c r="BB60" s="66">
        <f t="shared" si="29"/>
        <v>0.38300000000000001</v>
      </c>
      <c r="BC60" s="66">
        <f t="shared" si="29"/>
        <v>0.34300000000000003</v>
      </c>
      <c r="BD60" s="66">
        <f t="shared" si="29"/>
        <v>0.38300000000000001</v>
      </c>
      <c r="BE60" s="66">
        <f t="shared" si="29"/>
        <v>0.38800000000000001</v>
      </c>
      <c r="BF60" s="66">
        <f t="shared" si="29"/>
        <v>0.36199999999999999</v>
      </c>
      <c r="BG60" s="66">
        <f t="shared" si="29"/>
        <v>0.40300000000000002</v>
      </c>
      <c r="BH60" s="66">
        <f t="shared" si="29"/>
        <v>0.38600000000000001</v>
      </c>
      <c r="BI60" s="66">
        <f t="shared" si="29"/>
        <v>0.41</v>
      </c>
      <c r="BJ60" s="66">
        <f t="shared" si="29"/>
        <v>0.36899999999999999</v>
      </c>
      <c r="BK60" s="66">
        <f t="shared" si="29"/>
        <v>0.40100000000000002</v>
      </c>
      <c r="BL60" s="66">
        <f t="shared" si="29"/>
        <v>0.39100000000000001</v>
      </c>
      <c r="BM60" s="66">
        <f t="shared" si="29"/>
        <v>0.40600000000000003</v>
      </c>
      <c r="BN60" s="66">
        <f t="shared" si="29"/>
        <v>0.41299999999999998</v>
      </c>
      <c r="BO60" s="66">
        <f t="shared" si="29"/>
        <v>0.29199999999999998</v>
      </c>
      <c r="BP60" s="66">
        <f t="shared" si="29"/>
        <v>0.41599999999999998</v>
      </c>
      <c r="BQ60" s="66">
        <f t="shared" ref="BQ60:CT60" si="30">BQ59*($D$7-1)</f>
        <v>0.40400000000000003</v>
      </c>
      <c r="BR60" s="66">
        <f t="shared" si="30"/>
        <v>0.33600000000000002</v>
      </c>
      <c r="BS60" s="66">
        <f t="shared" si="30"/>
        <v>0.34200000000000003</v>
      </c>
      <c r="BT60" s="66">
        <f t="shared" si="30"/>
        <v>0.41399999999999998</v>
      </c>
      <c r="BU60" s="66">
        <f t="shared" si="30"/>
        <v>0.32700000000000001</v>
      </c>
      <c r="BV60" s="66">
        <f t="shared" si="30"/>
        <v>0.374</v>
      </c>
      <c r="BW60" s="66">
        <f t="shared" si="30"/>
        <v>0.27800000000000002</v>
      </c>
      <c r="BX60" s="66">
        <f t="shared" si="30"/>
        <v>0.36599999999999999</v>
      </c>
      <c r="BY60" s="66">
        <f t="shared" si="30"/>
        <v>0.377</v>
      </c>
      <c r="BZ60" s="66">
        <f t="shared" si="30"/>
        <v>0.35499999999999998</v>
      </c>
      <c r="CA60" s="66">
        <f t="shared" si="30"/>
        <v>0.36899999999999999</v>
      </c>
      <c r="CB60" s="66">
        <f t="shared" si="30"/>
        <v>0.373</v>
      </c>
      <c r="CC60" s="66">
        <f t="shared" si="30"/>
        <v>0.35</v>
      </c>
      <c r="CD60" s="66">
        <f t="shared" si="30"/>
        <v>0.35899999999999999</v>
      </c>
      <c r="CE60" s="66">
        <f t="shared" si="30"/>
        <v>0.11799999999999999</v>
      </c>
      <c r="CF60" s="66">
        <f t="shared" si="30"/>
        <v>0.41399999999999998</v>
      </c>
      <c r="CG60" s="66">
        <f t="shared" si="30"/>
        <v>0.31900000000000001</v>
      </c>
      <c r="CH60" s="66">
        <f t="shared" si="30"/>
        <v>0.317</v>
      </c>
      <c r="CI60" s="66">
        <f t="shared" si="30"/>
        <v>0.38900000000000001</v>
      </c>
      <c r="CJ60" s="66">
        <f t="shared" si="30"/>
        <v>0.40699999999999997</v>
      </c>
      <c r="CK60" s="66">
        <f t="shared" si="30"/>
        <v>0.41199999999999998</v>
      </c>
      <c r="CL60" s="66">
        <f t="shared" si="30"/>
        <v>0.41599999999999998</v>
      </c>
      <c r="CM60" s="66">
        <f t="shared" si="30"/>
        <v>0.39900000000000002</v>
      </c>
      <c r="CN60" s="66">
        <f t="shared" si="30"/>
        <v>7.9000000000000001E-2</v>
      </c>
      <c r="CO60" s="66">
        <f t="shared" si="30"/>
        <v>0.28799999999999998</v>
      </c>
      <c r="CP60" s="66">
        <f t="shared" si="30"/>
        <v>0.29799999999999999</v>
      </c>
      <c r="CQ60" s="66">
        <f t="shared" si="30"/>
        <v>0.29799999999999999</v>
      </c>
      <c r="CR60" s="66">
        <f t="shared" si="30"/>
        <v>0.29299999999999998</v>
      </c>
      <c r="CS60" s="66">
        <f t="shared" si="30"/>
        <v>0.29799999999999999</v>
      </c>
      <c r="CT60" s="66">
        <f t="shared" si="30"/>
        <v>0.27400000000000002</v>
      </c>
    </row>
    <row r="61" spans="1:99" s="67" customFormat="1" ht="18.75" hidden="1">
      <c r="A61" s="68"/>
      <c r="B61" s="69"/>
      <c r="C61" s="69"/>
      <c r="D61" s="66">
        <f>D60*0.2+D59*0.2</f>
        <v>0.498</v>
      </c>
      <c r="E61" s="66">
        <f t="shared" ref="E61:BP61" si="31">E60*0.2+E59*0.2</f>
        <v>0.48799999999999999</v>
      </c>
      <c r="F61" s="66">
        <f t="shared" si="31"/>
        <v>0.52700000000000002</v>
      </c>
      <c r="G61" s="66">
        <f t="shared" si="31"/>
        <v>0.58899999999999997</v>
      </c>
      <c r="H61" s="66">
        <f t="shared" si="31"/>
        <v>0.48499999999999999</v>
      </c>
      <c r="I61" s="66">
        <f t="shared" si="31"/>
        <v>0.56899999999999995</v>
      </c>
      <c r="J61" s="66">
        <f t="shared" si="31"/>
        <v>0.42799999999999999</v>
      </c>
      <c r="K61" s="66">
        <f t="shared" si="31"/>
        <v>0.58499999999999996</v>
      </c>
      <c r="L61" s="66">
        <f t="shared" si="31"/>
        <v>0.56999999999999995</v>
      </c>
      <c r="M61" s="66">
        <f t="shared" si="31"/>
        <v>0.53800000000000003</v>
      </c>
      <c r="N61" s="66">
        <f t="shared" si="31"/>
        <v>0.55500000000000005</v>
      </c>
      <c r="O61" s="66">
        <f t="shared" si="31"/>
        <v>0.48499999999999999</v>
      </c>
      <c r="P61" s="66">
        <f t="shared" si="31"/>
        <v>0.57599999999999996</v>
      </c>
      <c r="Q61" s="66">
        <f t="shared" si="31"/>
        <v>0.47399999999999998</v>
      </c>
      <c r="R61" s="66">
        <f t="shared" si="31"/>
        <v>0.51600000000000001</v>
      </c>
      <c r="S61" s="66">
        <f t="shared" si="31"/>
        <v>0.55900000000000005</v>
      </c>
      <c r="T61" s="66">
        <f t="shared" si="31"/>
        <v>0.53900000000000003</v>
      </c>
      <c r="U61" s="66">
        <f t="shared" si="31"/>
        <v>0.55900000000000005</v>
      </c>
      <c r="V61" s="66">
        <f t="shared" si="31"/>
        <v>0.54800000000000004</v>
      </c>
      <c r="W61" s="66">
        <f t="shared" si="31"/>
        <v>0.52900000000000003</v>
      </c>
      <c r="X61" s="66">
        <f t="shared" si="31"/>
        <v>0.54700000000000004</v>
      </c>
      <c r="Y61" s="66">
        <f t="shared" si="31"/>
        <v>0.54200000000000004</v>
      </c>
      <c r="Z61" s="66">
        <f t="shared" si="31"/>
        <v>0.503</v>
      </c>
      <c r="AA61" s="66">
        <f t="shared" si="31"/>
        <v>0.49399999999999999</v>
      </c>
      <c r="AB61" s="66">
        <f t="shared" si="31"/>
        <v>0.48299999999999998</v>
      </c>
      <c r="AC61" s="66">
        <f t="shared" si="31"/>
        <v>0.504</v>
      </c>
      <c r="AD61" s="66">
        <f t="shared" si="31"/>
        <v>0.19400000000000001</v>
      </c>
      <c r="AE61" s="66">
        <f t="shared" si="31"/>
        <v>0.10100000000000001</v>
      </c>
      <c r="AF61" s="66">
        <f t="shared" si="31"/>
        <v>0.105</v>
      </c>
      <c r="AG61" s="66">
        <f t="shared" si="31"/>
        <v>0.10299999999999999</v>
      </c>
      <c r="AH61" s="66">
        <f t="shared" si="31"/>
        <v>0.40600000000000003</v>
      </c>
      <c r="AI61" s="66">
        <f t="shared" si="31"/>
        <v>0.439</v>
      </c>
      <c r="AJ61" s="66">
        <f t="shared" si="31"/>
        <v>0.39800000000000002</v>
      </c>
      <c r="AK61" s="66">
        <f t="shared" si="31"/>
        <v>0.40799999999999997</v>
      </c>
      <c r="AL61" s="66">
        <f t="shared" si="31"/>
        <v>0.46800000000000003</v>
      </c>
      <c r="AM61" s="66">
        <f t="shared" si="31"/>
        <v>9.0999999999999998E-2</v>
      </c>
      <c r="AN61" s="66">
        <f t="shared" si="31"/>
        <v>0.499</v>
      </c>
      <c r="AO61" s="66">
        <f t="shared" si="31"/>
        <v>0.55300000000000005</v>
      </c>
      <c r="AP61" s="66">
        <f t="shared" si="31"/>
        <v>0.46899999999999997</v>
      </c>
      <c r="AQ61" s="66">
        <f t="shared" si="31"/>
        <v>0.11700000000000001</v>
      </c>
      <c r="AR61" s="66">
        <f t="shared" si="31"/>
        <v>0.09</v>
      </c>
      <c r="AS61" s="66">
        <f t="shared" si="31"/>
        <v>0.49299999999999999</v>
      </c>
      <c r="AT61" s="66">
        <f t="shared" si="31"/>
        <v>0.36699999999999999</v>
      </c>
      <c r="AU61" s="66">
        <f t="shared" si="31"/>
        <v>0.35199999999999998</v>
      </c>
      <c r="AV61" s="66">
        <f t="shared" si="31"/>
        <v>0.36699999999999999</v>
      </c>
      <c r="AW61" s="66">
        <f t="shared" si="31"/>
        <v>0.47899999999999998</v>
      </c>
      <c r="AX61" s="66">
        <f t="shared" si="31"/>
        <v>0.51200000000000001</v>
      </c>
      <c r="AY61" s="66">
        <f t="shared" si="31"/>
        <v>0.36899999999999999</v>
      </c>
      <c r="AZ61" s="66">
        <f t="shared" si="31"/>
        <v>0.52800000000000002</v>
      </c>
      <c r="BA61" s="66">
        <f t="shared" si="31"/>
        <v>0.54900000000000004</v>
      </c>
      <c r="BB61" s="66">
        <f t="shared" si="31"/>
        <v>0.52700000000000002</v>
      </c>
      <c r="BC61" s="66">
        <f t="shared" si="31"/>
        <v>0.47199999999999998</v>
      </c>
      <c r="BD61" s="66">
        <f t="shared" si="31"/>
        <v>0.52800000000000002</v>
      </c>
      <c r="BE61" s="66">
        <f t="shared" si="31"/>
        <v>0.53400000000000003</v>
      </c>
      <c r="BF61" s="66">
        <f t="shared" si="31"/>
        <v>0.498</v>
      </c>
      <c r="BG61" s="66">
        <f t="shared" si="31"/>
        <v>0.55500000000000005</v>
      </c>
      <c r="BH61" s="66">
        <f t="shared" si="31"/>
        <v>0.53100000000000003</v>
      </c>
      <c r="BI61" s="66">
        <f t="shared" si="31"/>
        <v>0.56499999999999995</v>
      </c>
      <c r="BJ61" s="66">
        <f t="shared" si="31"/>
        <v>0.50800000000000001</v>
      </c>
      <c r="BK61" s="66">
        <f t="shared" si="31"/>
        <v>0.55200000000000005</v>
      </c>
      <c r="BL61" s="66">
        <f t="shared" si="31"/>
        <v>0.53800000000000003</v>
      </c>
      <c r="BM61" s="66">
        <f t="shared" si="31"/>
        <v>0.55900000000000005</v>
      </c>
      <c r="BN61" s="66">
        <f t="shared" si="31"/>
        <v>0.56899999999999995</v>
      </c>
      <c r="BO61" s="66">
        <f t="shared" si="31"/>
        <v>0.40200000000000002</v>
      </c>
      <c r="BP61" s="66">
        <f t="shared" si="31"/>
        <v>0.57299999999999995</v>
      </c>
      <c r="BQ61" s="66">
        <f t="shared" ref="BQ61:CT61" si="32">BQ60*0.2+BQ59*0.2</f>
        <v>0.55600000000000005</v>
      </c>
      <c r="BR61" s="66">
        <f t="shared" si="32"/>
        <v>0.46300000000000002</v>
      </c>
      <c r="BS61" s="66">
        <f t="shared" si="32"/>
        <v>0.47099999999999997</v>
      </c>
      <c r="BT61" s="66">
        <f t="shared" si="32"/>
        <v>0.56999999999999995</v>
      </c>
      <c r="BU61" s="66">
        <f t="shared" si="32"/>
        <v>0.45</v>
      </c>
      <c r="BV61" s="66">
        <f t="shared" si="32"/>
        <v>0.51500000000000001</v>
      </c>
      <c r="BW61" s="66">
        <f t="shared" si="32"/>
        <v>0.38200000000000001</v>
      </c>
      <c r="BX61" s="66">
        <f t="shared" si="32"/>
        <v>0.504</v>
      </c>
      <c r="BY61" s="66">
        <f t="shared" si="32"/>
        <v>0.51900000000000002</v>
      </c>
      <c r="BZ61" s="66">
        <f t="shared" si="32"/>
        <v>0.48899999999999999</v>
      </c>
      <c r="CA61" s="66">
        <f t="shared" si="32"/>
        <v>0.50800000000000001</v>
      </c>
      <c r="CB61" s="66">
        <f t="shared" si="32"/>
        <v>0.51300000000000001</v>
      </c>
      <c r="CC61" s="66">
        <f t="shared" si="32"/>
        <v>0.48199999999999998</v>
      </c>
      <c r="CD61" s="66">
        <f t="shared" si="32"/>
        <v>0.49399999999999999</v>
      </c>
      <c r="CE61" s="66">
        <f t="shared" si="32"/>
        <v>0.16300000000000001</v>
      </c>
      <c r="CF61" s="66">
        <f t="shared" si="32"/>
        <v>0.56999999999999995</v>
      </c>
      <c r="CG61" s="66">
        <f t="shared" si="32"/>
        <v>0.439</v>
      </c>
      <c r="CH61" s="66">
        <f t="shared" si="32"/>
        <v>0.436</v>
      </c>
      <c r="CI61" s="66">
        <f t="shared" si="32"/>
        <v>0.53600000000000003</v>
      </c>
      <c r="CJ61" s="66">
        <f t="shared" si="32"/>
        <v>0.56100000000000005</v>
      </c>
      <c r="CK61" s="66">
        <f t="shared" si="32"/>
        <v>0.56699999999999995</v>
      </c>
      <c r="CL61" s="66">
        <f t="shared" si="32"/>
        <v>0.57199999999999995</v>
      </c>
      <c r="CM61" s="66">
        <f t="shared" si="32"/>
        <v>0.54900000000000004</v>
      </c>
      <c r="CN61" s="66">
        <f t="shared" si="32"/>
        <v>0.108</v>
      </c>
      <c r="CO61" s="66">
        <f t="shared" si="32"/>
        <v>0.39700000000000002</v>
      </c>
      <c r="CP61" s="66">
        <f t="shared" si="32"/>
        <v>0.41</v>
      </c>
      <c r="CQ61" s="66">
        <f t="shared" si="32"/>
        <v>0.41</v>
      </c>
      <c r="CR61" s="66">
        <f t="shared" si="32"/>
        <v>0.40300000000000002</v>
      </c>
      <c r="CS61" s="66">
        <f t="shared" si="32"/>
        <v>0.41</v>
      </c>
      <c r="CT61" s="66">
        <f t="shared" si="32"/>
        <v>0.377</v>
      </c>
    </row>
    <row r="63" spans="1:99" ht="28.5">
      <c r="D63" s="47"/>
      <c r="CD63" s="249"/>
      <c r="CE63" s="249"/>
      <c r="CF63" s="249"/>
      <c r="CG63" s="249" t="s">
        <v>261</v>
      </c>
      <c r="CH63" s="249"/>
      <c r="CI63" s="249"/>
      <c r="CJ63" s="249"/>
      <c r="CK63" s="249"/>
      <c r="CL63" s="249"/>
      <c r="CM63" s="249"/>
      <c r="CN63" s="249"/>
      <c r="CO63" s="249"/>
      <c r="CP63" s="249"/>
      <c r="CQ63" s="249" t="s">
        <v>262</v>
      </c>
      <c r="CR63" s="249"/>
      <c r="CS63" s="249"/>
      <c r="CT63" s="249"/>
    </row>
    <row r="64" spans="1:99" ht="28.5">
      <c r="D64" s="60"/>
      <c r="E64" s="59"/>
      <c r="F64" s="59"/>
      <c r="G64" s="59"/>
      <c r="M64" s="61"/>
      <c r="CD64" s="249"/>
      <c r="CE64" s="249"/>
      <c r="CF64" s="249"/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</row>
  </sheetData>
  <mergeCells count="205">
    <mergeCell ref="AD5:AE5"/>
    <mergeCell ref="U5:V5"/>
    <mergeCell ref="W5:Y5"/>
    <mergeCell ref="Z5:AA5"/>
    <mergeCell ref="M19:M25"/>
    <mergeCell ref="B12:C12"/>
    <mergeCell ref="B41:C41"/>
    <mergeCell ref="D32:D40"/>
    <mergeCell ref="E32:E40"/>
    <mergeCell ref="F32:F40"/>
    <mergeCell ref="G32:G40"/>
    <mergeCell ref="H32:H40"/>
    <mergeCell ref="A19:A25"/>
    <mergeCell ref="C19:C25"/>
    <mergeCell ref="B30:C30"/>
    <mergeCell ref="A32:A40"/>
    <mergeCell ref="C32:C40"/>
    <mergeCell ref="D19:D25"/>
    <mergeCell ref="E19:E25"/>
    <mergeCell ref="F19:F25"/>
    <mergeCell ref="G19:G25"/>
    <mergeCell ref="H19:H25"/>
    <mergeCell ref="I19:I25"/>
    <mergeCell ref="J19:J25"/>
    <mergeCell ref="K19:K25"/>
    <mergeCell ref="L19:L25"/>
    <mergeCell ref="P32:P40"/>
    <mergeCell ref="Q32:Q40"/>
    <mergeCell ref="R32:R40"/>
    <mergeCell ref="I32:I40"/>
    <mergeCell ref="J32:J40"/>
    <mergeCell ref="K32:K40"/>
    <mergeCell ref="L32:L40"/>
    <mergeCell ref="M32:M40"/>
    <mergeCell ref="X32:X40"/>
    <mergeCell ref="N32:N40"/>
    <mergeCell ref="O32:O40"/>
    <mergeCell ref="Y32:Y40"/>
    <mergeCell ref="Z32:Z40"/>
    <mergeCell ref="AA32:AA40"/>
    <mergeCell ref="AB32:AB40"/>
    <mergeCell ref="S32:S40"/>
    <mergeCell ref="T32:T40"/>
    <mergeCell ref="U32:U40"/>
    <mergeCell ref="V32:V40"/>
    <mergeCell ref="W32:W40"/>
    <mergeCell ref="AH32:AH40"/>
    <mergeCell ref="AI32:AI40"/>
    <mergeCell ref="AJ32:AJ40"/>
    <mergeCell ref="AK32:AK40"/>
    <mergeCell ref="AL32:AL40"/>
    <mergeCell ref="AC32:AC40"/>
    <mergeCell ref="AD32:AD40"/>
    <mergeCell ref="AE32:AE40"/>
    <mergeCell ref="AF32:AF40"/>
    <mergeCell ref="AG32:AG40"/>
    <mergeCell ref="AR32:AR40"/>
    <mergeCell ref="AS32:AS40"/>
    <mergeCell ref="AT32:AT40"/>
    <mergeCell ref="AU32:AU40"/>
    <mergeCell ref="AV32:AV40"/>
    <mergeCell ref="AM32:AM40"/>
    <mergeCell ref="AN32:AN40"/>
    <mergeCell ref="AO32:AO40"/>
    <mergeCell ref="AP32:AP40"/>
    <mergeCell ref="AQ32:AQ40"/>
    <mergeCell ref="BB32:BB40"/>
    <mergeCell ref="BC32:BC40"/>
    <mergeCell ref="BD32:BD40"/>
    <mergeCell ref="BE32:BE40"/>
    <mergeCell ref="BF32:BF40"/>
    <mergeCell ref="AW32:AW40"/>
    <mergeCell ref="AX32:AX40"/>
    <mergeCell ref="AY32:AY40"/>
    <mergeCell ref="AZ32:AZ40"/>
    <mergeCell ref="BA32:BA40"/>
    <mergeCell ref="BL32:BL40"/>
    <mergeCell ref="BM32:BM40"/>
    <mergeCell ref="BN32:BN40"/>
    <mergeCell ref="BO32:BO40"/>
    <mergeCell ref="BP32:BP40"/>
    <mergeCell ref="BG32:BG40"/>
    <mergeCell ref="BH32:BH40"/>
    <mergeCell ref="BI32:BI40"/>
    <mergeCell ref="BJ32:BJ40"/>
    <mergeCell ref="BK32:BK40"/>
    <mergeCell ref="CT32:CT40"/>
    <mergeCell ref="CK32:CK40"/>
    <mergeCell ref="CL32:CL40"/>
    <mergeCell ref="CM32:CM40"/>
    <mergeCell ref="CN32:CN40"/>
    <mergeCell ref="CO32:CO40"/>
    <mergeCell ref="CF32:CF40"/>
    <mergeCell ref="CG32:CG40"/>
    <mergeCell ref="CH32:CH40"/>
    <mergeCell ref="CI32:CI40"/>
    <mergeCell ref="CJ32:CJ40"/>
    <mergeCell ref="CP32:CP40"/>
    <mergeCell ref="CQ32:CQ40"/>
    <mergeCell ref="CR32:CR40"/>
    <mergeCell ref="CS32:CS40"/>
    <mergeCell ref="CA32:CA40"/>
    <mergeCell ref="CB32:CB40"/>
    <mergeCell ref="CC32:CC40"/>
    <mergeCell ref="CD32:CD40"/>
    <mergeCell ref="CE32:CE40"/>
    <mergeCell ref="BV32:BV40"/>
    <mergeCell ref="BW32:BW40"/>
    <mergeCell ref="BX32:BX40"/>
    <mergeCell ref="BY32:BY40"/>
    <mergeCell ref="BZ32:BZ40"/>
    <mergeCell ref="BQ32:BQ40"/>
    <mergeCell ref="BR32:BR40"/>
    <mergeCell ref="BS32:BS40"/>
    <mergeCell ref="BT32:BT40"/>
    <mergeCell ref="BU32:BU40"/>
    <mergeCell ref="N19:N25"/>
    <mergeCell ref="O19:O25"/>
    <mergeCell ref="P19:P25"/>
    <mergeCell ref="Q19:Q25"/>
    <mergeCell ref="R19:R25"/>
    <mergeCell ref="X19:X25"/>
    <mergeCell ref="Y19:Y25"/>
    <mergeCell ref="Z19:Z25"/>
    <mergeCell ref="AA19:AA25"/>
    <mergeCell ref="AB19:AB25"/>
    <mergeCell ref="S19:S25"/>
    <mergeCell ref="T19:T25"/>
    <mergeCell ref="U19:U25"/>
    <mergeCell ref="V19:V25"/>
    <mergeCell ref="W19:W25"/>
    <mergeCell ref="AH19:AH25"/>
    <mergeCell ref="AI19:AI25"/>
    <mergeCell ref="AJ19:AJ25"/>
    <mergeCell ref="AK19:AK25"/>
    <mergeCell ref="AL19:AL25"/>
    <mergeCell ref="AC19:AC25"/>
    <mergeCell ref="AD19:AD25"/>
    <mergeCell ref="AE19:AE25"/>
    <mergeCell ref="AF19:AF25"/>
    <mergeCell ref="AG19:AG25"/>
    <mergeCell ref="AR19:AR25"/>
    <mergeCell ref="AS19:AS25"/>
    <mergeCell ref="AT19:AT25"/>
    <mergeCell ref="AU19:AU25"/>
    <mergeCell ref="AV19:AV25"/>
    <mergeCell ref="AM19:AM25"/>
    <mergeCell ref="AN19:AN25"/>
    <mergeCell ref="AO19:AO25"/>
    <mergeCell ref="AP19:AP25"/>
    <mergeCell ref="AQ19:AQ25"/>
    <mergeCell ref="BB19:BB25"/>
    <mergeCell ref="BC19:BC25"/>
    <mergeCell ref="BD19:BD25"/>
    <mergeCell ref="BE19:BE25"/>
    <mergeCell ref="BF19:BF25"/>
    <mergeCell ref="AW19:AW25"/>
    <mergeCell ref="AX19:AX25"/>
    <mergeCell ref="AY19:AY25"/>
    <mergeCell ref="AZ19:AZ25"/>
    <mergeCell ref="BA19:BA25"/>
    <mergeCell ref="BL19:BL25"/>
    <mergeCell ref="BM19:BM25"/>
    <mergeCell ref="BN19:BN25"/>
    <mergeCell ref="BO19:BO25"/>
    <mergeCell ref="BP19:BP25"/>
    <mergeCell ref="BG19:BG25"/>
    <mergeCell ref="BH19:BH25"/>
    <mergeCell ref="BI19:BI25"/>
    <mergeCell ref="BJ19:BJ25"/>
    <mergeCell ref="BK19:BK25"/>
    <mergeCell ref="BV19:BV25"/>
    <mergeCell ref="BW19:BW25"/>
    <mergeCell ref="BX19:BX25"/>
    <mergeCell ref="BY19:BY25"/>
    <mergeCell ref="BZ19:BZ25"/>
    <mergeCell ref="BQ19:BQ25"/>
    <mergeCell ref="BR19:BR25"/>
    <mergeCell ref="BS19:BS25"/>
    <mergeCell ref="BT19:BT25"/>
    <mergeCell ref="BU19:BU25"/>
    <mergeCell ref="B49:C49"/>
    <mergeCell ref="B53:C53"/>
    <mergeCell ref="B54:C54"/>
    <mergeCell ref="B58:C58"/>
    <mergeCell ref="CP19:CP25"/>
    <mergeCell ref="CQ19:CQ25"/>
    <mergeCell ref="CR19:CR25"/>
    <mergeCell ref="CS19:CS25"/>
    <mergeCell ref="CT19:CT25"/>
    <mergeCell ref="CK19:CK25"/>
    <mergeCell ref="CL19:CL25"/>
    <mergeCell ref="CM19:CM25"/>
    <mergeCell ref="CN19:CN25"/>
    <mergeCell ref="CO19:CO25"/>
    <mergeCell ref="CF19:CF25"/>
    <mergeCell ref="CG19:CG25"/>
    <mergeCell ref="CH19:CH25"/>
    <mergeCell ref="CI19:CI25"/>
    <mergeCell ref="CJ19:CJ25"/>
    <mergeCell ref="CA19:CA25"/>
    <mergeCell ref="CB19:CB25"/>
    <mergeCell ref="CC19:CC25"/>
    <mergeCell ref="CD19:CD25"/>
    <mergeCell ref="CE19:CE25"/>
  </mergeCells>
  <phoneticPr fontId="7" type="noConversion"/>
  <printOptions verticalCentered="1"/>
  <pageMargins left="0.39370078740157483" right="0.39370078740157483" top="0.2" bottom="0.2" header="0.23" footer="0.2"/>
  <pageSetup paperSize="9" scale="40" fitToWidth="5" orientation="landscape" copies="12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indexed="18"/>
  </sheetPr>
  <dimension ref="A1:CW63"/>
  <sheetViews>
    <sheetView topLeftCell="A7" workbookViewId="0">
      <selection activeCell="F13" sqref="F13"/>
    </sheetView>
  </sheetViews>
  <sheetFormatPr defaultRowHeight="15" outlineLevelCol="1"/>
  <cols>
    <col min="1" max="1" width="7.42578125" customWidth="1"/>
    <col min="2" max="2" width="90.85546875" customWidth="1"/>
    <col min="3" max="3" width="27.85546875" customWidth="1"/>
    <col min="4" max="4" width="5.7109375" bestFit="1" customWidth="1"/>
    <col min="5" max="5" width="45.140625" customWidth="1"/>
    <col min="6" max="99" width="9" customWidth="1" outlineLevel="1"/>
    <col min="100" max="100" width="11.140625" customWidth="1"/>
  </cols>
  <sheetData>
    <row r="1" spans="1:101" ht="18.75">
      <c r="B1" s="1" t="s">
        <v>0</v>
      </c>
    </row>
    <row r="2" spans="1:101" ht="18.75">
      <c r="B2" s="1" t="s">
        <v>1</v>
      </c>
    </row>
    <row r="3" spans="1:101">
      <c r="B3" s="2"/>
    </row>
    <row r="4" spans="1:101" ht="15.75">
      <c r="B4" s="3" t="s">
        <v>2</v>
      </c>
    </row>
    <row r="5" spans="1:101" ht="19.5" thickBot="1">
      <c r="A5" s="4"/>
    </row>
    <row r="6" spans="1:101" ht="94.5" thickBot="1">
      <c r="A6" s="5" t="s">
        <v>3</v>
      </c>
      <c r="B6" s="5" t="s">
        <v>4</v>
      </c>
      <c r="C6" s="5" t="s">
        <v>5</v>
      </c>
      <c r="D6" s="5"/>
      <c r="E6" s="5" t="s">
        <v>59</v>
      </c>
      <c r="F6" s="5" t="s">
        <v>60</v>
      </c>
      <c r="G6" s="5" t="s">
        <v>60</v>
      </c>
      <c r="H6" s="5" t="s">
        <v>60</v>
      </c>
      <c r="I6" s="5" t="s">
        <v>60</v>
      </c>
      <c r="J6" s="5" t="s">
        <v>60</v>
      </c>
      <c r="K6" s="5" t="s">
        <v>60</v>
      </c>
      <c r="L6" s="5" t="s">
        <v>60</v>
      </c>
      <c r="M6" s="5" t="s">
        <v>60</v>
      </c>
      <c r="N6" s="5" t="s">
        <v>60</v>
      </c>
      <c r="O6" s="5" t="s">
        <v>60</v>
      </c>
      <c r="P6" s="5" t="s">
        <v>60</v>
      </c>
      <c r="Q6" s="5" t="s">
        <v>60</v>
      </c>
      <c r="R6" s="5" t="s">
        <v>60</v>
      </c>
      <c r="S6" s="5" t="s">
        <v>60</v>
      </c>
      <c r="T6" s="5" t="s">
        <v>60</v>
      </c>
      <c r="U6" s="5" t="s">
        <v>60</v>
      </c>
      <c r="V6" s="5" t="s">
        <v>61</v>
      </c>
      <c r="W6" s="5" t="s">
        <v>61</v>
      </c>
      <c r="X6" s="5" t="s">
        <v>62</v>
      </c>
      <c r="Y6" s="5" t="s">
        <v>62</v>
      </c>
      <c r="Z6" s="5" t="s">
        <v>62</v>
      </c>
      <c r="AA6" s="5" t="s">
        <v>62</v>
      </c>
      <c r="AB6" s="5" t="s">
        <v>62</v>
      </c>
      <c r="AC6" s="5" t="s">
        <v>62</v>
      </c>
      <c r="AD6" s="5" t="s">
        <v>63</v>
      </c>
      <c r="AE6" s="5" t="s">
        <v>63</v>
      </c>
      <c r="AF6" s="5" t="s">
        <v>63</v>
      </c>
      <c r="AG6" s="5" t="s">
        <v>63</v>
      </c>
      <c r="AH6" s="5" t="s">
        <v>63</v>
      </c>
      <c r="AI6" s="5" t="s">
        <v>63</v>
      </c>
      <c r="AJ6" s="5" t="s">
        <v>64</v>
      </c>
      <c r="AK6" s="5" t="s">
        <v>64</v>
      </c>
      <c r="AL6" s="5" t="s">
        <v>64</v>
      </c>
      <c r="AM6" s="5" t="s">
        <v>64</v>
      </c>
      <c r="AN6" s="5" t="s">
        <v>64</v>
      </c>
      <c r="AO6" s="5" t="s">
        <v>65</v>
      </c>
      <c r="AP6" s="5" t="s">
        <v>65</v>
      </c>
      <c r="AQ6" s="5" t="s">
        <v>65</v>
      </c>
      <c r="AR6" s="5" t="s">
        <v>65</v>
      </c>
      <c r="AS6" s="5" t="s">
        <v>65</v>
      </c>
      <c r="AT6" s="5" t="s">
        <v>65</v>
      </c>
      <c r="AU6" s="5" t="s">
        <v>65</v>
      </c>
      <c r="AV6" s="5" t="s">
        <v>65</v>
      </c>
      <c r="AW6" s="5" t="s">
        <v>65</v>
      </c>
      <c r="AX6" s="5" t="s">
        <v>65</v>
      </c>
      <c r="AY6" s="5" t="s">
        <v>66</v>
      </c>
      <c r="AZ6" s="5" t="s">
        <v>66</v>
      </c>
      <c r="BA6" s="5" t="s">
        <v>66</v>
      </c>
      <c r="BB6" s="5" t="s">
        <v>66</v>
      </c>
      <c r="BC6" s="5" t="s">
        <v>66</v>
      </c>
      <c r="BD6" s="5" t="s">
        <v>66</v>
      </c>
      <c r="BE6" s="5" t="s">
        <v>66</v>
      </c>
      <c r="BF6" s="5" t="s">
        <v>66</v>
      </c>
      <c r="BG6" s="5" t="s">
        <v>66</v>
      </c>
      <c r="BH6" s="5" t="s">
        <v>66</v>
      </c>
      <c r="BI6" s="5" t="s">
        <v>66</v>
      </c>
      <c r="BJ6" s="5" t="s">
        <v>66</v>
      </c>
      <c r="BK6" s="5" t="s">
        <v>66</v>
      </c>
      <c r="BL6" s="5" t="s">
        <v>66</v>
      </c>
      <c r="BM6" s="5" t="s">
        <v>66</v>
      </c>
      <c r="BN6" s="5" t="s">
        <v>66</v>
      </c>
      <c r="BO6" s="5" t="s">
        <v>66</v>
      </c>
      <c r="BP6" s="5" t="s">
        <v>66</v>
      </c>
      <c r="BQ6" s="5" t="s">
        <v>66</v>
      </c>
      <c r="BR6" s="5" t="s">
        <v>66</v>
      </c>
      <c r="BS6" s="5" t="s">
        <v>66</v>
      </c>
      <c r="BT6" s="5" t="s">
        <v>66</v>
      </c>
      <c r="BU6" s="5" t="s">
        <v>66</v>
      </c>
      <c r="BV6" s="5" t="s">
        <v>66</v>
      </c>
      <c r="BW6" s="5" t="s">
        <v>66</v>
      </c>
      <c r="BX6" s="5" t="s">
        <v>66</v>
      </c>
      <c r="BY6" s="5" t="s">
        <v>66</v>
      </c>
      <c r="BZ6" s="5" t="s">
        <v>66</v>
      </c>
      <c r="CA6" s="5" t="s">
        <v>66</v>
      </c>
      <c r="CB6" s="5" t="s">
        <v>67</v>
      </c>
      <c r="CC6" s="5" t="s">
        <v>67</v>
      </c>
      <c r="CD6" s="5" t="s">
        <v>67</v>
      </c>
      <c r="CE6" s="5" t="s">
        <v>67</v>
      </c>
      <c r="CF6" s="5" t="s">
        <v>67</v>
      </c>
      <c r="CG6" s="5" t="s">
        <v>68</v>
      </c>
      <c r="CH6" s="5" t="s">
        <v>69</v>
      </c>
      <c r="CI6" s="5" t="s">
        <v>69</v>
      </c>
      <c r="CJ6" s="5" t="s">
        <v>69</v>
      </c>
      <c r="CK6" s="5" t="s">
        <v>70</v>
      </c>
      <c r="CL6" s="5" t="s">
        <v>70</v>
      </c>
      <c r="CM6" s="5" t="s">
        <v>70</v>
      </c>
      <c r="CN6" s="5" t="s">
        <v>70</v>
      </c>
      <c r="CO6" s="5" t="s">
        <v>70</v>
      </c>
      <c r="CP6" s="5" t="s">
        <v>71</v>
      </c>
      <c r="CQ6" s="5" t="s">
        <v>72</v>
      </c>
      <c r="CR6" s="5" t="s">
        <v>73</v>
      </c>
      <c r="CS6" s="5" t="s">
        <v>73</v>
      </c>
      <c r="CT6" s="5" t="s">
        <v>73</v>
      </c>
      <c r="CU6" s="5" t="s">
        <v>73</v>
      </c>
      <c r="CV6" s="5" t="s">
        <v>73</v>
      </c>
      <c r="CW6" s="5"/>
    </row>
    <row r="7" spans="1:101" ht="19.5" thickBot="1">
      <c r="A7" s="14"/>
      <c r="B7" s="15"/>
      <c r="C7" s="6"/>
      <c r="D7" s="16"/>
      <c r="F7" t="s">
        <v>74</v>
      </c>
      <c r="G7" t="s">
        <v>75</v>
      </c>
      <c r="H7" t="s">
        <v>76</v>
      </c>
      <c r="I7" t="s">
        <v>77</v>
      </c>
      <c r="J7" t="s">
        <v>78</v>
      </c>
      <c r="K7" t="s">
        <v>79</v>
      </c>
      <c r="L7" t="s">
        <v>80</v>
      </c>
      <c r="M7" t="s">
        <v>81</v>
      </c>
      <c r="N7" t="s">
        <v>82</v>
      </c>
      <c r="O7" t="s">
        <v>83</v>
      </c>
      <c r="P7" t="s">
        <v>84</v>
      </c>
      <c r="Q7" t="s">
        <v>85</v>
      </c>
      <c r="R7" t="s">
        <v>86</v>
      </c>
      <c r="S7" t="s">
        <v>87</v>
      </c>
      <c r="T7" t="s">
        <v>88</v>
      </c>
      <c r="U7" t="s">
        <v>89</v>
      </c>
      <c r="V7" t="s">
        <v>90</v>
      </c>
      <c r="W7" t="s">
        <v>91</v>
      </c>
      <c r="X7">
        <v>2</v>
      </c>
      <c r="Y7">
        <v>6</v>
      </c>
      <c r="Z7">
        <v>10</v>
      </c>
      <c r="AA7">
        <v>4</v>
      </c>
      <c r="AB7">
        <v>31</v>
      </c>
      <c r="AC7">
        <v>35</v>
      </c>
      <c r="AD7">
        <v>28</v>
      </c>
      <c r="AE7">
        <v>30</v>
      </c>
      <c r="AF7">
        <v>43</v>
      </c>
      <c r="AG7">
        <v>60</v>
      </c>
      <c r="AH7">
        <v>62</v>
      </c>
      <c r="AI7">
        <v>64</v>
      </c>
      <c r="AJ7" t="s">
        <v>92</v>
      </c>
      <c r="AK7" t="s">
        <v>93</v>
      </c>
      <c r="AL7" t="s">
        <v>94</v>
      </c>
      <c r="AM7" t="s">
        <v>95</v>
      </c>
      <c r="AN7" t="s">
        <v>96</v>
      </c>
      <c r="AO7">
        <v>10</v>
      </c>
      <c r="AP7">
        <v>11</v>
      </c>
      <c r="AQ7">
        <v>13</v>
      </c>
      <c r="AR7">
        <v>29</v>
      </c>
      <c r="AS7">
        <v>16</v>
      </c>
      <c r="AT7" t="s">
        <v>97</v>
      </c>
      <c r="AU7" t="s">
        <v>98</v>
      </c>
      <c r="AV7" t="s">
        <v>99</v>
      </c>
      <c r="AW7" t="s">
        <v>100</v>
      </c>
      <c r="AX7" t="s">
        <v>101</v>
      </c>
      <c r="AY7" t="s">
        <v>102</v>
      </c>
      <c r="AZ7" t="s">
        <v>103</v>
      </c>
      <c r="BA7" t="s">
        <v>104</v>
      </c>
      <c r="BB7" t="s">
        <v>77</v>
      </c>
      <c r="BC7" t="s">
        <v>105</v>
      </c>
      <c r="BD7" t="s">
        <v>78</v>
      </c>
      <c r="BE7" t="s">
        <v>106</v>
      </c>
      <c r="BF7" t="s">
        <v>79</v>
      </c>
      <c r="BG7" t="s">
        <v>107</v>
      </c>
      <c r="BH7" t="s">
        <v>81</v>
      </c>
      <c r="BI7" t="s">
        <v>82</v>
      </c>
      <c r="BJ7" t="s">
        <v>108</v>
      </c>
      <c r="BK7" t="s">
        <v>83</v>
      </c>
      <c r="BL7" t="s">
        <v>109</v>
      </c>
      <c r="BM7" t="s">
        <v>84</v>
      </c>
      <c r="BN7" t="s">
        <v>110</v>
      </c>
      <c r="BO7" t="s">
        <v>111</v>
      </c>
      <c r="BP7" t="s">
        <v>112</v>
      </c>
      <c r="BQ7" t="s">
        <v>85</v>
      </c>
      <c r="BR7" t="s">
        <v>113</v>
      </c>
      <c r="BS7" t="s">
        <v>114</v>
      </c>
      <c r="BT7" t="s">
        <v>115</v>
      </c>
      <c r="BU7" t="s">
        <v>116</v>
      </c>
      <c r="BV7" t="s">
        <v>117</v>
      </c>
      <c r="BW7" t="s">
        <v>118</v>
      </c>
      <c r="BX7" t="s">
        <v>87</v>
      </c>
      <c r="BY7" t="s">
        <v>119</v>
      </c>
      <c r="BZ7" t="s">
        <v>91</v>
      </c>
      <c r="CA7" t="s">
        <v>120</v>
      </c>
      <c r="CB7">
        <v>2</v>
      </c>
      <c r="CC7">
        <v>6</v>
      </c>
      <c r="CD7">
        <v>8</v>
      </c>
      <c r="CE7">
        <v>10</v>
      </c>
      <c r="CF7">
        <v>12</v>
      </c>
      <c r="CG7" t="s">
        <v>76</v>
      </c>
      <c r="CH7" t="s">
        <v>104</v>
      </c>
      <c r="CI7" t="s">
        <v>121</v>
      </c>
      <c r="CJ7" t="s">
        <v>117</v>
      </c>
      <c r="CK7" t="s">
        <v>74</v>
      </c>
      <c r="CL7" t="s">
        <v>121</v>
      </c>
      <c r="CM7" t="s">
        <v>85</v>
      </c>
      <c r="CN7" t="s">
        <v>117</v>
      </c>
      <c r="CO7" t="s">
        <v>86</v>
      </c>
      <c r="CP7">
        <v>12</v>
      </c>
      <c r="CQ7" t="s">
        <v>74</v>
      </c>
      <c r="CR7" t="s">
        <v>121</v>
      </c>
      <c r="CS7" t="s">
        <v>85</v>
      </c>
      <c r="CT7" t="s">
        <v>117</v>
      </c>
      <c r="CU7" t="s">
        <v>86</v>
      </c>
      <c r="CV7" t="s">
        <v>87</v>
      </c>
    </row>
    <row r="8" spans="1:101" ht="19.5" thickBot="1">
      <c r="A8" s="14"/>
      <c r="B8" s="15"/>
      <c r="C8" s="6"/>
      <c r="D8" s="16"/>
      <c r="E8" t="s">
        <v>122</v>
      </c>
      <c r="F8">
        <v>2.6937000000000002</v>
      </c>
      <c r="G8">
        <v>2.2936000000000001</v>
      </c>
      <c r="H8">
        <v>2.3971</v>
      </c>
      <c r="I8">
        <v>2.6854</v>
      </c>
      <c r="J8">
        <v>2.4523000000000001</v>
      </c>
      <c r="K8">
        <v>2.6486000000000001</v>
      </c>
      <c r="L8">
        <v>2.4813000000000001</v>
      </c>
      <c r="M8">
        <v>2.6775000000000002</v>
      </c>
      <c r="N8">
        <v>2.6278999999999999</v>
      </c>
      <c r="O8">
        <v>2.4693999999999998</v>
      </c>
      <c r="P8">
        <v>2.6095000000000002</v>
      </c>
      <c r="Q8">
        <v>2.6823000000000001</v>
      </c>
      <c r="R8">
        <v>2.6842999999999999</v>
      </c>
      <c r="S8">
        <v>2.6634000000000002</v>
      </c>
      <c r="T8">
        <v>2.4291999999999998</v>
      </c>
      <c r="U8">
        <v>2.6863999999999999</v>
      </c>
      <c r="V8">
        <v>2.5754000000000001</v>
      </c>
      <c r="W8">
        <v>2.6890000000000001</v>
      </c>
      <c r="X8">
        <v>2.5019999999999998</v>
      </c>
      <c r="Y8">
        <v>2.452</v>
      </c>
      <c r="Z8">
        <v>2.5310000000000001</v>
      </c>
      <c r="AA8" s="63">
        <v>2.5099999999999998</v>
      </c>
      <c r="AB8">
        <v>2.3820000000000001</v>
      </c>
      <c r="AC8">
        <v>2.3439999999999999</v>
      </c>
      <c r="AD8">
        <v>2.2843499999999999</v>
      </c>
      <c r="AE8">
        <v>2.3995280000000001</v>
      </c>
      <c r="AF8">
        <v>1.082776</v>
      </c>
      <c r="AG8">
        <v>0.82790300000000006</v>
      </c>
      <c r="AH8">
        <v>0.72184999999999999</v>
      </c>
      <c r="AI8">
        <v>0.78602700000000003</v>
      </c>
      <c r="AJ8">
        <v>2.2997999999999998</v>
      </c>
      <c r="AK8">
        <v>2.3877999999999999</v>
      </c>
      <c r="AL8">
        <v>2.2357999999999998</v>
      </c>
      <c r="AM8">
        <v>2.3188</v>
      </c>
      <c r="AN8">
        <v>2.6802000000000001</v>
      </c>
      <c r="AO8">
        <v>0.82090200000000002</v>
      </c>
      <c r="AP8">
        <v>2.6501600000000001</v>
      </c>
      <c r="AQ8">
        <v>2.821021</v>
      </c>
      <c r="AR8">
        <v>2.208806</v>
      </c>
      <c r="AS8">
        <v>0.69079999999999997</v>
      </c>
      <c r="AT8">
        <v>0.81170799999999999</v>
      </c>
      <c r="AU8">
        <v>2.4888669999999999</v>
      </c>
      <c r="AV8">
        <v>1.3199000000000001</v>
      </c>
      <c r="AW8">
        <v>1.3983000000000001</v>
      </c>
      <c r="AX8">
        <v>1.3435999999999999</v>
      </c>
      <c r="AY8">
        <v>2.3980999999999999</v>
      </c>
      <c r="AZ8">
        <v>2.4075000000000002</v>
      </c>
      <c r="BA8">
        <v>2.3717000000000001</v>
      </c>
      <c r="BB8">
        <v>2.4954999999999998</v>
      </c>
      <c r="BC8">
        <v>2.6875</v>
      </c>
      <c r="BD8">
        <v>2.4255</v>
      </c>
      <c r="BE8">
        <v>2.2850999999999999</v>
      </c>
      <c r="BF8">
        <v>2.5158</v>
      </c>
      <c r="BG8">
        <v>2.5495999999999999</v>
      </c>
      <c r="BH8">
        <v>2.3089</v>
      </c>
      <c r="BI8">
        <v>2.6509</v>
      </c>
      <c r="BJ8">
        <v>2.6976</v>
      </c>
      <c r="BK8">
        <v>2.6869000000000001</v>
      </c>
      <c r="BL8">
        <v>2.3898000000000001</v>
      </c>
      <c r="BM8">
        <v>2.6808999999999998</v>
      </c>
      <c r="BN8">
        <v>2.6214</v>
      </c>
      <c r="BO8">
        <v>2.5577999999999999</v>
      </c>
      <c r="BP8">
        <v>2.6027999999999998</v>
      </c>
      <c r="BQ8">
        <v>2.0501999999999998</v>
      </c>
      <c r="BR8">
        <v>2.6692999999999998</v>
      </c>
      <c r="BS8">
        <v>2.6749000000000001</v>
      </c>
      <c r="BT8">
        <v>2.5347</v>
      </c>
      <c r="BU8">
        <v>2.2719999999999998</v>
      </c>
      <c r="BV8">
        <v>2.6762999999999999</v>
      </c>
      <c r="BW8">
        <v>2.1244999999999998</v>
      </c>
      <c r="BX8">
        <v>2.3843000000000001</v>
      </c>
      <c r="BY8">
        <v>2.3681000000000001</v>
      </c>
      <c r="BZ8">
        <v>2.3469000000000002</v>
      </c>
      <c r="CA8">
        <v>2.468</v>
      </c>
      <c r="CB8">
        <v>2.3470780000000002</v>
      </c>
      <c r="CC8">
        <v>2.4044050000000001</v>
      </c>
      <c r="CD8">
        <v>2.3777119999999998</v>
      </c>
      <c r="CE8">
        <v>2.5481029999999998</v>
      </c>
      <c r="CF8">
        <v>2.542513</v>
      </c>
      <c r="CG8">
        <v>1.2036</v>
      </c>
      <c r="CH8">
        <v>2.6671</v>
      </c>
      <c r="CI8">
        <v>2.3205</v>
      </c>
      <c r="CJ8">
        <v>2.3079000000000001</v>
      </c>
      <c r="CK8">
        <v>2.6673</v>
      </c>
      <c r="CL8">
        <v>2.6724000000000001</v>
      </c>
      <c r="CM8">
        <v>2.6920999999999999</v>
      </c>
      <c r="CN8">
        <v>2.6652</v>
      </c>
      <c r="CO8">
        <v>2.6859999999999999</v>
      </c>
      <c r="CP8">
        <v>0.84207200000000004</v>
      </c>
      <c r="CQ8">
        <v>1.0334000000000001</v>
      </c>
      <c r="CR8">
        <v>1.2723</v>
      </c>
      <c r="CS8">
        <v>1.2862</v>
      </c>
      <c r="CT8">
        <v>1.3593999999999999</v>
      </c>
      <c r="CU8">
        <v>1.1391</v>
      </c>
      <c r="CV8">
        <v>1.1174999999999999</v>
      </c>
    </row>
    <row r="9" spans="1:101" ht="19.5" thickBot="1">
      <c r="A9" s="14"/>
      <c r="B9" s="15"/>
      <c r="C9" s="6"/>
      <c r="D9" s="16"/>
      <c r="E9" t="s">
        <v>123</v>
      </c>
      <c r="F9">
        <v>2.6937000000000002</v>
      </c>
      <c r="G9">
        <v>2.9333999999999998</v>
      </c>
      <c r="H9">
        <v>2.3971</v>
      </c>
      <c r="I9">
        <v>2.6854</v>
      </c>
      <c r="J9">
        <v>2.4523000000000001</v>
      </c>
      <c r="K9">
        <v>2.6486000000000001</v>
      </c>
      <c r="L9">
        <v>2.4813000000000001</v>
      </c>
      <c r="M9">
        <v>2.6775000000000002</v>
      </c>
      <c r="N9">
        <v>2.6278999999999999</v>
      </c>
      <c r="O9">
        <v>2.4693999999999998</v>
      </c>
      <c r="P9">
        <v>2.6095000000000002</v>
      </c>
      <c r="Q9">
        <v>2.6823000000000001</v>
      </c>
      <c r="R9">
        <v>2.6842999999999999</v>
      </c>
      <c r="S9">
        <v>2.6634000000000002</v>
      </c>
      <c r="T9">
        <v>2.9289999999999998</v>
      </c>
      <c r="U9">
        <v>2.6863999999999999</v>
      </c>
      <c r="V9">
        <v>2.8736000000000002</v>
      </c>
      <c r="W9">
        <v>2.6890000000000001</v>
      </c>
      <c r="X9">
        <v>2.8529040000000001</v>
      </c>
      <c r="Y9">
        <v>2.8467790000000002</v>
      </c>
      <c r="Z9">
        <v>2.9309539999999998</v>
      </c>
      <c r="AA9">
        <v>2.9326460000000001</v>
      </c>
      <c r="AB9">
        <v>2.811232</v>
      </c>
      <c r="AC9">
        <v>2.8417979999999998</v>
      </c>
      <c r="AD9">
        <v>2.81535</v>
      </c>
      <c r="AE9">
        <v>2.8977680000000001</v>
      </c>
      <c r="AF9">
        <v>1.082776</v>
      </c>
      <c r="AG9">
        <v>0.82790300000000006</v>
      </c>
      <c r="AH9">
        <v>0.72184999999999999</v>
      </c>
      <c r="AI9">
        <v>0.78602700000000003</v>
      </c>
      <c r="AJ9">
        <v>2.2997999999999998</v>
      </c>
      <c r="AK9">
        <v>2.3877999999999999</v>
      </c>
      <c r="AL9">
        <v>2.2357999999999998</v>
      </c>
      <c r="AM9">
        <v>2.9186000000000001</v>
      </c>
      <c r="AN9">
        <v>2.6802000000000001</v>
      </c>
      <c r="AO9">
        <v>0.82090200000000002</v>
      </c>
      <c r="AP9">
        <v>2.6501600000000001</v>
      </c>
      <c r="AQ9">
        <v>2.821021</v>
      </c>
      <c r="AR9">
        <v>2.208806</v>
      </c>
      <c r="AS9">
        <v>0.69079999999999997</v>
      </c>
      <c r="AT9">
        <v>0.81170799999999999</v>
      </c>
      <c r="AU9">
        <v>2.4888669999999999</v>
      </c>
      <c r="AV9">
        <v>1.5703</v>
      </c>
      <c r="AW9">
        <v>1.6638999999999999</v>
      </c>
      <c r="AX9">
        <v>1.6132</v>
      </c>
      <c r="AY9">
        <v>2.9297</v>
      </c>
      <c r="AZ9">
        <v>2.9049</v>
      </c>
      <c r="BA9">
        <v>2.3717000000000001</v>
      </c>
      <c r="BB9">
        <v>2.4954999999999998</v>
      </c>
      <c r="BC9">
        <v>2.6875</v>
      </c>
      <c r="BD9">
        <v>2.8161</v>
      </c>
      <c r="BE9">
        <v>2.9304999999999999</v>
      </c>
      <c r="BF9">
        <v>2.5158</v>
      </c>
      <c r="BG9">
        <v>2.5495999999999999</v>
      </c>
      <c r="BH9">
        <v>2.3089</v>
      </c>
      <c r="BI9">
        <v>2.6509</v>
      </c>
      <c r="BJ9">
        <v>2.6976</v>
      </c>
      <c r="BK9">
        <v>2.6869000000000001</v>
      </c>
      <c r="BL9">
        <v>2.3898000000000001</v>
      </c>
      <c r="BM9">
        <v>2.6808999999999998</v>
      </c>
      <c r="BN9">
        <v>2.6214</v>
      </c>
      <c r="BO9">
        <v>2.9279999999999999</v>
      </c>
      <c r="BP9">
        <v>2.6027999999999998</v>
      </c>
      <c r="BQ9">
        <v>2.0501999999999998</v>
      </c>
      <c r="BR9">
        <v>2.6692999999999998</v>
      </c>
      <c r="BS9">
        <v>2.6749000000000001</v>
      </c>
      <c r="BT9">
        <v>2.5347</v>
      </c>
      <c r="BU9">
        <v>2.2719999999999998</v>
      </c>
      <c r="BV9">
        <v>2.6762999999999999</v>
      </c>
      <c r="BW9">
        <v>2.1244999999999998</v>
      </c>
      <c r="BX9">
        <v>2.3843000000000001</v>
      </c>
      <c r="BY9">
        <v>2.3681000000000001</v>
      </c>
      <c r="BZ9">
        <v>2.8498999999999999</v>
      </c>
      <c r="CA9">
        <v>2.9176000000000002</v>
      </c>
      <c r="CB9">
        <v>2.8742380000000001</v>
      </c>
      <c r="CC9">
        <v>2.796805</v>
      </c>
      <c r="CD9">
        <v>2.7717350000000001</v>
      </c>
      <c r="CE9">
        <v>2.9498289999999998</v>
      </c>
      <c r="CF9">
        <v>2.9465970000000001</v>
      </c>
      <c r="CG9">
        <v>1.2036</v>
      </c>
      <c r="CH9">
        <v>2.6671</v>
      </c>
      <c r="CI9">
        <v>2.9417</v>
      </c>
      <c r="CJ9">
        <v>2.9296000000000002</v>
      </c>
      <c r="CK9">
        <v>2.6673</v>
      </c>
      <c r="CL9">
        <v>2.6724000000000001</v>
      </c>
      <c r="CM9">
        <v>2.6920999999999999</v>
      </c>
      <c r="CN9">
        <v>2.6652</v>
      </c>
      <c r="CO9">
        <v>2.6859999999999999</v>
      </c>
      <c r="CP9">
        <v>0.84207200000000004</v>
      </c>
      <c r="CQ9">
        <v>1.0334000000000001</v>
      </c>
      <c r="CR9">
        <v>1.2723</v>
      </c>
      <c r="CS9">
        <v>1.2862</v>
      </c>
      <c r="CT9">
        <v>1.3593999999999999</v>
      </c>
      <c r="CU9">
        <v>1.1391</v>
      </c>
      <c r="CV9">
        <v>1.1174999999999999</v>
      </c>
    </row>
    <row r="10" spans="1:101" ht="19.5" thickBot="1">
      <c r="A10" s="14"/>
      <c r="B10" s="15"/>
      <c r="C10" s="6"/>
      <c r="D10" s="16"/>
      <c r="E10" t="s">
        <v>124</v>
      </c>
      <c r="F10">
        <v>1.9360999999999999</v>
      </c>
      <c r="G10">
        <v>1.6587000000000001</v>
      </c>
      <c r="H10">
        <v>1.9722999999999999</v>
      </c>
      <c r="I10">
        <v>2.1960000000000002</v>
      </c>
      <c r="J10">
        <v>1.8660000000000001</v>
      </c>
      <c r="K10">
        <v>2.0990000000000002</v>
      </c>
      <c r="L10">
        <v>1.6525000000000001</v>
      </c>
      <c r="M10">
        <v>2.1850999999999998</v>
      </c>
      <c r="N10">
        <v>2.0789</v>
      </c>
      <c r="O10">
        <v>1.9766999999999999</v>
      </c>
      <c r="P10">
        <v>2.0642999999999998</v>
      </c>
      <c r="Q10">
        <v>1.8645</v>
      </c>
      <c r="R10">
        <v>2.1703000000000001</v>
      </c>
      <c r="S10">
        <v>1.7533000000000001</v>
      </c>
      <c r="T10">
        <v>1.7738</v>
      </c>
      <c r="U10">
        <v>2.1173999999999999</v>
      </c>
      <c r="V10">
        <v>1.9926999999999999</v>
      </c>
      <c r="W10">
        <v>2.1156999999999999</v>
      </c>
      <c r="X10">
        <v>1.826044</v>
      </c>
      <c r="Y10">
        <v>1.701811</v>
      </c>
      <c r="Z10">
        <v>1.7971200000000001</v>
      </c>
      <c r="AA10">
        <v>1.7419480000000001</v>
      </c>
      <c r="AB10">
        <v>1.6061879999999999</v>
      </c>
      <c r="AC10">
        <v>1.569977</v>
      </c>
      <c r="AD10">
        <v>1.4903900000000001</v>
      </c>
      <c r="AE10">
        <v>1.5830280000000001</v>
      </c>
      <c r="AF10">
        <v>0.77833600000000003</v>
      </c>
      <c r="AG10">
        <v>0.419543</v>
      </c>
      <c r="AH10">
        <v>0.43241000000000002</v>
      </c>
      <c r="AI10">
        <v>0.42962699999999998</v>
      </c>
      <c r="AJ10">
        <v>1.4326000000000001</v>
      </c>
      <c r="AK10">
        <v>1.6815</v>
      </c>
      <c r="AL10">
        <v>1.5037</v>
      </c>
      <c r="AM10">
        <v>1.5392999999999999</v>
      </c>
      <c r="AN10">
        <v>1.7428999999999999</v>
      </c>
      <c r="AO10">
        <v>0.36442200000000002</v>
      </c>
      <c r="AP10">
        <v>1.9148369999999999</v>
      </c>
      <c r="AQ10">
        <v>2.0664220000000002</v>
      </c>
      <c r="AR10">
        <v>1.7582059999999999</v>
      </c>
      <c r="AS10">
        <v>0.47370000000000001</v>
      </c>
      <c r="AT10">
        <v>0.35882799999999998</v>
      </c>
      <c r="AU10">
        <v>1.7709520000000001</v>
      </c>
      <c r="AV10">
        <v>1.0889</v>
      </c>
      <c r="AW10">
        <v>1.1583000000000001</v>
      </c>
      <c r="AX10">
        <v>1.1214</v>
      </c>
      <c r="AY10">
        <v>1.64</v>
      </c>
      <c r="AZ10">
        <v>1.7839</v>
      </c>
      <c r="BA10">
        <v>1.4146000000000001</v>
      </c>
      <c r="BB10">
        <v>1.9786999999999999</v>
      </c>
      <c r="BC10">
        <v>2.0973000000000002</v>
      </c>
      <c r="BD10">
        <v>1.6833</v>
      </c>
      <c r="BE10">
        <v>1.4819</v>
      </c>
      <c r="BF10">
        <v>2.0001000000000002</v>
      </c>
      <c r="BG10">
        <v>1.9938</v>
      </c>
      <c r="BH10">
        <v>1.7649999999999999</v>
      </c>
      <c r="BI10">
        <v>2.1175000000000002</v>
      </c>
      <c r="BJ10">
        <v>2.0310000000000001</v>
      </c>
      <c r="BK10">
        <v>2.1596000000000002</v>
      </c>
      <c r="BL10">
        <v>1.8289</v>
      </c>
      <c r="BM10">
        <v>2.0365000000000002</v>
      </c>
      <c r="BN10">
        <v>2.0575999999999999</v>
      </c>
      <c r="BO10">
        <v>1.9625999999999999</v>
      </c>
      <c r="BP10">
        <v>2.1926999999999999</v>
      </c>
      <c r="BQ10">
        <v>1.5048999999999999</v>
      </c>
      <c r="BR10">
        <v>2.2048999999999999</v>
      </c>
      <c r="BS10">
        <v>2.1284000000000001</v>
      </c>
      <c r="BT10">
        <v>1.7478</v>
      </c>
      <c r="BU10">
        <v>1.7494000000000001</v>
      </c>
      <c r="BV10">
        <v>2.1438000000000001</v>
      </c>
      <c r="BW10">
        <v>1.7081</v>
      </c>
      <c r="BX10">
        <v>1.9373</v>
      </c>
      <c r="BY10">
        <v>1.4288000000000001</v>
      </c>
      <c r="BZ10">
        <v>1.7355</v>
      </c>
      <c r="CA10">
        <v>1.8265</v>
      </c>
      <c r="CB10">
        <v>1.5284960000000001</v>
      </c>
      <c r="CC10">
        <v>1.6598809999999999</v>
      </c>
      <c r="CD10">
        <v>1.703274</v>
      </c>
      <c r="CE10">
        <v>1.566659</v>
      </c>
      <c r="CF10">
        <v>1.6392640000000001</v>
      </c>
      <c r="CG10">
        <v>0.69889999999999997</v>
      </c>
      <c r="CH10">
        <v>2.1162999999999998</v>
      </c>
      <c r="CI10">
        <v>1.4762999999999999</v>
      </c>
      <c r="CJ10">
        <v>1.4651000000000001</v>
      </c>
      <c r="CK10">
        <v>1.9545999999999999</v>
      </c>
      <c r="CL10">
        <v>2.0663999999999998</v>
      </c>
      <c r="CM10">
        <v>2.1928000000000001</v>
      </c>
      <c r="CN10">
        <v>2.1252</v>
      </c>
      <c r="CO10">
        <v>2.1322999999999999</v>
      </c>
      <c r="CP10">
        <v>0.45843200000000001</v>
      </c>
      <c r="CQ10">
        <v>0.73419999999999996</v>
      </c>
      <c r="CR10">
        <v>0.78310000000000002</v>
      </c>
      <c r="CS10">
        <v>0.78410000000000002</v>
      </c>
      <c r="CT10">
        <v>0.75900000000000001</v>
      </c>
      <c r="CU10">
        <v>0.79049999999999998</v>
      </c>
      <c r="CV10">
        <v>0.59350000000000003</v>
      </c>
    </row>
    <row r="11" spans="1:101" ht="19.5" thickBot="1">
      <c r="A11" s="7"/>
      <c r="B11" s="174"/>
      <c r="C11" s="175"/>
      <c r="D11" s="17"/>
      <c r="E11" t="s">
        <v>125</v>
      </c>
      <c r="F11">
        <v>2.0278</v>
      </c>
      <c r="G11">
        <v>1.9792000000000001</v>
      </c>
      <c r="H11">
        <v>2.1229</v>
      </c>
      <c r="I11">
        <v>2.3654000000000002</v>
      </c>
      <c r="J11">
        <v>1.9384999999999999</v>
      </c>
      <c r="K11">
        <v>2.2688999999999999</v>
      </c>
      <c r="L11">
        <v>1.7495000000000001</v>
      </c>
      <c r="M11">
        <v>2.3515000000000001</v>
      </c>
      <c r="N11">
        <v>2.2997000000000001</v>
      </c>
      <c r="O11">
        <v>2.1674000000000002</v>
      </c>
      <c r="P11">
        <v>2.2635000000000001</v>
      </c>
      <c r="Q11">
        <v>1.9621999999999999</v>
      </c>
      <c r="R11">
        <v>2.3121999999999998</v>
      </c>
      <c r="S11">
        <v>1.915</v>
      </c>
      <c r="T11">
        <v>2.0956000000000001</v>
      </c>
      <c r="U11">
        <v>2.2543000000000002</v>
      </c>
      <c r="V11">
        <v>2.1684000000000001</v>
      </c>
      <c r="W11">
        <v>2.2414000000000001</v>
      </c>
      <c r="X11" s="64">
        <v>2.0657239999999999</v>
      </c>
      <c r="Y11">
        <v>1.9693639999999999</v>
      </c>
      <c r="Z11" s="64">
        <v>2.0454330000000001</v>
      </c>
      <c r="AA11">
        <v>2.038084</v>
      </c>
      <c r="AB11" s="64">
        <v>1.8915930000000001</v>
      </c>
      <c r="AC11" s="64">
        <v>1.826368</v>
      </c>
      <c r="AD11">
        <v>1.7702899999999999</v>
      </c>
      <c r="AE11">
        <v>1.884228</v>
      </c>
      <c r="AF11">
        <v>0.77833600000000003</v>
      </c>
      <c r="AG11">
        <v>0.419543</v>
      </c>
      <c r="AH11">
        <v>0.43241000000000002</v>
      </c>
      <c r="AI11">
        <v>0.42962699999999998</v>
      </c>
      <c r="AJ11">
        <v>1.6064000000000001</v>
      </c>
      <c r="AK11">
        <v>1.7771999999999999</v>
      </c>
      <c r="AL11">
        <v>1.5815999999999999</v>
      </c>
      <c r="AM11">
        <v>1.6903999999999999</v>
      </c>
      <c r="AN11">
        <v>1.9064000000000001</v>
      </c>
      <c r="AO11">
        <v>0.36442200000000002</v>
      </c>
      <c r="AP11">
        <v>1.9148369999999999</v>
      </c>
      <c r="AQ11">
        <v>2.1307559999999999</v>
      </c>
      <c r="AR11">
        <v>1.7582059999999999</v>
      </c>
      <c r="AS11">
        <v>0.47370000000000001</v>
      </c>
      <c r="AT11">
        <v>0.35882799999999998</v>
      </c>
      <c r="AU11">
        <v>1.9699690000000001</v>
      </c>
      <c r="AV11">
        <v>1.3062</v>
      </c>
      <c r="AW11">
        <v>1.3983000000000001</v>
      </c>
      <c r="AX11">
        <v>1.3435999999999999</v>
      </c>
      <c r="AY11">
        <v>1.9475</v>
      </c>
      <c r="AZ11">
        <v>2.0788000000000002</v>
      </c>
      <c r="BA11">
        <v>1.5265</v>
      </c>
      <c r="BB11">
        <v>2.1326999999999998</v>
      </c>
      <c r="BC11">
        <v>2.2831999999999999</v>
      </c>
      <c r="BD11">
        <v>2.1623000000000001</v>
      </c>
      <c r="BE11">
        <v>1.9025000000000001</v>
      </c>
      <c r="BF11">
        <v>2.1981999999999999</v>
      </c>
      <c r="BG11">
        <v>2.1558000000000002</v>
      </c>
      <c r="BH11">
        <v>1.9975000000000001</v>
      </c>
      <c r="BI11">
        <v>2.2976999999999999</v>
      </c>
      <c r="BJ11">
        <v>2.1886000000000001</v>
      </c>
      <c r="BK11">
        <v>2.3353999999999999</v>
      </c>
      <c r="BL11">
        <v>2.0285000000000002</v>
      </c>
      <c r="BM11">
        <v>2.2671000000000001</v>
      </c>
      <c r="BN11">
        <v>2.1724000000000001</v>
      </c>
      <c r="BO11">
        <v>2.2601</v>
      </c>
      <c r="BP11">
        <v>2.2795999999999998</v>
      </c>
      <c r="BQ11">
        <v>1.5702</v>
      </c>
      <c r="BR11">
        <v>2.3765999999999998</v>
      </c>
      <c r="BS11">
        <v>2.3094999999999999</v>
      </c>
      <c r="BT11">
        <v>1.8577999999999999</v>
      </c>
      <c r="BU11">
        <v>1.9034</v>
      </c>
      <c r="BV11">
        <v>2.3218999999999999</v>
      </c>
      <c r="BW11">
        <v>1.8166</v>
      </c>
      <c r="BX11">
        <v>2.0657000000000001</v>
      </c>
      <c r="BY11">
        <v>1.5396000000000001</v>
      </c>
      <c r="BZ11">
        <v>2.0308000000000002</v>
      </c>
      <c r="CA11">
        <v>2.1139999999999999</v>
      </c>
      <c r="CB11">
        <v>1.7969139999999999</v>
      </c>
      <c r="CC11">
        <v>1.884944</v>
      </c>
      <c r="CD11">
        <v>1.936793</v>
      </c>
      <c r="CE11">
        <v>1.8137810000000001</v>
      </c>
      <c r="CF11">
        <v>1.860282</v>
      </c>
      <c r="CG11">
        <v>0.69889999999999997</v>
      </c>
      <c r="CH11">
        <v>2.2860999999999998</v>
      </c>
      <c r="CI11">
        <v>1.8229</v>
      </c>
      <c r="CJ11">
        <v>1.8118000000000001</v>
      </c>
      <c r="CK11">
        <v>2.161</v>
      </c>
      <c r="CL11">
        <v>2.2747999999999999</v>
      </c>
      <c r="CM11">
        <v>2.3746</v>
      </c>
      <c r="CN11">
        <v>2.2770000000000001</v>
      </c>
      <c r="CO11">
        <v>2.3416999999999999</v>
      </c>
      <c r="CP11">
        <v>0.45843200000000001</v>
      </c>
      <c r="CQ11">
        <v>0.73419999999999996</v>
      </c>
      <c r="CR11">
        <v>0.78310000000000002</v>
      </c>
      <c r="CS11">
        <v>0.78410000000000002</v>
      </c>
      <c r="CT11">
        <v>0.75900000000000001</v>
      </c>
      <c r="CU11">
        <v>0.79049999999999998</v>
      </c>
      <c r="CV11">
        <v>0.59350000000000003</v>
      </c>
    </row>
    <row r="12" spans="1:101" ht="19.5" thickBot="1">
      <c r="A12" s="7">
        <v>1</v>
      </c>
      <c r="B12" s="174" t="s">
        <v>6</v>
      </c>
      <c r="C12" s="175"/>
      <c r="D12" s="7">
        <v>1</v>
      </c>
      <c r="E12" s="174" t="s">
        <v>6</v>
      </c>
      <c r="F12" s="175"/>
    </row>
    <row r="13" spans="1:101" ht="19.5" thickBot="1">
      <c r="A13" s="7" t="s">
        <v>7</v>
      </c>
      <c r="B13" s="8" t="s">
        <v>8</v>
      </c>
      <c r="C13" s="9"/>
      <c r="D13" s="16" t="s">
        <v>7</v>
      </c>
      <c r="E13" t="s">
        <v>127</v>
      </c>
      <c r="F13">
        <v>0.61380000000000001</v>
      </c>
      <c r="G13">
        <v>0.50639999999999996</v>
      </c>
      <c r="H13">
        <v>0.47060000000000002</v>
      </c>
      <c r="I13">
        <v>0.42820000000000003</v>
      </c>
      <c r="J13">
        <v>0.29699999999999999</v>
      </c>
      <c r="K13">
        <v>0.31780000000000003</v>
      </c>
      <c r="L13">
        <v>0.49320000000000003</v>
      </c>
      <c r="M13">
        <v>0.46529999999999999</v>
      </c>
      <c r="N13">
        <v>0.41089999999999999</v>
      </c>
      <c r="O13">
        <v>0.3906</v>
      </c>
      <c r="P13">
        <v>0.47470000000000001</v>
      </c>
      <c r="Q13">
        <v>0.46160000000000001</v>
      </c>
      <c r="R13">
        <v>0.4612</v>
      </c>
      <c r="S13">
        <v>0.57330000000000003</v>
      </c>
      <c r="T13">
        <v>0.56430000000000002</v>
      </c>
      <c r="U13">
        <v>0.41830000000000001</v>
      </c>
      <c r="V13">
        <v>0.48930000000000001</v>
      </c>
      <c r="W13">
        <v>0.41270000000000001</v>
      </c>
      <c r="X13">
        <v>0.48499999999999999</v>
      </c>
      <c r="Y13">
        <v>0.44469999999999998</v>
      </c>
      <c r="Z13">
        <v>0.47010099999999999</v>
      </c>
      <c r="AA13">
        <v>0.48399999999999999</v>
      </c>
      <c r="AB13">
        <v>0.460401</v>
      </c>
      <c r="AC13">
        <v>0.41927799999999998</v>
      </c>
      <c r="AD13">
        <v>0.35980000000000001</v>
      </c>
      <c r="AE13">
        <v>0.43462699999999999</v>
      </c>
      <c r="AF13">
        <v>0</v>
      </c>
      <c r="AG13">
        <v>0</v>
      </c>
      <c r="AH13">
        <v>0</v>
      </c>
      <c r="AI13">
        <v>0</v>
      </c>
      <c r="AJ13">
        <v>0.1515</v>
      </c>
      <c r="AK13">
        <v>0.32969999999999999</v>
      </c>
      <c r="AL13">
        <v>0.2258</v>
      </c>
      <c r="AM13">
        <v>0.65390000000000004</v>
      </c>
      <c r="AN13">
        <v>0.41249999999999998</v>
      </c>
      <c r="AO13">
        <v>0</v>
      </c>
      <c r="AP13">
        <v>0.90104399999999996</v>
      </c>
      <c r="AQ13">
        <v>0.48647200000000002</v>
      </c>
      <c r="AR13">
        <v>0.360315</v>
      </c>
      <c r="AS13">
        <v>0</v>
      </c>
      <c r="AT13">
        <v>0</v>
      </c>
      <c r="AU13">
        <v>0.48847099999999999</v>
      </c>
      <c r="AV13">
        <v>0.24310000000000001</v>
      </c>
      <c r="AW13">
        <v>0.25340000000000001</v>
      </c>
      <c r="AX13">
        <v>0.26939999999999997</v>
      </c>
      <c r="AY13">
        <v>0.53159999999999996</v>
      </c>
      <c r="AZ13">
        <v>0.60919999999999996</v>
      </c>
      <c r="BA13">
        <v>0.34470000000000001</v>
      </c>
      <c r="BB13">
        <v>0.43009999999999998</v>
      </c>
      <c r="BC13">
        <v>1.1976</v>
      </c>
      <c r="BD13">
        <v>0.5978</v>
      </c>
      <c r="BE13">
        <v>0.42370000000000002</v>
      </c>
      <c r="BF13">
        <v>0.52449999999999997</v>
      </c>
      <c r="BG13">
        <v>0.47889999999999999</v>
      </c>
      <c r="BH13">
        <v>0.34210000000000002</v>
      </c>
      <c r="BI13">
        <v>0.67300000000000004</v>
      </c>
      <c r="BJ13">
        <v>0.83399999999999996</v>
      </c>
      <c r="BK13">
        <v>0.67310000000000003</v>
      </c>
      <c r="BL13">
        <v>0.42420000000000002</v>
      </c>
      <c r="BM13">
        <v>0.75080000000000002</v>
      </c>
      <c r="BN13">
        <v>0.49149999999999999</v>
      </c>
      <c r="BO13">
        <v>0.5837</v>
      </c>
      <c r="BP13">
        <v>0.34870000000000001</v>
      </c>
      <c r="BQ13">
        <v>0.1202</v>
      </c>
      <c r="BR13">
        <v>0.73599999999999999</v>
      </c>
      <c r="BS13">
        <v>0.67379999999999995</v>
      </c>
      <c r="BT13">
        <v>0.38250000000000001</v>
      </c>
      <c r="BU13">
        <v>0.39900000000000002</v>
      </c>
      <c r="BV13">
        <v>0.33329999999999999</v>
      </c>
      <c r="BW13">
        <v>0.40450000000000003</v>
      </c>
      <c r="BX13">
        <v>0.28460000000000002</v>
      </c>
      <c r="BY13">
        <v>0.36330000000000001</v>
      </c>
      <c r="BZ13">
        <v>0.4163</v>
      </c>
      <c r="CA13">
        <v>0.6159</v>
      </c>
      <c r="CB13">
        <v>0.45837099999999997</v>
      </c>
      <c r="CC13">
        <v>0.49813299999999999</v>
      </c>
      <c r="CD13">
        <v>0.50548499999999996</v>
      </c>
      <c r="CE13">
        <v>0.464086</v>
      </c>
      <c r="CF13">
        <v>0.52161800000000003</v>
      </c>
      <c r="CG13">
        <v>0</v>
      </c>
      <c r="CH13">
        <v>0.46350000000000002</v>
      </c>
      <c r="CI13">
        <v>0.68600000000000005</v>
      </c>
      <c r="CJ13">
        <v>0.63329999999999997</v>
      </c>
      <c r="CK13">
        <v>0.31869999999999998</v>
      </c>
      <c r="CL13">
        <v>0.43159999999999998</v>
      </c>
      <c r="CM13">
        <v>1.0692999999999999</v>
      </c>
      <c r="CN13">
        <v>0.60370000000000001</v>
      </c>
      <c r="CO13">
        <v>1.2922</v>
      </c>
      <c r="CP13">
        <v>0</v>
      </c>
      <c r="CQ13">
        <v>3.6400000000000002E-2</v>
      </c>
      <c r="CR13">
        <v>3.6999999999999998E-2</v>
      </c>
      <c r="CS13">
        <v>3.6700000000000003E-2</v>
      </c>
      <c r="CT13">
        <v>3.6499999999999998E-2</v>
      </c>
      <c r="CU13">
        <v>3.6400000000000002E-2</v>
      </c>
      <c r="CV13">
        <v>3.56E-2</v>
      </c>
    </row>
    <row r="14" spans="1:101" ht="19.5" thickBot="1">
      <c r="A14" s="7" t="s">
        <v>9</v>
      </c>
      <c r="B14" s="10" t="s">
        <v>10</v>
      </c>
      <c r="C14" s="9"/>
      <c r="D14" s="16" t="s">
        <v>9</v>
      </c>
      <c r="E14" t="s">
        <v>126</v>
      </c>
      <c r="F14">
        <v>9.1700000000000004E-2</v>
      </c>
      <c r="G14">
        <v>0.32050000000000001</v>
      </c>
      <c r="H14">
        <v>0.15060000000000001</v>
      </c>
      <c r="I14">
        <v>0.1694</v>
      </c>
      <c r="J14">
        <v>7.2499999999999995E-2</v>
      </c>
      <c r="K14">
        <v>0.1699</v>
      </c>
      <c r="L14">
        <v>9.7000000000000003E-2</v>
      </c>
      <c r="M14">
        <v>0.16639999999999999</v>
      </c>
      <c r="N14">
        <v>0.2208</v>
      </c>
      <c r="O14">
        <v>0.19070000000000001</v>
      </c>
      <c r="P14">
        <v>0.19919999999999999</v>
      </c>
      <c r="Q14">
        <v>9.7699999999999995E-2</v>
      </c>
      <c r="R14">
        <v>0.1419</v>
      </c>
      <c r="S14">
        <v>0.16170000000000001</v>
      </c>
      <c r="T14">
        <v>0.32179999999999997</v>
      </c>
      <c r="U14">
        <v>0.13689999999999999</v>
      </c>
      <c r="V14">
        <v>0.1757</v>
      </c>
      <c r="W14">
        <v>0.12570000000000001</v>
      </c>
      <c r="X14">
        <v>0.23968</v>
      </c>
      <c r="Y14">
        <v>0.26755299999999999</v>
      </c>
      <c r="Z14">
        <v>0.24831300000000001</v>
      </c>
      <c r="AA14">
        <v>0.29613600000000001</v>
      </c>
      <c r="AB14">
        <v>0.28540500000000002</v>
      </c>
      <c r="AC14">
        <v>0.25639099999999998</v>
      </c>
      <c r="AD14">
        <v>0.27989999999999998</v>
      </c>
      <c r="AE14">
        <v>0.30120000000000002</v>
      </c>
      <c r="AF14">
        <v>0</v>
      </c>
      <c r="AG14">
        <v>0</v>
      </c>
      <c r="AH14">
        <v>0</v>
      </c>
      <c r="AI14">
        <v>0</v>
      </c>
      <c r="AJ14">
        <v>0.17380000000000001</v>
      </c>
      <c r="AK14">
        <v>9.5699999999999993E-2</v>
      </c>
      <c r="AL14">
        <v>7.7899999999999997E-2</v>
      </c>
      <c r="AM14">
        <v>0.15110000000000001</v>
      </c>
      <c r="AN14">
        <v>0.16350000000000001</v>
      </c>
      <c r="AO14">
        <v>0</v>
      </c>
      <c r="AP14">
        <v>0</v>
      </c>
      <c r="AQ14">
        <v>6.4334000000000002E-2</v>
      </c>
      <c r="AR14">
        <v>0</v>
      </c>
      <c r="AS14">
        <v>0</v>
      </c>
      <c r="AT14">
        <v>0</v>
      </c>
      <c r="AU14">
        <v>0.199017</v>
      </c>
      <c r="AV14">
        <v>0.21729999999999999</v>
      </c>
      <c r="AW14">
        <v>0.24</v>
      </c>
      <c r="AX14">
        <v>0.22220000000000001</v>
      </c>
      <c r="AY14">
        <v>0.3075</v>
      </c>
      <c r="AZ14">
        <v>0.2949</v>
      </c>
      <c r="BA14">
        <v>0.1119</v>
      </c>
      <c r="BB14">
        <v>0.154</v>
      </c>
      <c r="BC14">
        <v>0.18590000000000001</v>
      </c>
      <c r="BD14">
        <v>0.47899999999999998</v>
      </c>
      <c r="BE14">
        <v>0.42059999999999997</v>
      </c>
      <c r="BF14">
        <v>0.1981</v>
      </c>
      <c r="BG14">
        <v>0.16200000000000001</v>
      </c>
      <c r="BH14">
        <v>0.23250000000000001</v>
      </c>
      <c r="BI14">
        <v>0.1802</v>
      </c>
      <c r="BJ14">
        <v>0.15759999999999999</v>
      </c>
      <c r="BK14">
        <v>0.17580000000000001</v>
      </c>
      <c r="BL14">
        <v>0.1996</v>
      </c>
      <c r="BM14">
        <v>0.2306</v>
      </c>
      <c r="BN14">
        <v>0.1148</v>
      </c>
      <c r="BO14">
        <v>0.29749999999999999</v>
      </c>
      <c r="BP14">
        <v>8.6900000000000005E-2</v>
      </c>
      <c r="BQ14">
        <v>6.5299999999999997E-2</v>
      </c>
      <c r="BR14">
        <v>0.17169999999999999</v>
      </c>
      <c r="BS14">
        <v>0.18110000000000001</v>
      </c>
      <c r="BT14">
        <v>0.11</v>
      </c>
      <c r="BU14">
        <v>0.154</v>
      </c>
      <c r="BV14">
        <v>0.17810000000000001</v>
      </c>
      <c r="BW14">
        <v>0.1085</v>
      </c>
      <c r="BX14">
        <v>0.12839999999999999</v>
      </c>
      <c r="BY14">
        <v>0.1108</v>
      </c>
      <c r="BZ14">
        <v>0.29530000000000001</v>
      </c>
      <c r="CA14">
        <v>0.28749999999999998</v>
      </c>
      <c r="CB14">
        <v>0.26841799999999999</v>
      </c>
      <c r="CC14">
        <v>0.22506300000000001</v>
      </c>
      <c r="CD14">
        <v>0.233519</v>
      </c>
      <c r="CE14">
        <v>0.24712200000000001</v>
      </c>
      <c r="CF14">
        <v>0.22101799999999999</v>
      </c>
      <c r="CG14">
        <v>0</v>
      </c>
      <c r="CH14">
        <v>0.16980000000000001</v>
      </c>
      <c r="CI14">
        <v>0.34660000000000002</v>
      </c>
      <c r="CJ14">
        <v>0.34670000000000001</v>
      </c>
      <c r="CK14">
        <v>0.2064</v>
      </c>
      <c r="CL14">
        <v>0.2084</v>
      </c>
      <c r="CM14">
        <v>0.18179999999999999</v>
      </c>
      <c r="CN14">
        <v>0.15179999999999999</v>
      </c>
      <c r="CO14">
        <v>0.2094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</row>
    <row r="15" spans="1:101" ht="38.25" thickBot="1">
      <c r="A15" s="7" t="s">
        <v>11</v>
      </c>
      <c r="B15" s="10" t="s">
        <v>12</v>
      </c>
      <c r="C15" s="9"/>
      <c r="D15" s="16" t="s">
        <v>11</v>
      </c>
      <c r="E15" t="s">
        <v>128</v>
      </c>
      <c r="F15">
        <v>0.66590000000000005</v>
      </c>
      <c r="G15">
        <v>0.31440000000000001</v>
      </c>
      <c r="H15">
        <v>0.2742</v>
      </c>
      <c r="I15">
        <v>0.32</v>
      </c>
      <c r="J15">
        <v>0.51380000000000003</v>
      </c>
      <c r="K15">
        <v>0.37969999999999998</v>
      </c>
      <c r="L15">
        <v>0.73180000000000001</v>
      </c>
      <c r="M15">
        <v>0.32600000000000001</v>
      </c>
      <c r="N15">
        <v>0.32819999999999999</v>
      </c>
      <c r="O15">
        <v>0.30199999999999999</v>
      </c>
      <c r="P15">
        <v>0.34599999999999997</v>
      </c>
      <c r="Q15">
        <v>0.72009999999999996</v>
      </c>
      <c r="R15">
        <v>0.37209999999999999</v>
      </c>
      <c r="S15">
        <v>0.74839999999999995</v>
      </c>
      <c r="T15">
        <v>0.33360000000000001</v>
      </c>
      <c r="U15">
        <v>0.43209999999999998</v>
      </c>
      <c r="V15">
        <v>0.40699999999999997</v>
      </c>
      <c r="W15">
        <v>0.4476</v>
      </c>
      <c r="X15">
        <v>0.28248000000000001</v>
      </c>
      <c r="Y15">
        <v>0.30528</v>
      </c>
      <c r="Z15">
        <v>0.31319999999999998</v>
      </c>
      <c r="AA15">
        <v>0.30180000000000001</v>
      </c>
      <c r="AB15">
        <v>0.32190000000000002</v>
      </c>
      <c r="AC15">
        <v>0.34308</v>
      </c>
      <c r="AD15">
        <v>0.33167999999999997</v>
      </c>
      <c r="AE15">
        <v>0.34164</v>
      </c>
      <c r="AF15">
        <v>0.30443999999999999</v>
      </c>
      <c r="AG15">
        <v>0.4083</v>
      </c>
      <c r="AH15">
        <v>0.28949999999999998</v>
      </c>
      <c r="AI15">
        <v>0.35639999999999999</v>
      </c>
      <c r="AJ15">
        <v>0.69340000000000002</v>
      </c>
      <c r="AK15">
        <v>0.61060000000000003</v>
      </c>
      <c r="AL15">
        <v>0.6542</v>
      </c>
      <c r="AM15">
        <v>0.62839999999999996</v>
      </c>
      <c r="AN15">
        <v>0.77380000000000004</v>
      </c>
      <c r="AO15">
        <v>0.45648</v>
      </c>
      <c r="AP15">
        <v>0.59916000000000003</v>
      </c>
      <c r="AQ15">
        <v>0.53232000000000002</v>
      </c>
      <c r="AR15">
        <v>0.31716</v>
      </c>
      <c r="AS15">
        <v>0.21709999999999999</v>
      </c>
      <c r="AT15">
        <v>0.45288</v>
      </c>
      <c r="AU15">
        <v>0.39935999999999999</v>
      </c>
      <c r="AV15">
        <v>1.37E-2</v>
      </c>
      <c r="AW15">
        <v>0</v>
      </c>
      <c r="AX15">
        <v>0</v>
      </c>
      <c r="AY15">
        <v>0.4506</v>
      </c>
      <c r="AZ15">
        <v>0.32869999999999999</v>
      </c>
      <c r="BA15">
        <v>0.84519999999999995</v>
      </c>
      <c r="BB15">
        <v>0.36280000000000001</v>
      </c>
      <c r="BC15">
        <v>0.40429999999999999</v>
      </c>
      <c r="BD15">
        <v>0.26319999999999999</v>
      </c>
      <c r="BE15">
        <v>0.3826</v>
      </c>
      <c r="BF15">
        <v>0.31759999999999999</v>
      </c>
      <c r="BG15">
        <v>0.39379999999999998</v>
      </c>
      <c r="BH15">
        <v>0.31140000000000001</v>
      </c>
      <c r="BI15">
        <v>0.35320000000000001</v>
      </c>
      <c r="BJ15">
        <v>0.50900000000000001</v>
      </c>
      <c r="BK15">
        <v>0.35149999999999998</v>
      </c>
      <c r="BL15">
        <v>0.36130000000000001</v>
      </c>
      <c r="BM15">
        <v>0.4138</v>
      </c>
      <c r="BN15">
        <v>0.44900000000000001</v>
      </c>
      <c r="BO15">
        <v>0.29770000000000002</v>
      </c>
      <c r="BP15">
        <v>0.32319999999999999</v>
      </c>
      <c r="BQ15">
        <v>0.48</v>
      </c>
      <c r="BR15">
        <v>0.29270000000000002</v>
      </c>
      <c r="BS15">
        <v>0.3654</v>
      </c>
      <c r="BT15">
        <v>0.67689999999999995</v>
      </c>
      <c r="BU15">
        <v>0.36859999999999998</v>
      </c>
      <c r="BV15">
        <v>0.35439999999999999</v>
      </c>
      <c r="BW15">
        <v>0.30790000000000001</v>
      </c>
      <c r="BX15">
        <v>0.31859999999999999</v>
      </c>
      <c r="BY15">
        <v>0.82850000000000001</v>
      </c>
      <c r="BZ15">
        <v>0.31609999999999999</v>
      </c>
      <c r="CA15">
        <v>0.35399999999999998</v>
      </c>
      <c r="CB15">
        <v>0.36527999999999999</v>
      </c>
      <c r="CC15">
        <v>0.34560000000000002</v>
      </c>
      <c r="CD15">
        <v>0.28272000000000003</v>
      </c>
      <c r="CE15">
        <v>0.57467999999999997</v>
      </c>
      <c r="CF15">
        <v>0.52380000000000004</v>
      </c>
      <c r="CG15">
        <v>0.50470000000000004</v>
      </c>
      <c r="CH15">
        <v>0.38100000000000001</v>
      </c>
      <c r="CI15">
        <v>0.49759999999999999</v>
      </c>
      <c r="CJ15">
        <v>0.49609999999999999</v>
      </c>
      <c r="CK15">
        <v>0.50629999999999997</v>
      </c>
      <c r="CL15">
        <v>0.39760000000000001</v>
      </c>
      <c r="CM15">
        <v>0.3175</v>
      </c>
      <c r="CN15">
        <v>0.38819999999999999</v>
      </c>
      <c r="CO15">
        <v>0.34429999999999999</v>
      </c>
      <c r="CP15">
        <v>0.38369999999999999</v>
      </c>
      <c r="CQ15">
        <v>0.29920000000000002</v>
      </c>
      <c r="CR15">
        <v>0.48920000000000002</v>
      </c>
      <c r="CS15">
        <v>0.50209999999999999</v>
      </c>
      <c r="CT15">
        <v>0.60040000000000004</v>
      </c>
      <c r="CU15">
        <v>0.34860000000000002</v>
      </c>
      <c r="CV15">
        <v>0.52400000000000002</v>
      </c>
    </row>
    <row r="16" spans="1:101" ht="19.5" thickBot="1">
      <c r="A16" s="7" t="s">
        <v>13</v>
      </c>
      <c r="B16" s="8" t="s">
        <v>14</v>
      </c>
      <c r="C16" s="9"/>
      <c r="D16" s="16" t="s">
        <v>13</v>
      </c>
      <c r="E16" t="s">
        <v>129</v>
      </c>
      <c r="F16">
        <v>1.01E-2</v>
      </c>
      <c r="G16">
        <v>9.2999999999999992E-3</v>
      </c>
      <c r="H16">
        <v>7.4999999999999997E-3</v>
      </c>
      <c r="I16">
        <v>1.61E-2</v>
      </c>
      <c r="J16">
        <v>1.0200000000000001E-2</v>
      </c>
      <c r="K16">
        <v>1.5900000000000001E-2</v>
      </c>
      <c r="L16">
        <v>1.7600000000000001E-2</v>
      </c>
      <c r="M16">
        <v>1.4999999999999999E-2</v>
      </c>
      <c r="N16">
        <v>1.9E-2</v>
      </c>
      <c r="O16">
        <v>1.7899999999999999E-2</v>
      </c>
      <c r="P16">
        <v>1.3899999999999999E-2</v>
      </c>
      <c r="Q16">
        <v>1.17E-2</v>
      </c>
      <c r="R16">
        <v>1.4800000000000001E-2</v>
      </c>
      <c r="S16">
        <v>1.7899999999999999E-2</v>
      </c>
      <c r="T16">
        <v>1.6199999999999999E-2</v>
      </c>
      <c r="U16">
        <v>2.5100000000000001E-2</v>
      </c>
      <c r="V16">
        <v>1.7299999999999999E-2</v>
      </c>
      <c r="W16">
        <v>9.5999999999999992E-3</v>
      </c>
      <c r="X16">
        <v>1.2652999999999999E-2</v>
      </c>
      <c r="Y16">
        <v>1.2496E-2</v>
      </c>
      <c r="Z16">
        <v>1.3259999999999999E-2</v>
      </c>
      <c r="AA16">
        <v>1.2522E-2</v>
      </c>
      <c r="AB16">
        <v>1.3779E-2</v>
      </c>
      <c r="AC16">
        <v>1.5394E-2</v>
      </c>
      <c r="AD16">
        <v>1.3011999999999999E-2</v>
      </c>
      <c r="AE16">
        <v>1.2371999999999999E-2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1.4E-3</v>
      </c>
      <c r="AL16">
        <v>8.0000000000000004E-4</v>
      </c>
      <c r="AM16">
        <v>1.1900000000000001E-2</v>
      </c>
      <c r="AN16">
        <v>7.0000000000000001E-3</v>
      </c>
      <c r="AO16">
        <v>0</v>
      </c>
      <c r="AP16">
        <v>3.5839999999999999E-3</v>
      </c>
      <c r="AQ16">
        <v>1.9823E-2</v>
      </c>
      <c r="AR16">
        <v>0</v>
      </c>
      <c r="AS16">
        <v>0</v>
      </c>
      <c r="AT16">
        <v>0</v>
      </c>
      <c r="AU16">
        <v>7.9830000000000005E-3</v>
      </c>
      <c r="AV16">
        <v>5.7999999999999996E-3</v>
      </c>
      <c r="AW16">
        <v>5.7999999999999996E-3</v>
      </c>
      <c r="AX16">
        <v>5.3E-3</v>
      </c>
      <c r="AY16">
        <v>9.7999999999999997E-3</v>
      </c>
      <c r="AZ16">
        <v>1.6299999999999999E-2</v>
      </c>
      <c r="BA16">
        <v>1E-4</v>
      </c>
      <c r="BB16">
        <v>7.4999999999999997E-3</v>
      </c>
      <c r="BC16">
        <v>0</v>
      </c>
      <c r="BD16">
        <v>7.7000000000000002E-3</v>
      </c>
      <c r="BE16">
        <v>6.6E-3</v>
      </c>
      <c r="BF16">
        <v>1E-4</v>
      </c>
      <c r="BG16">
        <v>0</v>
      </c>
      <c r="BH16">
        <v>2.5000000000000001E-3</v>
      </c>
      <c r="BI16">
        <v>0</v>
      </c>
      <c r="BJ16">
        <v>1.1900000000000001E-2</v>
      </c>
      <c r="BK16">
        <v>0</v>
      </c>
      <c r="BL16">
        <v>1.29E-2</v>
      </c>
      <c r="BM16">
        <v>9.1999999999999998E-3</v>
      </c>
      <c r="BN16">
        <v>1.66E-2</v>
      </c>
      <c r="BO16">
        <v>1.5299999999999999E-2</v>
      </c>
      <c r="BP16">
        <v>7.7000000000000002E-3</v>
      </c>
      <c r="BQ16">
        <v>0</v>
      </c>
      <c r="BR16">
        <v>0</v>
      </c>
      <c r="BS16">
        <v>0</v>
      </c>
      <c r="BT16">
        <v>1E-4</v>
      </c>
      <c r="BU16">
        <v>3.5999999999999999E-3</v>
      </c>
      <c r="BV16">
        <v>1.5100000000000001E-2</v>
      </c>
      <c r="BW16">
        <v>5.1000000000000004E-3</v>
      </c>
      <c r="BX16">
        <v>8.8000000000000005E-3</v>
      </c>
      <c r="BY16">
        <v>1E-4</v>
      </c>
      <c r="BZ16">
        <v>1.5299999999999999E-2</v>
      </c>
      <c r="CA16">
        <v>1.61E-2</v>
      </c>
      <c r="CB16">
        <v>1.1158E-2</v>
      </c>
      <c r="CC16">
        <v>1.163E-2</v>
      </c>
      <c r="CD16">
        <v>1.15E-2</v>
      </c>
      <c r="CE16">
        <v>8.4370000000000001E-3</v>
      </c>
      <c r="CF16">
        <v>8.4430000000000009E-3</v>
      </c>
      <c r="CG16">
        <v>0</v>
      </c>
      <c r="CH16">
        <v>1.6400000000000001E-2</v>
      </c>
      <c r="CI16">
        <v>1.0800000000000001E-2</v>
      </c>
      <c r="CJ16">
        <v>1.0800000000000001E-2</v>
      </c>
      <c r="CK16">
        <v>0</v>
      </c>
      <c r="CL16">
        <v>0</v>
      </c>
      <c r="CM16">
        <v>0</v>
      </c>
      <c r="CN16">
        <v>2.3199999999999998E-2</v>
      </c>
      <c r="CO16">
        <v>1.29E-2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</row>
    <row r="17" spans="1:100" ht="19.5" thickBot="1">
      <c r="A17" s="7" t="s">
        <v>15</v>
      </c>
      <c r="B17" s="10" t="s">
        <v>16</v>
      </c>
      <c r="C17" s="9"/>
      <c r="D17" s="16" t="s">
        <v>15</v>
      </c>
      <c r="E17" t="s">
        <v>130</v>
      </c>
      <c r="F17">
        <v>0</v>
      </c>
      <c r="G17">
        <v>0.44700000000000001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0.30420000000000003</v>
      </c>
      <c r="U17">
        <v>0</v>
      </c>
      <c r="V17">
        <v>0.15260000000000001</v>
      </c>
      <c r="W17">
        <v>0</v>
      </c>
      <c r="X17">
        <v>0.18156</v>
      </c>
      <c r="Y17">
        <v>0.19980000000000001</v>
      </c>
      <c r="Z17">
        <v>0.20988000000000001</v>
      </c>
      <c r="AA17">
        <v>0.23499999999999999</v>
      </c>
      <c r="AB17">
        <v>0.24540000000000001</v>
      </c>
      <c r="AC17">
        <v>0.30912000000000001</v>
      </c>
      <c r="AD17">
        <v>0.25140000000000001</v>
      </c>
      <c r="AE17">
        <v>0.23436000000000001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0.37009999999999998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0.15790000000000001</v>
      </c>
      <c r="AW17">
        <v>0.1822</v>
      </c>
      <c r="AX17">
        <v>0.17829999999999999</v>
      </c>
      <c r="AY17">
        <v>0.34100000000000003</v>
      </c>
      <c r="AZ17">
        <v>0.30230000000000001</v>
      </c>
      <c r="BA17">
        <v>0</v>
      </c>
      <c r="BB17">
        <v>0</v>
      </c>
      <c r="BC17">
        <v>0</v>
      </c>
      <c r="BD17">
        <v>0.23680000000000001</v>
      </c>
      <c r="BE17">
        <v>0.2918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0.18010000000000001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0.307</v>
      </c>
      <c r="CA17">
        <v>0.25419999999999998</v>
      </c>
      <c r="CB17">
        <v>0.2283</v>
      </c>
      <c r="CC17">
        <v>0.20111999999999999</v>
      </c>
      <c r="CD17">
        <v>0.20291999999999999</v>
      </c>
      <c r="CE17">
        <v>0.20111999999999999</v>
      </c>
      <c r="CF17">
        <v>0.20376</v>
      </c>
      <c r="CG17">
        <v>0</v>
      </c>
      <c r="CH17">
        <v>0</v>
      </c>
      <c r="CI17">
        <v>0.44619999999999999</v>
      </c>
      <c r="CJ17">
        <v>0.44690000000000002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</row>
    <row r="18" spans="1:100" ht="19.5" thickBot="1">
      <c r="A18" s="7" t="s">
        <v>17</v>
      </c>
      <c r="B18" s="10" t="s">
        <v>18</v>
      </c>
      <c r="C18" s="9"/>
      <c r="D18" s="16" t="s">
        <v>17</v>
      </c>
      <c r="E18" t="s">
        <v>131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2.3599999999999999E-2</v>
      </c>
      <c r="AW18">
        <v>2.7199999999999998E-2</v>
      </c>
      <c r="AX18">
        <v>2.3800000000000002E-2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2.64E-2</v>
      </c>
      <c r="CE18">
        <v>2.4686E-2</v>
      </c>
      <c r="CF18">
        <v>2.4884E-2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</row>
    <row r="19" spans="1:100" ht="18.75">
      <c r="A19" s="176" t="s">
        <v>19</v>
      </c>
      <c r="B19" s="11" t="s">
        <v>20</v>
      </c>
      <c r="C19" s="176"/>
      <c r="D19" s="16" t="s">
        <v>19</v>
      </c>
      <c r="E19" t="s">
        <v>132</v>
      </c>
      <c r="F19">
        <v>0.39689999999999998</v>
      </c>
      <c r="G19">
        <v>0.34549999999999997</v>
      </c>
      <c r="H19">
        <v>0.36930000000000002</v>
      </c>
      <c r="I19">
        <v>0.37580000000000002</v>
      </c>
      <c r="J19">
        <v>0.4047</v>
      </c>
      <c r="K19">
        <v>0.37680000000000002</v>
      </c>
      <c r="L19">
        <v>0.25609999999999999</v>
      </c>
      <c r="M19">
        <v>0.37730000000000002</v>
      </c>
      <c r="N19">
        <v>0.37709999999999999</v>
      </c>
      <c r="O19">
        <v>0.36809999999999998</v>
      </c>
      <c r="P19">
        <v>0.3619</v>
      </c>
      <c r="Q19">
        <v>0.4103</v>
      </c>
      <c r="R19">
        <v>0.36499999999999999</v>
      </c>
      <c r="S19">
        <v>0.2397</v>
      </c>
      <c r="T19">
        <v>0.3473</v>
      </c>
      <c r="U19">
        <v>0.3861</v>
      </c>
      <c r="V19">
        <v>0.37230000000000002</v>
      </c>
      <c r="W19">
        <v>0.44109999999999999</v>
      </c>
      <c r="X19">
        <v>0.35774400000000001</v>
      </c>
      <c r="Y19">
        <v>0.32714100000000002</v>
      </c>
      <c r="Z19">
        <v>0.33832000000000001</v>
      </c>
      <c r="AA19">
        <v>0.35375099999999998</v>
      </c>
      <c r="AB19">
        <v>0.360925</v>
      </c>
      <c r="AC19">
        <v>0.3866</v>
      </c>
      <c r="AD19">
        <v>0.373228</v>
      </c>
      <c r="AE19">
        <v>0.37556499999999998</v>
      </c>
      <c r="AF19">
        <v>0.291153</v>
      </c>
      <c r="AG19">
        <v>1.059E-3</v>
      </c>
      <c r="AH19">
        <v>2.5230000000000001E-3</v>
      </c>
      <c r="AI19">
        <v>1.206E-3</v>
      </c>
      <c r="AJ19">
        <v>0.30709999999999998</v>
      </c>
      <c r="AK19">
        <v>0.30199999999999999</v>
      </c>
      <c r="AL19">
        <v>0.31019999999999998</v>
      </c>
      <c r="AM19">
        <v>0.1696</v>
      </c>
      <c r="AN19">
        <v>0.29699999999999999</v>
      </c>
      <c r="AO19">
        <v>1.8E-3</v>
      </c>
      <c r="AP19">
        <v>0.299923</v>
      </c>
      <c r="AQ19">
        <v>0.39760000000000001</v>
      </c>
      <c r="AR19">
        <v>0.34233799999999998</v>
      </c>
      <c r="AS19">
        <v>9.3200000000000005E-2</v>
      </c>
      <c r="AT19">
        <v>1.206E-3</v>
      </c>
      <c r="AU19">
        <v>0.27713399999999999</v>
      </c>
      <c r="AV19">
        <v>0.25640000000000002</v>
      </c>
      <c r="AW19">
        <v>0.27500000000000002</v>
      </c>
      <c r="AX19">
        <v>0.23449999999999999</v>
      </c>
      <c r="AY19">
        <v>0.34439999999999998</v>
      </c>
      <c r="AZ19">
        <v>0.34739999999999999</v>
      </c>
      <c r="BA19">
        <v>0.29339999999999999</v>
      </c>
      <c r="BB19">
        <v>0.37440000000000001</v>
      </c>
      <c r="BC19">
        <v>0.27500000000000002</v>
      </c>
      <c r="BD19">
        <v>0.31259999999999999</v>
      </c>
      <c r="BE19">
        <v>0.24490000000000001</v>
      </c>
      <c r="BF19">
        <v>0.35170000000000001</v>
      </c>
      <c r="BG19">
        <v>0.40939999999999999</v>
      </c>
      <c r="BH19">
        <v>0.35339999999999999</v>
      </c>
      <c r="BI19">
        <v>0.34300000000000003</v>
      </c>
      <c r="BJ19">
        <v>0.30249999999999999</v>
      </c>
      <c r="BK19">
        <v>0.36449999999999999</v>
      </c>
      <c r="BL19">
        <v>0.37859999999999999</v>
      </c>
      <c r="BM19">
        <v>0.32919999999999999</v>
      </c>
      <c r="BN19">
        <v>0.37830000000000003</v>
      </c>
      <c r="BO19">
        <v>0.32840000000000003</v>
      </c>
      <c r="BP19">
        <v>0.38969999999999999</v>
      </c>
      <c r="BQ19">
        <v>0.35439999999999999</v>
      </c>
      <c r="BR19">
        <v>0.35210000000000002</v>
      </c>
      <c r="BS19">
        <v>0.35820000000000002</v>
      </c>
      <c r="BT19">
        <v>0.28299999999999997</v>
      </c>
      <c r="BU19">
        <v>0.37409999999999999</v>
      </c>
      <c r="BV19">
        <v>0.37259999999999999</v>
      </c>
      <c r="BW19">
        <v>0.3543</v>
      </c>
      <c r="BX19">
        <v>0.43559999999999999</v>
      </c>
      <c r="BY19">
        <v>0.29339999999999999</v>
      </c>
      <c r="BZ19">
        <v>0.37780000000000002</v>
      </c>
      <c r="CA19">
        <v>0.33489999999999998</v>
      </c>
      <c r="CB19">
        <v>0.347605</v>
      </c>
      <c r="CC19">
        <v>0.39548499999999998</v>
      </c>
      <c r="CD19">
        <v>0.392488</v>
      </c>
      <c r="CE19">
        <v>0.36582999999999999</v>
      </c>
      <c r="CF19">
        <v>0.39202999999999999</v>
      </c>
      <c r="CG19">
        <v>9.3200000000000005E-2</v>
      </c>
      <c r="CH19">
        <v>0.37880000000000003</v>
      </c>
      <c r="CI19">
        <v>0.26250000000000001</v>
      </c>
      <c r="CJ19">
        <v>0.25929999999999997</v>
      </c>
      <c r="CK19">
        <v>0.51380000000000003</v>
      </c>
      <c r="CL19">
        <v>0.52190000000000003</v>
      </c>
      <c r="CM19">
        <v>0.21870000000000001</v>
      </c>
      <c r="CN19">
        <v>0.35520000000000002</v>
      </c>
      <c r="CO19">
        <v>0.1918</v>
      </c>
      <c r="CP19">
        <v>8.3299999999999997E-4</v>
      </c>
      <c r="CQ19">
        <v>9.3200000000000005E-2</v>
      </c>
      <c r="CR19">
        <v>9.3200000000000005E-2</v>
      </c>
      <c r="CS19">
        <v>9.3200000000000005E-2</v>
      </c>
      <c r="CT19">
        <v>9.3200000000000005E-2</v>
      </c>
      <c r="CU19">
        <v>9.3200000000000005E-2</v>
      </c>
      <c r="CV19">
        <v>0.1055</v>
      </c>
    </row>
    <row r="20" spans="1:100" ht="18.75">
      <c r="A20" s="177"/>
      <c r="B20" s="12" t="s">
        <v>21</v>
      </c>
      <c r="C20" s="177"/>
      <c r="D20" s="16"/>
    </row>
    <row r="21" spans="1:100" ht="18.75">
      <c r="A21" s="177"/>
      <c r="B21" s="12" t="s">
        <v>22</v>
      </c>
      <c r="C21" s="177"/>
      <c r="D21" s="16"/>
    </row>
    <row r="22" spans="1:100" ht="18.75">
      <c r="A22" s="177"/>
      <c r="B22" s="12" t="s">
        <v>23</v>
      </c>
      <c r="C22" s="177"/>
      <c r="D22" s="16"/>
    </row>
    <row r="23" spans="1:100" ht="18.75">
      <c r="A23" s="177"/>
      <c r="B23" s="12" t="s">
        <v>24</v>
      </c>
      <c r="C23" s="177"/>
      <c r="D23" s="16"/>
    </row>
    <row r="24" spans="1:100" ht="18.75">
      <c r="A24" s="177"/>
      <c r="B24" s="12" t="s">
        <v>25</v>
      </c>
      <c r="C24" s="177"/>
      <c r="D24" s="16"/>
    </row>
    <row r="25" spans="1:100" ht="19.5" thickBot="1">
      <c r="A25" s="178"/>
      <c r="B25" s="10" t="s">
        <v>26</v>
      </c>
      <c r="C25" s="178"/>
      <c r="D25" s="16"/>
    </row>
    <row r="26" spans="1:100" ht="19.5" thickBot="1">
      <c r="A26" s="7" t="s">
        <v>27</v>
      </c>
      <c r="B26" s="10" t="s">
        <v>28</v>
      </c>
      <c r="C26" s="9"/>
      <c r="D26" s="16" t="s">
        <v>27</v>
      </c>
      <c r="E26" t="s">
        <v>133</v>
      </c>
      <c r="F26">
        <v>3.8300000000000001E-2</v>
      </c>
      <c r="G26">
        <v>1.9699999999999999E-2</v>
      </c>
      <c r="H26">
        <v>2.7099999999999999E-2</v>
      </c>
      <c r="I26">
        <v>2.8299999999999999E-2</v>
      </c>
      <c r="J26">
        <v>3.2399999999999998E-2</v>
      </c>
      <c r="K26">
        <v>2.46E-2</v>
      </c>
      <c r="L26">
        <v>3.3399999999999999E-2</v>
      </c>
      <c r="M26">
        <v>2.98E-2</v>
      </c>
      <c r="N26">
        <v>2.8400000000000002E-2</v>
      </c>
      <c r="O26">
        <v>2.8799999999999999E-2</v>
      </c>
      <c r="P26">
        <v>3.9100000000000003E-2</v>
      </c>
      <c r="Q26">
        <v>4.1000000000000002E-2</v>
      </c>
      <c r="R26">
        <v>2.8400000000000002E-2</v>
      </c>
      <c r="S26">
        <v>4.19E-2</v>
      </c>
      <c r="T26">
        <v>2.3E-2</v>
      </c>
      <c r="U26">
        <v>4.0300000000000002E-2</v>
      </c>
      <c r="V26">
        <v>2.3E-2</v>
      </c>
      <c r="W26">
        <v>3.1199999999999999E-2</v>
      </c>
      <c r="X26">
        <v>2.58E-2</v>
      </c>
      <c r="Y26">
        <v>2.9399999999999999E-2</v>
      </c>
      <c r="Z26">
        <v>2.9760000000000002E-2</v>
      </c>
      <c r="AA26">
        <v>3.0599999999999999E-2</v>
      </c>
      <c r="AB26">
        <v>2.9159999999999998E-2</v>
      </c>
      <c r="AC26">
        <v>2.964E-2</v>
      </c>
      <c r="AD26">
        <v>2.5319999999999999E-2</v>
      </c>
      <c r="AE26">
        <v>2.9399999999999999E-2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6.1999999999999998E-3</v>
      </c>
      <c r="AL26">
        <v>3.7000000000000002E-3</v>
      </c>
      <c r="AM26">
        <v>1.66E-2</v>
      </c>
      <c r="AN26">
        <v>2.7199999999999998E-2</v>
      </c>
      <c r="AO26">
        <v>0</v>
      </c>
      <c r="AP26">
        <v>0</v>
      </c>
      <c r="AQ26">
        <v>4.4760000000000001E-2</v>
      </c>
      <c r="AR26">
        <v>0</v>
      </c>
      <c r="AS26">
        <v>0</v>
      </c>
      <c r="AT26">
        <v>0</v>
      </c>
      <c r="AU26">
        <v>5.808E-2</v>
      </c>
      <c r="AV26">
        <v>7.0000000000000001E-3</v>
      </c>
      <c r="AW26">
        <v>6.4999999999999997E-3</v>
      </c>
      <c r="AX26">
        <v>4.7000000000000002E-3</v>
      </c>
      <c r="AY26">
        <v>1.8200000000000001E-2</v>
      </c>
      <c r="AZ26">
        <v>1.9E-2</v>
      </c>
      <c r="BA26">
        <v>2.0000000000000001E-4</v>
      </c>
      <c r="BB26">
        <v>3.3099999999999997E-2</v>
      </c>
      <c r="BC26">
        <v>0</v>
      </c>
      <c r="BD26">
        <v>1.7500000000000002E-2</v>
      </c>
      <c r="BE26">
        <v>1.3899999999999999E-2</v>
      </c>
      <c r="BF26">
        <v>5.0000000000000001E-4</v>
      </c>
      <c r="BG26">
        <v>0</v>
      </c>
      <c r="BH26">
        <v>1.09E-2</v>
      </c>
      <c r="BI26">
        <v>0</v>
      </c>
      <c r="BJ26">
        <v>4.1500000000000002E-2</v>
      </c>
      <c r="BK26">
        <v>0</v>
      </c>
      <c r="BL26">
        <v>2.2599999999999999E-2</v>
      </c>
      <c r="BM26">
        <v>4.0300000000000002E-2</v>
      </c>
      <c r="BN26">
        <v>2.86E-2</v>
      </c>
      <c r="BO26">
        <v>2.0400000000000001E-2</v>
      </c>
      <c r="BP26">
        <v>2.8799999999999999E-2</v>
      </c>
      <c r="BQ26">
        <v>0</v>
      </c>
      <c r="BR26">
        <v>0</v>
      </c>
      <c r="BS26">
        <v>0</v>
      </c>
      <c r="BT26">
        <v>2.0000000000000001E-4</v>
      </c>
      <c r="BU26">
        <v>1.5599999999999999E-2</v>
      </c>
      <c r="BV26">
        <v>2.8000000000000001E-2</v>
      </c>
      <c r="BW26">
        <v>1.9699999999999999E-2</v>
      </c>
      <c r="BX26">
        <v>3.3599999999999998E-2</v>
      </c>
      <c r="BY26">
        <v>2.0000000000000001E-4</v>
      </c>
      <c r="BZ26">
        <v>1.9400000000000001E-2</v>
      </c>
      <c r="CA26">
        <v>2.12E-2</v>
      </c>
      <c r="CB26">
        <v>2.0199999999999999E-2</v>
      </c>
      <c r="CC26">
        <v>2.232E-2</v>
      </c>
      <c r="CD26">
        <v>2.6040000000000001E-2</v>
      </c>
      <c r="CE26">
        <v>2.4479999999999998E-2</v>
      </c>
      <c r="CF26">
        <v>2.46E-2</v>
      </c>
      <c r="CG26">
        <v>0</v>
      </c>
      <c r="CH26">
        <v>1.9E-2</v>
      </c>
      <c r="CI26">
        <v>1.7899999999999999E-2</v>
      </c>
      <c r="CJ26">
        <v>1.7899999999999999E-2</v>
      </c>
      <c r="CK26">
        <v>0</v>
      </c>
      <c r="CL26">
        <v>0</v>
      </c>
      <c r="CM26">
        <v>0</v>
      </c>
      <c r="CN26">
        <v>0</v>
      </c>
      <c r="CO26">
        <v>4.6899999999999997E-2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</row>
    <row r="27" spans="1:100" ht="19.5" thickBot="1">
      <c r="A27" s="7" t="s">
        <v>29</v>
      </c>
      <c r="B27" s="10" t="s">
        <v>30</v>
      </c>
      <c r="C27" s="9"/>
      <c r="D27" s="16" t="s">
        <v>29</v>
      </c>
      <c r="E27" t="s">
        <v>134</v>
      </c>
      <c r="F27">
        <v>2.3E-3</v>
      </c>
      <c r="G27">
        <v>1.1999999999999999E-3</v>
      </c>
      <c r="H27">
        <v>1.6000000000000001E-3</v>
      </c>
      <c r="I27">
        <v>1.6999999999999999E-3</v>
      </c>
      <c r="J27">
        <v>1.9E-3</v>
      </c>
      <c r="K27">
        <v>1.4E-3</v>
      </c>
      <c r="L27">
        <v>1.9E-3</v>
      </c>
      <c r="M27">
        <v>1.8E-3</v>
      </c>
      <c r="N27">
        <v>1.6999999999999999E-3</v>
      </c>
      <c r="O27">
        <v>1.6999999999999999E-3</v>
      </c>
      <c r="P27">
        <v>2.3E-3</v>
      </c>
      <c r="Q27">
        <v>2.3999999999999998E-3</v>
      </c>
      <c r="R27">
        <v>1.6999999999999999E-3</v>
      </c>
      <c r="S27">
        <v>2.3999999999999998E-3</v>
      </c>
      <c r="T27">
        <v>1.2999999999999999E-3</v>
      </c>
      <c r="U27">
        <v>2.3999999999999998E-3</v>
      </c>
      <c r="V27">
        <v>1.2999999999999999E-3</v>
      </c>
      <c r="W27">
        <v>1.8E-3</v>
      </c>
      <c r="X27">
        <v>1.32E-3</v>
      </c>
      <c r="Y27">
        <v>1.4400000000000001E-3</v>
      </c>
      <c r="Z27">
        <v>1.4400000000000001E-3</v>
      </c>
      <c r="AA27">
        <v>1.56E-3</v>
      </c>
      <c r="AB27">
        <v>1.4400000000000001E-3</v>
      </c>
      <c r="AC27">
        <v>1.4400000000000001E-3</v>
      </c>
      <c r="AD27">
        <v>1.1999999999999999E-3</v>
      </c>
      <c r="AE27">
        <v>1.4400000000000001E-3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4.0000000000000002E-4</v>
      </c>
      <c r="AL27">
        <v>2.0000000000000001E-4</v>
      </c>
      <c r="AM27">
        <v>1E-3</v>
      </c>
      <c r="AN27">
        <v>1.6000000000000001E-3</v>
      </c>
      <c r="AO27">
        <v>0</v>
      </c>
      <c r="AP27">
        <v>0</v>
      </c>
      <c r="AQ27">
        <v>2.2799999999999999E-3</v>
      </c>
      <c r="AR27">
        <v>0</v>
      </c>
      <c r="AS27">
        <v>0</v>
      </c>
      <c r="AT27">
        <v>0</v>
      </c>
      <c r="AU27">
        <v>3.0000000000000001E-3</v>
      </c>
      <c r="AV27">
        <v>4.0000000000000002E-4</v>
      </c>
      <c r="AW27">
        <v>4.0000000000000002E-4</v>
      </c>
      <c r="AX27">
        <v>2.0000000000000001E-4</v>
      </c>
      <c r="AY27">
        <v>1.1000000000000001E-3</v>
      </c>
      <c r="AZ27">
        <v>1.1000000000000001E-3</v>
      </c>
      <c r="BA27">
        <v>0</v>
      </c>
      <c r="BB27">
        <v>1.9E-3</v>
      </c>
      <c r="BC27">
        <v>0</v>
      </c>
      <c r="BD27">
        <v>1E-3</v>
      </c>
      <c r="BE27">
        <v>8.0000000000000004E-4</v>
      </c>
      <c r="BF27">
        <v>0</v>
      </c>
      <c r="BG27">
        <v>0</v>
      </c>
      <c r="BH27">
        <v>5.9999999999999995E-4</v>
      </c>
      <c r="BI27">
        <v>0</v>
      </c>
      <c r="BJ27">
        <v>2.3999999999999998E-3</v>
      </c>
      <c r="BK27">
        <v>0</v>
      </c>
      <c r="BL27">
        <v>1.2999999999999999E-3</v>
      </c>
      <c r="BM27">
        <v>2.3999999999999998E-3</v>
      </c>
      <c r="BN27">
        <v>1.6999999999999999E-3</v>
      </c>
      <c r="BO27">
        <v>1.1999999999999999E-3</v>
      </c>
      <c r="BP27">
        <v>1.6999999999999999E-3</v>
      </c>
      <c r="BQ27">
        <v>0</v>
      </c>
      <c r="BR27">
        <v>0</v>
      </c>
      <c r="BS27">
        <v>0</v>
      </c>
      <c r="BT27">
        <v>0</v>
      </c>
      <c r="BU27">
        <v>1E-3</v>
      </c>
      <c r="BV27">
        <v>1.6999999999999999E-3</v>
      </c>
      <c r="BW27">
        <v>1.1999999999999999E-3</v>
      </c>
      <c r="BX27">
        <v>1.9E-3</v>
      </c>
      <c r="BY27">
        <v>0</v>
      </c>
      <c r="BZ27">
        <v>1.1000000000000001E-3</v>
      </c>
      <c r="CA27">
        <v>1.1999999999999999E-3</v>
      </c>
      <c r="CB27">
        <v>9.6000000000000002E-4</v>
      </c>
      <c r="CC27">
        <v>1.08E-3</v>
      </c>
      <c r="CD27">
        <v>1.32E-3</v>
      </c>
      <c r="CE27">
        <v>1.1999999999999999E-3</v>
      </c>
      <c r="CF27">
        <v>1.1999999999999999E-3</v>
      </c>
      <c r="CG27">
        <v>0</v>
      </c>
      <c r="CH27">
        <v>1.1000000000000001E-3</v>
      </c>
      <c r="CI27">
        <v>1.1000000000000001E-3</v>
      </c>
      <c r="CJ27">
        <v>1.1000000000000001E-3</v>
      </c>
      <c r="CK27">
        <v>0</v>
      </c>
      <c r="CL27">
        <v>0</v>
      </c>
      <c r="CM27">
        <v>0</v>
      </c>
      <c r="CN27">
        <v>0</v>
      </c>
      <c r="CO27">
        <v>2.8E-3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</row>
    <row r="28" spans="1:100" ht="38.25" thickBot="1">
      <c r="A28" s="7" t="s">
        <v>31</v>
      </c>
      <c r="B28" s="10" t="s">
        <v>32</v>
      </c>
      <c r="C28" s="9"/>
      <c r="D28" s="16" t="s">
        <v>31</v>
      </c>
      <c r="E28" t="s">
        <v>135</v>
      </c>
      <c r="F28">
        <v>6.4799999999999996E-2</v>
      </c>
      <c r="G28">
        <v>2.9899999999999999E-2</v>
      </c>
      <c r="H28">
        <v>4.3200000000000002E-2</v>
      </c>
      <c r="I28">
        <v>2.8299999999999999E-2</v>
      </c>
      <c r="J28">
        <v>5.7599999999999998E-2</v>
      </c>
      <c r="K28">
        <v>2.64E-2</v>
      </c>
      <c r="L28">
        <v>5.9400000000000001E-2</v>
      </c>
      <c r="M28">
        <v>2.64E-2</v>
      </c>
      <c r="N28">
        <v>4.1599999999999998E-2</v>
      </c>
      <c r="O28">
        <v>3.9600000000000003E-2</v>
      </c>
      <c r="P28">
        <v>3.7900000000000003E-2</v>
      </c>
      <c r="Q28">
        <v>6.9400000000000003E-2</v>
      </c>
      <c r="R28">
        <v>3.0200000000000001E-2</v>
      </c>
      <c r="S28">
        <v>2.3800000000000002E-2</v>
      </c>
      <c r="T28">
        <v>2.8199999999999999E-2</v>
      </c>
      <c r="U28">
        <v>3.7100000000000001E-2</v>
      </c>
      <c r="V28">
        <v>3.9100000000000003E-2</v>
      </c>
      <c r="W28">
        <v>6.5199999999999994E-2</v>
      </c>
      <c r="X28">
        <v>3.2280000000000003E-2</v>
      </c>
      <c r="Y28">
        <v>2.3040000000000001E-2</v>
      </c>
      <c r="Z28">
        <v>2.496E-2</v>
      </c>
      <c r="AA28">
        <v>2.5559999999999999E-2</v>
      </c>
      <c r="AB28">
        <v>3.3239999999999999E-2</v>
      </c>
      <c r="AC28">
        <v>3.3119999999999997E-2</v>
      </c>
      <c r="AD28">
        <v>3.8039999999999997E-2</v>
      </c>
      <c r="AE28">
        <v>3.5400000000000001E-2</v>
      </c>
      <c r="AF28">
        <v>0.10308</v>
      </c>
      <c r="AG28">
        <v>8.0879999999999994E-2</v>
      </c>
      <c r="AH28">
        <v>6.9599999999999995E-2</v>
      </c>
      <c r="AI28">
        <v>8.9279999999999998E-2</v>
      </c>
      <c r="AJ28">
        <v>1.9E-2</v>
      </c>
      <c r="AK28">
        <v>2.75E-2</v>
      </c>
      <c r="AL28">
        <v>2.75E-2</v>
      </c>
      <c r="AM28">
        <v>3.1099999999999999E-2</v>
      </c>
      <c r="AN28">
        <v>1.8800000000000001E-2</v>
      </c>
      <c r="AO28">
        <v>3.6479999999999999E-2</v>
      </c>
      <c r="AP28">
        <v>1.7399999999999999E-2</v>
      </c>
      <c r="AQ28">
        <v>0.15329999999999999</v>
      </c>
      <c r="AR28">
        <v>7.2480000000000003E-2</v>
      </c>
      <c r="AS28">
        <v>6.3100000000000003E-2</v>
      </c>
      <c r="AT28">
        <v>3.0120000000000001E-2</v>
      </c>
      <c r="AU28">
        <v>4.3920000000000001E-2</v>
      </c>
      <c r="AV28">
        <v>4.6600000000000003E-2</v>
      </c>
      <c r="AW28">
        <v>4.8399999999999999E-2</v>
      </c>
      <c r="AX28">
        <v>4.4200000000000003E-2</v>
      </c>
      <c r="AY28">
        <v>2.92E-2</v>
      </c>
      <c r="AZ28">
        <v>2.8000000000000001E-2</v>
      </c>
      <c r="BA28">
        <v>3.1800000000000002E-2</v>
      </c>
      <c r="BB28">
        <v>4.4600000000000001E-2</v>
      </c>
      <c r="BC28">
        <v>4.4999999999999998E-2</v>
      </c>
      <c r="BD28">
        <v>3.2000000000000001E-2</v>
      </c>
      <c r="BE28">
        <v>3.1300000000000001E-2</v>
      </c>
      <c r="BF28">
        <v>0.26750000000000002</v>
      </c>
      <c r="BG28">
        <v>6.2E-2</v>
      </c>
      <c r="BH28">
        <v>2.5700000000000001E-2</v>
      </c>
      <c r="BI28">
        <v>0.1704</v>
      </c>
      <c r="BJ28">
        <v>6.2600000000000003E-2</v>
      </c>
      <c r="BK28">
        <v>0.1696</v>
      </c>
      <c r="BL28">
        <v>3.2899999999999999E-2</v>
      </c>
      <c r="BM28">
        <v>1.4200000000000001E-2</v>
      </c>
      <c r="BN28">
        <v>5.3999999999999999E-2</v>
      </c>
      <c r="BO28">
        <v>2.4199999999999999E-2</v>
      </c>
      <c r="BP28">
        <v>2.7400000000000001E-2</v>
      </c>
      <c r="BQ28">
        <v>7.6E-3</v>
      </c>
      <c r="BR28">
        <v>0.1726</v>
      </c>
      <c r="BS28">
        <v>0.17630000000000001</v>
      </c>
      <c r="BT28">
        <v>2.52E-2</v>
      </c>
      <c r="BU28">
        <v>4.3900000000000002E-2</v>
      </c>
      <c r="BV28">
        <v>0.1552</v>
      </c>
      <c r="BW28">
        <v>3.2800000000000003E-2</v>
      </c>
      <c r="BX28">
        <v>6.3700000000000007E-2</v>
      </c>
      <c r="BY28">
        <v>3.1600000000000003E-2</v>
      </c>
      <c r="BZ28">
        <v>2.8400000000000002E-2</v>
      </c>
      <c r="CA28">
        <v>2.8199999999999999E-2</v>
      </c>
      <c r="CB28">
        <v>3.4799999999999998E-2</v>
      </c>
      <c r="CC28">
        <v>3.3599999999999998E-2</v>
      </c>
      <c r="CD28">
        <v>5.5919999999999997E-2</v>
      </c>
      <c r="CE28">
        <v>5.5199999999999999E-2</v>
      </c>
      <c r="CF28">
        <v>5.3760000000000002E-2</v>
      </c>
      <c r="CG28">
        <v>0.22309999999999999</v>
      </c>
      <c r="CH28">
        <v>2.5700000000000001E-2</v>
      </c>
      <c r="CI28">
        <v>5.4699999999999999E-2</v>
      </c>
      <c r="CJ28">
        <v>5.4699999999999999E-2</v>
      </c>
      <c r="CK28">
        <v>8.7099999999999997E-2</v>
      </c>
      <c r="CL28">
        <v>8.7999999999999995E-2</v>
      </c>
      <c r="CM28">
        <v>5.3999999999999999E-2</v>
      </c>
      <c r="CN28">
        <v>6.4399999999999999E-2</v>
      </c>
      <c r="CO28">
        <v>5.7500000000000002E-2</v>
      </c>
      <c r="CP28">
        <v>0.12252</v>
      </c>
      <c r="CQ28">
        <v>0.24340000000000001</v>
      </c>
      <c r="CR28">
        <v>0.24709999999999999</v>
      </c>
      <c r="CS28">
        <v>0.245</v>
      </c>
      <c r="CT28">
        <v>0.2442</v>
      </c>
      <c r="CU28">
        <v>0.26329999999999998</v>
      </c>
      <c r="CV28">
        <v>2.24E-2</v>
      </c>
    </row>
    <row r="29" spans="1:100" ht="38.25" thickBot="1">
      <c r="A29" s="7" t="s">
        <v>33</v>
      </c>
      <c r="B29" s="10" t="s">
        <v>34</v>
      </c>
      <c r="C29" s="9"/>
      <c r="D29" s="16" t="s">
        <v>33</v>
      </c>
      <c r="E29" t="s">
        <v>138</v>
      </c>
      <c r="F29">
        <v>7.0099999999999996E-2</v>
      </c>
      <c r="G29">
        <v>3.4599999999999999E-2</v>
      </c>
      <c r="H29">
        <v>8.2799999999999999E-2</v>
      </c>
      <c r="I29">
        <v>9.6500000000000002E-2</v>
      </c>
      <c r="J29">
        <v>8.7400000000000005E-2</v>
      </c>
      <c r="K29">
        <v>0.1046</v>
      </c>
      <c r="L29">
        <v>9.7900000000000001E-2</v>
      </c>
      <c r="M29">
        <v>0.1048</v>
      </c>
      <c r="N29">
        <v>0.1326</v>
      </c>
      <c r="O29">
        <v>0.1384</v>
      </c>
      <c r="P29">
        <v>0.12839999999999999</v>
      </c>
      <c r="Q29">
        <v>7.1400000000000005E-2</v>
      </c>
      <c r="R29">
        <v>8.09E-2</v>
      </c>
      <c r="S29">
        <v>0.1105</v>
      </c>
      <c r="T29">
        <v>4.1500000000000002E-2</v>
      </c>
      <c r="U29">
        <v>8.3299999999999999E-2</v>
      </c>
      <c r="V29">
        <v>3.5499999999999997E-2</v>
      </c>
      <c r="W29">
        <v>8.1500000000000003E-2</v>
      </c>
      <c r="X29">
        <v>4.752E-2</v>
      </c>
      <c r="Y29">
        <v>6.3600000000000004E-2</v>
      </c>
      <c r="Z29">
        <v>8.9039999999999994E-2</v>
      </c>
      <c r="AA29">
        <v>8.4959999999999994E-2</v>
      </c>
      <c r="AB29">
        <v>0.11892</v>
      </c>
      <c r="AC29">
        <v>4.4040000000000003E-2</v>
      </c>
      <c r="AD29">
        <v>3.456E-2</v>
      </c>
      <c r="AE29">
        <v>9.4439999999999996E-2</v>
      </c>
      <c r="AF29">
        <v>0</v>
      </c>
      <c r="AG29">
        <v>0</v>
      </c>
      <c r="AH29">
        <v>0</v>
      </c>
      <c r="AI29">
        <v>0</v>
      </c>
      <c r="AJ29">
        <v>7.4999999999999997E-2</v>
      </c>
      <c r="AK29">
        <v>0.22570000000000001</v>
      </c>
      <c r="AL29">
        <v>0.1384</v>
      </c>
      <c r="AM29">
        <v>0.21679999999999999</v>
      </c>
      <c r="AN29">
        <v>0.20860000000000001</v>
      </c>
      <c r="AO29">
        <v>0</v>
      </c>
      <c r="AP29">
        <v>0.20555999999999999</v>
      </c>
      <c r="AQ29">
        <v>0.23652000000000001</v>
      </c>
      <c r="AR29">
        <v>0.14196</v>
      </c>
      <c r="AS29">
        <v>0</v>
      </c>
      <c r="AT29">
        <v>0</v>
      </c>
      <c r="AU29">
        <v>0.26844000000000001</v>
      </c>
      <c r="AV29">
        <v>5.2699999999999997E-2</v>
      </c>
      <c r="AW29">
        <v>5.1700000000000003E-2</v>
      </c>
      <c r="AX29">
        <v>5.96E-2</v>
      </c>
      <c r="AY29">
        <v>5.0599999999999999E-2</v>
      </c>
      <c r="AZ29">
        <v>4.4499999999999998E-2</v>
      </c>
      <c r="BA29">
        <v>9.1200000000000003E-2</v>
      </c>
      <c r="BB29">
        <v>8.77E-2</v>
      </c>
      <c r="BC29">
        <v>7.9899999999999999E-2</v>
      </c>
      <c r="BD29">
        <v>6.5799999999999997E-2</v>
      </c>
      <c r="BE29">
        <v>2.4400000000000002E-2</v>
      </c>
      <c r="BF29">
        <v>9.0399999999999994E-2</v>
      </c>
      <c r="BG29">
        <v>0.1091</v>
      </c>
      <c r="BH29">
        <v>7.6399999999999996E-2</v>
      </c>
      <c r="BI29">
        <v>0.18</v>
      </c>
      <c r="BJ29">
        <v>8.2199999999999995E-2</v>
      </c>
      <c r="BK29">
        <v>0.1777</v>
      </c>
      <c r="BL29">
        <v>0.1051</v>
      </c>
      <c r="BM29">
        <v>0.16220000000000001</v>
      </c>
      <c r="BN29">
        <v>9.1800000000000007E-2</v>
      </c>
      <c r="BO29">
        <v>2.8299999999999999E-2</v>
      </c>
      <c r="BP29">
        <v>0.1477</v>
      </c>
      <c r="BQ29">
        <v>7.1999999999999995E-2</v>
      </c>
      <c r="BR29">
        <v>0.21890000000000001</v>
      </c>
      <c r="BS29">
        <v>0.22359999999999999</v>
      </c>
      <c r="BT29">
        <v>0.1211</v>
      </c>
      <c r="BU29">
        <v>9.3200000000000005E-2</v>
      </c>
      <c r="BV29">
        <v>0.1007</v>
      </c>
      <c r="BW29">
        <v>8.5300000000000001E-2</v>
      </c>
      <c r="BX29">
        <v>7.6700000000000004E-2</v>
      </c>
      <c r="BY29">
        <v>9.2499999999999999E-2</v>
      </c>
      <c r="BZ29">
        <v>4.3900000000000002E-2</v>
      </c>
      <c r="CA29">
        <v>6.0400000000000002E-2</v>
      </c>
      <c r="CB29">
        <v>3.5279999999999999E-2</v>
      </c>
      <c r="CC29">
        <v>4.2119999999999998E-2</v>
      </c>
      <c r="CD29">
        <v>5.7239999999999999E-2</v>
      </c>
      <c r="CE29">
        <v>9.4200000000000006E-2</v>
      </c>
      <c r="CF29">
        <v>6.6720000000000002E-2</v>
      </c>
      <c r="CG29">
        <v>0</v>
      </c>
      <c r="CH29">
        <v>0.1042</v>
      </c>
      <c r="CI29">
        <v>4.19E-2</v>
      </c>
      <c r="CJ29">
        <v>8.6900000000000005E-2</v>
      </c>
      <c r="CK29">
        <v>0.1837</v>
      </c>
      <c r="CL29">
        <v>0.1961</v>
      </c>
      <c r="CM29">
        <v>0.33069999999999999</v>
      </c>
      <c r="CN29">
        <v>0.29659999999999997</v>
      </c>
      <c r="CO29">
        <v>0.27960000000000002</v>
      </c>
      <c r="CP29">
        <v>0</v>
      </c>
      <c r="CQ29">
        <v>3.2500000000000001E-2</v>
      </c>
      <c r="CR29">
        <v>3.3000000000000002E-2</v>
      </c>
      <c r="CS29">
        <v>3.2800000000000003E-2</v>
      </c>
      <c r="CT29">
        <v>3.2599999999999997E-2</v>
      </c>
      <c r="CU29">
        <v>3.2399999999999998E-2</v>
      </c>
      <c r="CV29">
        <v>3.1800000000000002E-2</v>
      </c>
    </row>
    <row r="30" spans="1:100" ht="19.5" thickBot="1">
      <c r="A30" s="7" t="s">
        <v>35</v>
      </c>
      <c r="B30" s="179" t="s">
        <v>36</v>
      </c>
      <c r="C30" s="180"/>
      <c r="D30" s="16"/>
    </row>
    <row r="31" spans="1:100" ht="38.25" thickBot="1">
      <c r="A31" s="7" t="s">
        <v>37</v>
      </c>
      <c r="B31" s="10" t="s">
        <v>38</v>
      </c>
      <c r="C31" s="9"/>
      <c r="D31" s="16" t="s">
        <v>37</v>
      </c>
      <c r="E31" t="s">
        <v>136</v>
      </c>
      <c r="F31">
        <v>9.5999999999999992E-3</v>
      </c>
      <c r="G31">
        <v>2.35E-2</v>
      </c>
      <c r="H31">
        <v>4.0300000000000002E-2</v>
      </c>
      <c r="I31">
        <v>4.48E-2</v>
      </c>
      <c r="J31">
        <v>5.5E-2</v>
      </c>
      <c r="K31">
        <v>6.3600000000000004E-2</v>
      </c>
      <c r="L31">
        <v>2.7099999999999999E-2</v>
      </c>
      <c r="M31">
        <v>1.9099999999999999E-2</v>
      </c>
      <c r="N31">
        <v>6.4000000000000001E-2</v>
      </c>
      <c r="O31">
        <v>4.8500000000000001E-2</v>
      </c>
      <c r="P31">
        <v>4.8000000000000001E-2</v>
      </c>
      <c r="Q31">
        <v>1.34E-2</v>
      </c>
      <c r="R31">
        <v>3.9600000000000003E-2</v>
      </c>
      <c r="S31">
        <v>1.84E-2</v>
      </c>
      <c r="T31">
        <v>1.14E-2</v>
      </c>
      <c r="U31">
        <v>4.87E-2</v>
      </c>
      <c r="V31">
        <v>3.0499999999999999E-2</v>
      </c>
      <c r="W31">
        <v>5.7500000000000002E-2</v>
      </c>
      <c r="X31">
        <v>3.5639999999999998E-2</v>
      </c>
      <c r="Y31">
        <v>4.3200000000000002E-2</v>
      </c>
      <c r="Z31">
        <v>4.6559999999999997E-2</v>
      </c>
      <c r="AA31">
        <v>5.8799999999999998E-2</v>
      </c>
      <c r="AB31">
        <v>3.9719999999999998E-2</v>
      </c>
      <c r="AC31">
        <v>3.7199999999999997E-2</v>
      </c>
      <c r="AD31">
        <v>3.9120000000000002E-2</v>
      </c>
      <c r="AE31">
        <v>3.7679999999999998E-2</v>
      </c>
      <c r="AF31">
        <v>2.16E-3</v>
      </c>
      <c r="AG31">
        <v>0</v>
      </c>
      <c r="AH31">
        <v>0</v>
      </c>
      <c r="AI31">
        <v>0</v>
      </c>
      <c r="AJ31">
        <v>5.2200000000000003E-2</v>
      </c>
      <c r="AK31">
        <v>4.5499999999999999E-2</v>
      </c>
      <c r="AL31">
        <v>4.5699999999999998E-2</v>
      </c>
      <c r="AM31">
        <v>1.1900000000000001E-2</v>
      </c>
      <c r="AN31">
        <v>1.5599999999999999E-2</v>
      </c>
      <c r="AO31">
        <v>0</v>
      </c>
      <c r="AP31">
        <v>2.6880000000000001E-2</v>
      </c>
      <c r="AQ31">
        <v>1.6199999999999999E-2</v>
      </c>
      <c r="AR31">
        <v>3.6119999999999999E-2</v>
      </c>
      <c r="AS31">
        <v>0</v>
      </c>
      <c r="AT31">
        <v>0</v>
      </c>
      <c r="AU31">
        <v>6.1679999999999999E-2</v>
      </c>
      <c r="AV31">
        <v>2.2700000000000001E-2</v>
      </c>
      <c r="AW31">
        <v>2.4199999999999999E-2</v>
      </c>
      <c r="AX31">
        <v>2.0400000000000001E-2</v>
      </c>
      <c r="AY31">
        <v>0.01</v>
      </c>
      <c r="AZ31">
        <v>1.0800000000000001E-2</v>
      </c>
      <c r="BA31">
        <v>2.87E-2</v>
      </c>
      <c r="BB31">
        <v>5.2200000000000003E-2</v>
      </c>
      <c r="BC31">
        <v>2.6200000000000001E-2</v>
      </c>
      <c r="BD31">
        <v>3.7199999999999997E-2</v>
      </c>
      <c r="BE31">
        <v>1.7399999999999999E-2</v>
      </c>
      <c r="BF31">
        <v>4.2700000000000002E-2</v>
      </c>
      <c r="BG31">
        <v>4.3099999999999999E-2</v>
      </c>
      <c r="BH31">
        <v>5.2600000000000001E-2</v>
      </c>
      <c r="BI31">
        <v>2.8000000000000001E-2</v>
      </c>
      <c r="BJ31">
        <v>1.09E-2</v>
      </c>
      <c r="BK31">
        <v>2.75E-2</v>
      </c>
      <c r="BL31">
        <v>4.9000000000000002E-2</v>
      </c>
      <c r="BM31">
        <v>1.8599999999999998E-2</v>
      </c>
      <c r="BN31">
        <v>4.19E-2</v>
      </c>
      <c r="BO31">
        <v>8.6E-3</v>
      </c>
      <c r="BP31">
        <v>8.3900000000000002E-2</v>
      </c>
      <c r="BQ31">
        <v>7.0000000000000007E-2</v>
      </c>
      <c r="BR31">
        <v>2.6800000000000001E-2</v>
      </c>
      <c r="BS31">
        <v>2.3300000000000001E-2</v>
      </c>
      <c r="BT31">
        <v>3.9800000000000002E-2</v>
      </c>
      <c r="BU31">
        <v>3.1300000000000001E-2</v>
      </c>
      <c r="BV31">
        <v>4.4900000000000002E-2</v>
      </c>
      <c r="BW31">
        <v>4.5499999999999999E-2</v>
      </c>
      <c r="BX31">
        <v>5.6399999999999999E-2</v>
      </c>
      <c r="BY31">
        <v>2.8400000000000002E-2</v>
      </c>
      <c r="BZ31">
        <v>2.2599999999999999E-2</v>
      </c>
      <c r="CA31">
        <v>1.14E-2</v>
      </c>
      <c r="CB31">
        <v>2.964E-2</v>
      </c>
      <c r="CC31">
        <v>3.0120000000000001E-2</v>
      </c>
      <c r="CD31">
        <v>3.1559999999999998E-2</v>
      </c>
      <c r="CE31">
        <v>3.3000000000000002E-2</v>
      </c>
      <c r="CF31">
        <v>3.2160000000000001E-2</v>
      </c>
      <c r="CG31">
        <v>0</v>
      </c>
      <c r="CH31">
        <v>1.9900000000000001E-2</v>
      </c>
      <c r="CI31">
        <v>1.7600000000000001E-2</v>
      </c>
      <c r="CJ31">
        <v>1.7600000000000001E-2</v>
      </c>
      <c r="CK31">
        <v>0.05</v>
      </c>
      <c r="CL31">
        <v>4.2700000000000002E-2</v>
      </c>
      <c r="CM31">
        <v>2.75E-2</v>
      </c>
      <c r="CN31">
        <v>2.18E-2</v>
      </c>
      <c r="CO31">
        <v>2.8400000000000002E-2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</row>
    <row r="32" spans="1:100" ht="18.75">
      <c r="A32" s="176" t="s">
        <v>39</v>
      </c>
      <c r="B32" s="12" t="s">
        <v>40</v>
      </c>
      <c r="C32" s="176"/>
      <c r="D32" s="16" t="s">
        <v>39</v>
      </c>
      <c r="E32" t="s">
        <v>137</v>
      </c>
      <c r="F32">
        <v>0.53549999999999998</v>
      </c>
      <c r="G32">
        <v>0.4889</v>
      </c>
      <c r="H32">
        <v>0.76039999999999996</v>
      </c>
      <c r="I32">
        <v>1.0028999999999999</v>
      </c>
      <c r="J32">
        <v>0.76970000000000005</v>
      </c>
      <c r="K32">
        <v>0.99160000000000004</v>
      </c>
      <c r="L32">
        <v>0.48049999999999998</v>
      </c>
      <c r="M32">
        <v>0.96919999999999995</v>
      </c>
      <c r="N32">
        <v>0.85089999999999999</v>
      </c>
      <c r="O32">
        <v>0.79049999999999998</v>
      </c>
      <c r="P32">
        <v>0.80079999999999996</v>
      </c>
      <c r="Q32">
        <v>0.58640000000000003</v>
      </c>
      <c r="R32">
        <v>0.9798</v>
      </c>
      <c r="S32">
        <v>0.52259999999999995</v>
      </c>
      <c r="T32">
        <v>0.53820000000000001</v>
      </c>
      <c r="U32">
        <v>0.91779999999999995</v>
      </c>
      <c r="V32">
        <v>0.83460000000000001</v>
      </c>
      <c r="W32">
        <v>0.86860000000000004</v>
      </c>
      <c r="X32">
        <v>0.82808700000000002</v>
      </c>
      <c r="Y32">
        <v>0.75679399999999997</v>
      </c>
      <c r="Z32">
        <v>0.78367900000000001</v>
      </c>
      <c r="AA32">
        <v>0.690195</v>
      </c>
      <c r="AB32">
        <v>0.54860299999999995</v>
      </c>
      <c r="AC32">
        <v>0.60326500000000005</v>
      </c>
      <c r="AD32">
        <v>0.60611000000000004</v>
      </c>
      <c r="AE32">
        <v>0.56210400000000005</v>
      </c>
      <c r="AF32">
        <v>0.38194299999999998</v>
      </c>
      <c r="AG32">
        <v>0.33760400000000002</v>
      </c>
      <c r="AH32">
        <v>0.36028700000000002</v>
      </c>
      <c r="AI32">
        <v>0.33914100000000003</v>
      </c>
      <c r="AJ32">
        <v>0.60970000000000002</v>
      </c>
      <c r="AK32">
        <v>0.57089999999999996</v>
      </c>
      <c r="AL32">
        <v>0.57150000000000001</v>
      </c>
      <c r="AM32">
        <v>0.1867</v>
      </c>
      <c r="AN32">
        <v>0.55059999999999998</v>
      </c>
      <c r="AO32">
        <v>0.32614199999999999</v>
      </c>
      <c r="AP32">
        <v>0.46044600000000002</v>
      </c>
      <c r="AQ32">
        <v>0.70946699999999996</v>
      </c>
      <c r="AR32">
        <v>0.80499299999999996</v>
      </c>
      <c r="AS32">
        <v>0.31740000000000002</v>
      </c>
      <c r="AT32">
        <v>0.32750200000000002</v>
      </c>
      <c r="AU32">
        <v>0.56224399999999997</v>
      </c>
      <c r="AV32">
        <v>0.33510000000000001</v>
      </c>
      <c r="AW32">
        <v>0.3725</v>
      </c>
      <c r="AX32">
        <v>0.36509999999999998</v>
      </c>
      <c r="AY32">
        <v>0.44769999999999999</v>
      </c>
      <c r="AZ32">
        <v>0.50649999999999995</v>
      </c>
      <c r="BA32">
        <v>0.45540000000000003</v>
      </c>
      <c r="BB32">
        <v>0.77849999999999997</v>
      </c>
      <c r="BC32">
        <v>0.29720000000000002</v>
      </c>
      <c r="BD32">
        <v>0.5554</v>
      </c>
      <c r="BE32">
        <v>0.32879999999999998</v>
      </c>
      <c r="BF32">
        <v>0.56220000000000003</v>
      </c>
      <c r="BG32">
        <v>0.7107</v>
      </c>
      <c r="BH32">
        <v>0.74609999999999999</v>
      </c>
      <c r="BI32">
        <v>0.48139999999999999</v>
      </c>
      <c r="BJ32">
        <v>0.4879</v>
      </c>
      <c r="BK32">
        <v>0.50570000000000004</v>
      </c>
      <c r="BL32">
        <v>0.64290000000000003</v>
      </c>
      <c r="BM32">
        <v>0.44750000000000001</v>
      </c>
      <c r="BN32">
        <v>0.78759999999999997</v>
      </c>
      <c r="BO32">
        <v>0.75480000000000003</v>
      </c>
      <c r="BP32">
        <v>1.0184</v>
      </c>
      <c r="BQ32">
        <v>0.64800000000000002</v>
      </c>
      <c r="BR32">
        <v>0.45150000000000001</v>
      </c>
      <c r="BS32">
        <v>0.4224</v>
      </c>
      <c r="BT32">
        <v>0.71879999999999999</v>
      </c>
      <c r="BU32">
        <v>0.63649999999999995</v>
      </c>
      <c r="BV32">
        <v>0.92200000000000004</v>
      </c>
      <c r="BW32">
        <v>0.63990000000000002</v>
      </c>
      <c r="BX32">
        <v>0.83209999999999995</v>
      </c>
      <c r="BY32">
        <v>0.4461</v>
      </c>
      <c r="BZ32">
        <v>0.60419999999999996</v>
      </c>
      <c r="CA32">
        <v>0.53600000000000003</v>
      </c>
      <c r="CB32">
        <v>0.59048199999999995</v>
      </c>
      <c r="CC32">
        <v>0.62539299999999998</v>
      </c>
      <c r="CD32">
        <v>0.62172099999999997</v>
      </c>
      <c r="CE32">
        <v>0.52022599999999997</v>
      </c>
      <c r="CF32">
        <v>0.53873300000000002</v>
      </c>
      <c r="CG32">
        <v>0.3826</v>
      </c>
      <c r="CH32">
        <v>0.91049999999999998</v>
      </c>
      <c r="CI32">
        <v>0.20330000000000001</v>
      </c>
      <c r="CJ32">
        <v>0.2034</v>
      </c>
      <c r="CK32">
        <v>0.55159999999999998</v>
      </c>
      <c r="CL32">
        <v>0.52849999999999997</v>
      </c>
      <c r="CM32">
        <v>0.2361</v>
      </c>
      <c r="CN32">
        <v>0.49580000000000002</v>
      </c>
      <c r="CO32">
        <v>6.1100000000000002E-2</v>
      </c>
      <c r="CP32">
        <v>0.33507900000000002</v>
      </c>
      <c r="CQ32">
        <v>0.32869999999999999</v>
      </c>
      <c r="CR32">
        <v>0.37280000000000002</v>
      </c>
      <c r="CS32">
        <v>0.37640000000000001</v>
      </c>
      <c r="CT32">
        <v>0.35249999999999998</v>
      </c>
      <c r="CU32">
        <v>0.36520000000000002</v>
      </c>
      <c r="CV32">
        <v>0.3982</v>
      </c>
    </row>
    <row r="33" spans="1:100" ht="18.75">
      <c r="A33" s="177"/>
      <c r="B33" s="12" t="s">
        <v>41</v>
      </c>
      <c r="C33" s="177"/>
      <c r="D33" s="16"/>
    </row>
    <row r="34" spans="1:100" ht="18.75">
      <c r="A34" s="177"/>
      <c r="B34" s="12" t="s">
        <v>42</v>
      </c>
      <c r="C34" s="177"/>
      <c r="D34" s="16"/>
    </row>
    <row r="35" spans="1:100" ht="18.75">
      <c r="A35" s="177"/>
      <c r="B35" s="12" t="s">
        <v>43</v>
      </c>
      <c r="C35" s="177"/>
      <c r="D35" s="16"/>
    </row>
    <row r="36" spans="1:100" ht="18.75">
      <c r="A36" s="177"/>
      <c r="B36" s="12" t="s">
        <v>22</v>
      </c>
      <c r="C36" s="177"/>
      <c r="D36" s="16"/>
    </row>
    <row r="37" spans="1:100" ht="18.75">
      <c r="A37" s="177"/>
      <c r="B37" s="12" t="s">
        <v>23</v>
      </c>
      <c r="C37" s="177"/>
      <c r="D37" s="16"/>
    </row>
    <row r="38" spans="1:100" ht="18.75">
      <c r="A38" s="177"/>
      <c r="B38" s="12" t="s">
        <v>24</v>
      </c>
      <c r="C38" s="177"/>
      <c r="D38" s="16"/>
    </row>
    <row r="39" spans="1:100" ht="18.75">
      <c r="A39" s="177"/>
      <c r="B39" s="12" t="s">
        <v>25</v>
      </c>
      <c r="C39" s="177"/>
      <c r="D39" s="16"/>
    </row>
    <row r="40" spans="1:100" ht="57" thickBot="1">
      <c r="A40" s="178"/>
      <c r="B40" s="8" t="s">
        <v>44</v>
      </c>
      <c r="C40" s="178"/>
      <c r="D40" s="16"/>
    </row>
    <row r="41" spans="1:100" ht="19.5" thickBot="1">
      <c r="A41" s="7" t="s">
        <v>45</v>
      </c>
      <c r="B41" s="174" t="s">
        <v>46</v>
      </c>
      <c r="C41" s="175"/>
      <c r="D41" s="16"/>
    </row>
    <row r="42" spans="1:100" ht="19.5" thickBot="1">
      <c r="A42" s="7" t="s">
        <v>47</v>
      </c>
      <c r="B42" s="8" t="s">
        <v>48</v>
      </c>
      <c r="C42" s="9"/>
      <c r="D42" s="16" t="s">
        <v>47</v>
      </c>
      <c r="E42" t="s">
        <v>139</v>
      </c>
      <c r="F42">
        <v>4.0000000000000002E-4</v>
      </c>
      <c r="G42">
        <v>1E-4</v>
      </c>
      <c r="H42">
        <v>2.0000000000000001E-4</v>
      </c>
      <c r="I42">
        <v>2.0000000000000001E-4</v>
      </c>
      <c r="J42">
        <v>1E-4</v>
      </c>
      <c r="K42">
        <v>1E-4</v>
      </c>
      <c r="L42">
        <v>1E-4</v>
      </c>
      <c r="M42">
        <v>1E-4</v>
      </c>
      <c r="N42">
        <v>2.0000000000000001E-4</v>
      </c>
      <c r="O42">
        <v>2.0000000000000001E-4</v>
      </c>
      <c r="P42">
        <v>2.0000000000000001E-4</v>
      </c>
      <c r="Q42">
        <v>4.0000000000000002E-4</v>
      </c>
      <c r="R42">
        <v>2.0000000000000001E-4</v>
      </c>
      <c r="S42">
        <v>1E-3</v>
      </c>
      <c r="T42">
        <v>1E-4</v>
      </c>
      <c r="U42">
        <v>2.0000000000000001E-4</v>
      </c>
      <c r="V42">
        <v>1E-4</v>
      </c>
      <c r="W42">
        <v>2.0000000000000001E-4</v>
      </c>
      <c r="X42">
        <v>1.2E-4</v>
      </c>
      <c r="Y42">
        <v>1.2E-4</v>
      </c>
      <c r="Z42">
        <v>1.2E-4</v>
      </c>
      <c r="AA42">
        <v>1.2E-4</v>
      </c>
      <c r="AB42">
        <v>1.2E-4</v>
      </c>
      <c r="AC42">
        <v>1.2E-4</v>
      </c>
      <c r="AD42">
        <v>2.4000000000000001E-4</v>
      </c>
      <c r="AE42">
        <v>1.2E-4</v>
      </c>
      <c r="AF42">
        <v>0</v>
      </c>
      <c r="AG42">
        <v>0</v>
      </c>
      <c r="AH42">
        <v>0</v>
      </c>
      <c r="AI42">
        <v>0</v>
      </c>
      <c r="AJ42">
        <v>2.0000000000000001E-4</v>
      </c>
      <c r="AK42">
        <v>2.0000000000000001E-4</v>
      </c>
      <c r="AL42">
        <v>2.0000000000000001E-4</v>
      </c>
      <c r="AM42">
        <v>1E-4</v>
      </c>
      <c r="AN42">
        <v>2.0000000000000001E-4</v>
      </c>
      <c r="AO42">
        <v>0</v>
      </c>
      <c r="AP42">
        <v>1.08E-3</v>
      </c>
      <c r="AQ42">
        <v>3.6000000000000002E-4</v>
      </c>
      <c r="AR42">
        <v>2.0400000000000001E-3</v>
      </c>
      <c r="AS42">
        <v>0</v>
      </c>
      <c r="AT42">
        <v>0</v>
      </c>
      <c r="AU42">
        <v>9.6000000000000002E-4</v>
      </c>
      <c r="AV42">
        <v>1E-4</v>
      </c>
      <c r="AW42">
        <v>1E-4</v>
      </c>
      <c r="AX42">
        <v>1E-4</v>
      </c>
      <c r="AY42">
        <v>1E-4</v>
      </c>
      <c r="AZ42">
        <v>1E-4</v>
      </c>
      <c r="BA42">
        <v>2.0000000000000001E-4</v>
      </c>
      <c r="BB42">
        <v>1E-4</v>
      </c>
      <c r="BC42">
        <v>1.4E-3</v>
      </c>
      <c r="BD42">
        <v>1E-4</v>
      </c>
      <c r="BE42">
        <v>1E-4</v>
      </c>
      <c r="BF42">
        <v>2.0000000000000001E-4</v>
      </c>
      <c r="BG42">
        <v>2.0000000000000001E-4</v>
      </c>
      <c r="BH42">
        <v>2.0000000000000001E-4</v>
      </c>
      <c r="BI42">
        <v>1.8E-3</v>
      </c>
      <c r="BJ42">
        <v>4.0000000000000002E-4</v>
      </c>
      <c r="BK42">
        <v>1.8E-3</v>
      </c>
      <c r="BL42">
        <v>5.0000000000000001E-4</v>
      </c>
      <c r="BM42">
        <v>8.0000000000000004E-4</v>
      </c>
      <c r="BN42">
        <v>4.0000000000000002E-4</v>
      </c>
      <c r="BO42">
        <v>1E-4</v>
      </c>
      <c r="BP42">
        <v>4.0000000000000002E-4</v>
      </c>
      <c r="BQ42">
        <v>1.1000000000000001E-3</v>
      </c>
      <c r="BR42">
        <v>1.8E-3</v>
      </c>
      <c r="BS42">
        <v>1.8E-3</v>
      </c>
      <c r="BT42">
        <v>2.0000000000000001E-4</v>
      </c>
      <c r="BU42">
        <v>2.0000000000000001E-4</v>
      </c>
      <c r="BV42">
        <v>2.0000000000000001E-4</v>
      </c>
      <c r="BW42">
        <v>1E-4</v>
      </c>
      <c r="BX42">
        <v>2.0000000000000001E-4</v>
      </c>
      <c r="BY42">
        <v>2.0000000000000001E-4</v>
      </c>
      <c r="BZ42">
        <v>2.0000000000000001E-4</v>
      </c>
      <c r="CA42">
        <v>1E-4</v>
      </c>
      <c r="CB42">
        <v>3.6000000000000002E-4</v>
      </c>
      <c r="CC42">
        <v>3.6000000000000002E-4</v>
      </c>
      <c r="CD42">
        <v>3.6000000000000002E-4</v>
      </c>
      <c r="CE42">
        <v>3.6000000000000002E-4</v>
      </c>
      <c r="CF42">
        <v>3.6000000000000002E-4</v>
      </c>
      <c r="CG42">
        <v>0</v>
      </c>
      <c r="CH42">
        <v>1E-4</v>
      </c>
      <c r="CI42">
        <v>2.0000000000000001E-4</v>
      </c>
      <c r="CJ42">
        <v>2.0000000000000001E-4</v>
      </c>
      <c r="CK42">
        <v>3.0999999999999999E-3</v>
      </c>
      <c r="CL42">
        <v>3.0999999999999999E-3</v>
      </c>
      <c r="CM42">
        <v>8.0000000000000004E-4</v>
      </c>
      <c r="CN42">
        <v>6.9999999999999999E-4</v>
      </c>
      <c r="CO42">
        <v>5.9999999999999995E-4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</row>
    <row r="43" spans="1:100" ht="19.5" thickBot="1">
      <c r="A43" s="7" t="s">
        <v>49</v>
      </c>
      <c r="B43" s="8" t="s">
        <v>50</v>
      </c>
      <c r="C43" s="9"/>
      <c r="D43" s="16" t="s">
        <v>49</v>
      </c>
      <c r="E43" t="s">
        <v>140</v>
      </c>
      <c r="F43">
        <v>0.1943</v>
      </c>
      <c r="G43">
        <v>0.1996</v>
      </c>
      <c r="H43">
        <v>0.16930000000000001</v>
      </c>
      <c r="I43">
        <v>0.17319999999999999</v>
      </c>
      <c r="J43">
        <v>0.15</v>
      </c>
      <c r="K43">
        <v>0.1762</v>
      </c>
      <c r="L43">
        <v>0.18529999999999999</v>
      </c>
      <c r="M43">
        <v>0.17630000000000001</v>
      </c>
      <c r="N43">
        <v>0.1525</v>
      </c>
      <c r="O43">
        <v>0.15240000000000001</v>
      </c>
      <c r="P43">
        <v>0.15709999999999999</v>
      </c>
      <c r="Q43">
        <v>0.19650000000000001</v>
      </c>
      <c r="R43">
        <v>0.16850000000000001</v>
      </c>
      <c r="S43">
        <v>0.20180000000000001</v>
      </c>
      <c r="T43">
        <v>0.20230000000000001</v>
      </c>
      <c r="U43">
        <v>0.15809999999999999</v>
      </c>
      <c r="V43">
        <v>0.1497</v>
      </c>
      <c r="W43">
        <v>0.14630000000000001</v>
      </c>
      <c r="X43">
        <v>0.153256</v>
      </c>
      <c r="Y43">
        <v>0.17690800000000001</v>
      </c>
      <c r="Z43">
        <v>0.172121</v>
      </c>
      <c r="AA43">
        <v>0.169709</v>
      </c>
      <c r="AB43">
        <v>0.16819899999999999</v>
      </c>
      <c r="AC43">
        <v>0.17430100000000001</v>
      </c>
      <c r="AD43">
        <v>0.18225</v>
      </c>
      <c r="AE43">
        <v>0.173591</v>
      </c>
      <c r="AF43">
        <v>0</v>
      </c>
      <c r="AG43">
        <v>0</v>
      </c>
      <c r="AH43">
        <v>0</v>
      </c>
      <c r="AI43">
        <v>0</v>
      </c>
      <c r="AJ43">
        <v>0.21790000000000001</v>
      </c>
      <c r="AK43">
        <v>0.17199999999999999</v>
      </c>
      <c r="AL43">
        <v>0.1797</v>
      </c>
      <c r="AM43">
        <v>0.2397</v>
      </c>
      <c r="AN43">
        <v>0.20380000000000001</v>
      </c>
      <c r="AO43">
        <v>0</v>
      </c>
      <c r="AP43">
        <v>0.13508300000000001</v>
      </c>
      <c r="AQ43">
        <v>0.15745799999999999</v>
      </c>
      <c r="AR43">
        <v>0.13139999999999999</v>
      </c>
      <c r="AS43">
        <v>0</v>
      </c>
      <c r="AT43">
        <v>0</v>
      </c>
      <c r="AU43">
        <v>0.118578</v>
      </c>
      <c r="AV43">
        <v>9.5399999999999999E-2</v>
      </c>
      <c r="AW43">
        <v>9.3100000000000002E-2</v>
      </c>
      <c r="AX43">
        <v>9.4100000000000003E-2</v>
      </c>
      <c r="AY43">
        <v>0.1973</v>
      </c>
      <c r="AZ43">
        <v>0.20100000000000001</v>
      </c>
      <c r="BA43">
        <v>0.16889999999999999</v>
      </c>
      <c r="BB43">
        <v>0.1686</v>
      </c>
      <c r="BC43">
        <v>0.17499999999999999</v>
      </c>
      <c r="BD43">
        <v>5.62E-2</v>
      </c>
      <c r="BE43">
        <v>0.39</v>
      </c>
      <c r="BF43">
        <v>0.1603</v>
      </c>
      <c r="BG43">
        <v>0.1804</v>
      </c>
      <c r="BH43">
        <v>0.1545</v>
      </c>
      <c r="BI43">
        <v>0.2399</v>
      </c>
      <c r="BJ43">
        <v>0.19470000000000001</v>
      </c>
      <c r="BK43">
        <v>0.2397</v>
      </c>
      <c r="BL43">
        <v>0.15890000000000001</v>
      </c>
      <c r="BM43">
        <v>0.26129999999999998</v>
      </c>
      <c r="BN43">
        <v>0.16520000000000001</v>
      </c>
      <c r="BO43">
        <v>0.1976</v>
      </c>
      <c r="BP43">
        <v>0.13830000000000001</v>
      </c>
      <c r="BQ43">
        <v>0.2316</v>
      </c>
      <c r="BR43">
        <v>0.2452</v>
      </c>
      <c r="BS43">
        <v>0.249</v>
      </c>
      <c r="BT43">
        <v>0.1769</v>
      </c>
      <c r="BU43">
        <v>0.151</v>
      </c>
      <c r="BV43">
        <v>0.1701</v>
      </c>
      <c r="BW43">
        <v>0.1197</v>
      </c>
      <c r="BX43">
        <v>0.14369999999999999</v>
      </c>
      <c r="BY43">
        <v>0.17299999999999999</v>
      </c>
      <c r="BZ43">
        <v>0.20630000000000001</v>
      </c>
      <c r="CA43">
        <v>0.2011</v>
      </c>
      <c r="CB43">
        <v>0.184444</v>
      </c>
      <c r="CC43">
        <v>0.17350099999999999</v>
      </c>
      <c r="CD43">
        <v>0.15783900000000001</v>
      </c>
      <c r="CE43">
        <v>0.15928200000000001</v>
      </c>
      <c r="CF43">
        <v>0.15807099999999999</v>
      </c>
      <c r="CG43">
        <v>0</v>
      </c>
      <c r="CH43">
        <v>0.17710000000000001</v>
      </c>
      <c r="CI43">
        <v>0.18029999999999999</v>
      </c>
      <c r="CJ43">
        <v>0.1799</v>
      </c>
      <c r="CK43">
        <v>0.24660000000000001</v>
      </c>
      <c r="CL43">
        <v>0.2545</v>
      </c>
      <c r="CM43">
        <v>0.25569999999999998</v>
      </c>
      <c r="CN43">
        <v>0.26379999999999998</v>
      </c>
      <c r="CO43">
        <v>0.1585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</row>
    <row r="44" spans="1:100" ht="19.5" thickBot="1">
      <c r="A44" s="7" t="s">
        <v>51</v>
      </c>
      <c r="B44" s="8" t="s">
        <v>52</v>
      </c>
      <c r="C44" s="9"/>
      <c r="D44" s="16" t="s">
        <v>51</v>
      </c>
      <c r="E44" t="s">
        <v>141</v>
      </c>
      <c r="F44">
        <v>0</v>
      </c>
      <c r="G44">
        <v>0.1928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0.1956</v>
      </c>
      <c r="U44">
        <v>0</v>
      </c>
      <c r="V44">
        <v>0.14560000000000001</v>
      </c>
      <c r="W44">
        <v>0</v>
      </c>
      <c r="X44">
        <v>0.16968</v>
      </c>
      <c r="Y44">
        <v>0.19536000000000001</v>
      </c>
      <c r="Z44">
        <v>0.19020000000000001</v>
      </c>
      <c r="AA44">
        <v>0.18779999999999999</v>
      </c>
      <c r="AB44">
        <v>0.18407999999999999</v>
      </c>
      <c r="AC44">
        <v>0.18887999999999999</v>
      </c>
      <c r="AD44">
        <v>0.27960000000000002</v>
      </c>
      <c r="AE44">
        <v>0.26388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0.22969999999999999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9.2499999999999999E-2</v>
      </c>
      <c r="AW44">
        <v>8.3400000000000002E-2</v>
      </c>
      <c r="AX44">
        <v>9.1300000000000006E-2</v>
      </c>
      <c r="AY44">
        <v>0.19059999999999999</v>
      </c>
      <c r="AZ44">
        <v>0.1951</v>
      </c>
      <c r="BA44">
        <v>0</v>
      </c>
      <c r="BB44">
        <v>0</v>
      </c>
      <c r="BC44">
        <v>0</v>
      </c>
      <c r="BD44">
        <v>0.15379999999999999</v>
      </c>
      <c r="BE44">
        <v>0.35360000000000003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0.19009999999999999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0.19600000000000001</v>
      </c>
      <c r="CA44">
        <v>0.19539999999999999</v>
      </c>
      <c r="CB44">
        <v>0.29880000000000001</v>
      </c>
      <c r="CC44">
        <v>0.19128000000000001</v>
      </c>
      <c r="CD44">
        <v>0.16475999999999999</v>
      </c>
      <c r="CE44">
        <v>0.17591999999999999</v>
      </c>
      <c r="CF44">
        <v>0.17544000000000001</v>
      </c>
      <c r="CG44">
        <v>0</v>
      </c>
      <c r="CH44">
        <v>0</v>
      </c>
      <c r="CI44">
        <v>0.17499999999999999</v>
      </c>
      <c r="CJ44">
        <v>0.17480000000000001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</row>
    <row r="45" spans="1:100" ht="19.5" thickBot="1">
      <c r="A45" s="7" t="s">
        <v>53</v>
      </c>
      <c r="B45" s="8" t="s">
        <v>54</v>
      </c>
      <c r="C45" s="9"/>
      <c r="D45" s="16"/>
      <c r="E45" t="s">
        <v>142</v>
      </c>
      <c r="F45">
        <v>1.2270000000000001</v>
      </c>
      <c r="G45">
        <v>1.4730000000000001</v>
      </c>
      <c r="H45">
        <v>1.2270000000000001</v>
      </c>
      <c r="I45">
        <v>1.2270000000000001</v>
      </c>
      <c r="J45">
        <v>1.2270000000000001</v>
      </c>
      <c r="K45">
        <v>1.2270000000000001</v>
      </c>
      <c r="L45">
        <v>1.1779999999999999</v>
      </c>
      <c r="M45">
        <v>1.2270000000000001</v>
      </c>
      <c r="N45">
        <v>1.2270000000000001</v>
      </c>
      <c r="O45">
        <v>1.2270000000000001</v>
      </c>
      <c r="P45">
        <v>1.2270000000000001</v>
      </c>
      <c r="Q45">
        <v>1.2270000000000001</v>
      </c>
      <c r="R45">
        <v>1.2270000000000001</v>
      </c>
      <c r="S45">
        <v>1.1779999999999999</v>
      </c>
      <c r="T45">
        <v>1.4730000000000001</v>
      </c>
      <c r="U45">
        <v>1.2270000000000001</v>
      </c>
      <c r="V45">
        <v>1.4730000000000001</v>
      </c>
      <c r="W45">
        <v>1.2270000000000001</v>
      </c>
      <c r="X45">
        <v>0.39</v>
      </c>
      <c r="Y45">
        <v>0.39</v>
      </c>
      <c r="Z45">
        <v>0.39</v>
      </c>
      <c r="AA45">
        <v>0.39</v>
      </c>
      <c r="AB45">
        <v>0.39</v>
      </c>
      <c r="AC45">
        <v>0.39</v>
      </c>
      <c r="AD45">
        <v>0.39</v>
      </c>
      <c r="AE45">
        <v>0.39</v>
      </c>
      <c r="AF45">
        <v>0.39</v>
      </c>
      <c r="AG45">
        <v>0.39</v>
      </c>
      <c r="AH45">
        <v>0.39</v>
      </c>
      <c r="AI45">
        <v>0.39</v>
      </c>
      <c r="AJ45">
        <v>1.2090000000000001</v>
      </c>
      <c r="AK45">
        <v>1.2270000000000001</v>
      </c>
      <c r="AL45">
        <v>1.2270000000000001</v>
      </c>
      <c r="AM45">
        <v>1.417</v>
      </c>
      <c r="AN45">
        <v>1.2270000000000001</v>
      </c>
      <c r="AO45">
        <v>0.39</v>
      </c>
      <c r="AP45">
        <v>0.39</v>
      </c>
      <c r="AQ45">
        <v>0.39</v>
      </c>
      <c r="AR45">
        <v>0.39</v>
      </c>
      <c r="AS45">
        <v>0.16800000000000001</v>
      </c>
      <c r="AT45">
        <v>0.39</v>
      </c>
      <c r="AU45">
        <v>0.39</v>
      </c>
      <c r="AV45">
        <v>1.3979999999999999</v>
      </c>
      <c r="AW45">
        <v>1.3979999999999999</v>
      </c>
      <c r="AX45">
        <v>1.3979999999999999</v>
      </c>
      <c r="AY45">
        <v>1.4730000000000001</v>
      </c>
      <c r="AZ45">
        <v>1.4730000000000001</v>
      </c>
      <c r="BA45">
        <v>1.1779999999999999</v>
      </c>
      <c r="BB45">
        <v>1.2270000000000001</v>
      </c>
      <c r="BC45">
        <v>1.2090000000000001</v>
      </c>
      <c r="BD45">
        <v>1.4730000000000001</v>
      </c>
      <c r="BE45">
        <v>1.4730000000000001</v>
      </c>
      <c r="BF45">
        <v>1.1779999999999999</v>
      </c>
      <c r="BG45">
        <v>1.2090000000000001</v>
      </c>
      <c r="BH45">
        <v>1.2270000000000001</v>
      </c>
      <c r="BI45">
        <v>1.1599999999999999</v>
      </c>
      <c r="BJ45">
        <v>1.2270000000000001</v>
      </c>
      <c r="BK45">
        <v>1.1599999999999999</v>
      </c>
      <c r="BL45">
        <v>1.2270000000000001</v>
      </c>
      <c r="BM45">
        <v>1.1779999999999999</v>
      </c>
      <c r="BN45">
        <v>1.2270000000000001</v>
      </c>
      <c r="BO45">
        <v>1.4730000000000001</v>
      </c>
      <c r="BP45">
        <v>1.2270000000000001</v>
      </c>
      <c r="BQ45">
        <v>1.1599999999999999</v>
      </c>
      <c r="BR45">
        <v>1.1599999999999999</v>
      </c>
      <c r="BS45">
        <v>1.1599999999999999</v>
      </c>
      <c r="BT45">
        <v>1.2270000000000001</v>
      </c>
      <c r="BU45">
        <v>1.2270000000000001</v>
      </c>
      <c r="BV45">
        <v>1.1779999999999999</v>
      </c>
      <c r="BW45">
        <v>1.2270000000000001</v>
      </c>
      <c r="BX45">
        <v>1.2270000000000001</v>
      </c>
      <c r="BY45">
        <v>1.1779999999999999</v>
      </c>
      <c r="BZ45">
        <v>1.4730000000000001</v>
      </c>
      <c r="CA45">
        <v>1.4730000000000001</v>
      </c>
      <c r="CB45">
        <v>0.39</v>
      </c>
      <c r="CC45">
        <v>0.39</v>
      </c>
      <c r="CD45">
        <v>0.39</v>
      </c>
      <c r="CE45">
        <v>0.39</v>
      </c>
      <c r="CF45">
        <v>0.39</v>
      </c>
      <c r="CG45">
        <v>0.39</v>
      </c>
      <c r="CH45">
        <v>1.2270000000000001</v>
      </c>
      <c r="CI45">
        <v>1.4730000000000001</v>
      </c>
      <c r="CJ45">
        <v>1.4730000000000001</v>
      </c>
      <c r="CK45">
        <v>1.2090000000000001</v>
      </c>
      <c r="CL45">
        <v>1.2090000000000001</v>
      </c>
      <c r="CM45">
        <v>1.2090000000000001</v>
      </c>
      <c r="CN45">
        <v>1.2090000000000001</v>
      </c>
      <c r="CO45">
        <v>1.2270000000000001</v>
      </c>
      <c r="CP45">
        <v>0.16800000000000001</v>
      </c>
      <c r="CQ45">
        <v>0.39</v>
      </c>
      <c r="CR45">
        <v>0.39</v>
      </c>
      <c r="CS45">
        <v>0.39</v>
      </c>
      <c r="CT45">
        <v>0.39</v>
      </c>
      <c r="CU45">
        <v>0.39</v>
      </c>
      <c r="CV45">
        <v>0.20899999999999999</v>
      </c>
    </row>
    <row r="46" spans="1:100" ht="19.5" thickBot="1">
      <c r="A46" s="7" t="s">
        <v>55</v>
      </c>
      <c r="B46" s="8" t="s">
        <v>56</v>
      </c>
      <c r="C46" s="9"/>
      <c r="D46" s="18"/>
    </row>
    <row r="47" spans="1:100" ht="19.5" thickBot="1">
      <c r="A47" s="7" t="s">
        <v>57</v>
      </c>
      <c r="B47" s="8" t="s">
        <v>58</v>
      </c>
      <c r="C47" s="9"/>
      <c r="D47" s="16"/>
    </row>
    <row r="48" spans="1:100" ht="18.75">
      <c r="D48" s="16"/>
    </row>
    <row r="49" spans="4:4" ht="18.75">
      <c r="D49" s="16"/>
    </row>
    <row r="50" spans="4:4" ht="18.75">
      <c r="D50" s="16"/>
    </row>
    <row r="51" spans="4:4" ht="18.75">
      <c r="D51" s="16"/>
    </row>
    <row r="52" spans="4:4" ht="18.75">
      <c r="D52" s="16"/>
    </row>
    <row r="53" spans="4:4" ht="18.75">
      <c r="D53" s="16"/>
    </row>
    <row r="54" spans="4:4" ht="18.75">
      <c r="D54" s="16"/>
    </row>
    <row r="55" spans="4:4" ht="18.75">
      <c r="D55" s="16"/>
    </row>
    <row r="56" spans="4:4" ht="18.75">
      <c r="D56" s="16"/>
    </row>
    <row r="57" spans="4:4" ht="18.75">
      <c r="D57" s="17"/>
    </row>
    <row r="58" spans="4:4" ht="18.75">
      <c r="D58" s="16"/>
    </row>
    <row r="59" spans="4:4" ht="18.75">
      <c r="D59" s="16"/>
    </row>
    <row r="60" spans="4:4" ht="18.75">
      <c r="D60" s="16"/>
    </row>
    <row r="61" spans="4:4" ht="18.75">
      <c r="D61" s="16"/>
    </row>
    <row r="62" spans="4:4" ht="18.75">
      <c r="D62" s="16"/>
    </row>
    <row r="63" spans="4:4" ht="18.75">
      <c r="D63" s="16"/>
    </row>
  </sheetData>
  <mergeCells count="9">
    <mergeCell ref="E12:F12"/>
    <mergeCell ref="B41:C41"/>
    <mergeCell ref="B11:C11"/>
    <mergeCell ref="A19:A25"/>
    <mergeCell ref="C19:C25"/>
    <mergeCell ref="B30:C30"/>
    <mergeCell ref="A32:A40"/>
    <mergeCell ref="C32:C40"/>
    <mergeCell ref="B12:C12"/>
  </mergeCells>
  <phoneticPr fontId="7" type="noConversion"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>
  <dimension ref="A1:CT57"/>
  <sheetViews>
    <sheetView workbookViewId="0">
      <selection activeCell="D9" sqref="D9"/>
    </sheetView>
  </sheetViews>
  <sheetFormatPr defaultRowHeight="15"/>
  <cols>
    <col min="2" max="2" width="64.85546875" customWidth="1"/>
  </cols>
  <sheetData>
    <row r="1" spans="1:98" s="136" customFormat="1" ht="21">
      <c r="A1" s="134"/>
      <c r="B1" s="134"/>
      <c r="C1" s="134"/>
      <c r="D1" s="135" t="s">
        <v>250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</row>
    <row r="2" spans="1:98" s="136" customFormat="1" ht="21">
      <c r="A2" s="134"/>
      <c r="B2" s="134"/>
      <c r="C2" s="134"/>
      <c r="D2" s="135" t="s">
        <v>247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</row>
    <row r="3" spans="1:98" s="136" customFormat="1" ht="21">
      <c r="A3" s="134"/>
      <c r="B3" s="137"/>
      <c r="C3" s="134"/>
      <c r="D3" s="138">
        <v>1.17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</row>
    <row r="4" spans="1:98" s="136" customFormat="1" ht="21">
      <c r="A4" s="134"/>
      <c r="B4" s="134"/>
      <c r="C4" s="134"/>
      <c r="D4" s="139" t="s">
        <v>2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</row>
    <row r="5" spans="1:98" s="136" customFormat="1" ht="21.75" thickBot="1">
      <c r="A5" s="137"/>
      <c r="B5" s="134"/>
      <c r="C5" s="134"/>
      <c r="D5" s="140" t="s">
        <v>150</v>
      </c>
      <c r="E5" s="140" t="s">
        <v>151</v>
      </c>
      <c r="F5" s="140" t="s">
        <v>152</v>
      </c>
      <c r="G5" s="140" t="s">
        <v>153</v>
      </c>
      <c r="H5" s="140" t="s">
        <v>154</v>
      </c>
      <c r="I5" s="140" t="s">
        <v>155</v>
      </c>
      <c r="J5" s="140" t="s">
        <v>156</v>
      </c>
      <c r="K5" s="140" t="s">
        <v>157</v>
      </c>
      <c r="L5" s="140" t="s">
        <v>158</v>
      </c>
      <c r="M5" s="140" t="s">
        <v>159</v>
      </c>
      <c r="N5" s="140" t="s">
        <v>160</v>
      </c>
      <c r="O5" s="140" t="s">
        <v>161</v>
      </c>
      <c r="P5" s="140" t="s">
        <v>162</v>
      </c>
      <c r="Q5" s="140" t="s">
        <v>163</v>
      </c>
      <c r="R5" s="140" t="s">
        <v>164</v>
      </c>
      <c r="S5" s="140" t="s">
        <v>165</v>
      </c>
      <c r="T5" s="140" t="s">
        <v>166</v>
      </c>
      <c r="U5" s="140" t="s">
        <v>167</v>
      </c>
      <c r="V5" s="140" t="s">
        <v>168</v>
      </c>
      <c r="W5" s="140" t="s">
        <v>169</v>
      </c>
      <c r="X5" s="140" t="s">
        <v>170</v>
      </c>
      <c r="Y5" s="140" t="s">
        <v>171</v>
      </c>
      <c r="Z5" s="140" t="s">
        <v>172</v>
      </c>
      <c r="AA5" s="140" t="s">
        <v>173</v>
      </c>
      <c r="AB5" s="140" t="s">
        <v>174</v>
      </c>
      <c r="AC5" s="140" t="s">
        <v>175</v>
      </c>
      <c r="AD5" s="140" t="s">
        <v>176</v>
      </c>
      <c r="AE5" s="140" t="s">
        <v>177</v>
      </c>
      <c r="AF5" s="140" t="s">
        <v>178</v>
      </c>
      <c r="AG5" s="140" t="s">
        <v>179</v>
      </c>
      <c r="AH5" s="140" t="s">
        <v>180</v>
      </c>
      <c r="AI5" s="140" t="s">
        <v>181</v>
      </c>
      <c r="AJ5" s="140" t="s">
        <v>182</v>
      </c>
      <c r="AK5" s="140" t="s">
        <v>183</v>
      </c>
      <c r="AL5" s="140" t="s">
        <v>184</v>
      </c>
      <c r="AM5" s="140" t="s">
        <v>185</v>
      </c>
      <c r="AN5" s="140" t="s">
        <v>186</v>
      </c>
      <c r="AO5" s="140" t="s">
        <v>187</v>
      </c>
      <c r="AP5" s="140" t="s">
        <v>188</v>
      </c>
      <c r="AQ5" s="140" t="s">
        <v>189</v>
      </c>
      <c r="AR5" s="140" t="s">
        <v>190</v>
      </c>
      <c r="AS5" s="140" t="s">
        <v>191</v>
      </c>
      <c r="AT5" s="140" t="s">
        <v>192</v>
      </c>
      <c r="AU5" s="140" t="s">
        <v>193</v>
      </c>
      <c r="AV5" s="140" t="s">
        <v>194</v>
      </c>
      <c r="AW5" s="140" t="s">
        <v>195</v>
      </c>
      <c r="AX5" s="140" t="s">
        <v>196</v>
      </c>
      <c r="AY5" s="140" t="s">
        <v>197</v>
      </c>
      <c r="AZ5" s="140" t="s">
        <v>198</v>
      </c>
      <c r="BA5" s="140" t="s">
        <v>199</v>
      </c>
      <c r="BB5" s="140" t="s">
        <v>200</v>
      </c>
      <c r="BC5" s="140" t="s">
        <v>201</v>
      </c>
      <c r="BD5" s="140" t="s">
        <v>202</v>
      </c>
      <c r="BE5" s="140" t="s">
        <v>203</v>
      </c>
      <c r="BF5" s="140" t="s">
        <v>204</v>
      </c>
      <c r="BG5" s="140" t="s">
        <v>205</v>
      </c>
      <c r="BH5" s="140" t="s">
        <v>206</v>
      </c>
      <c r="BI5" s="140" t="s">
        <v>207</v>
      </c>
      <c r="BJ5" s="140" t="s">
        <v>208</v>
      </c>
      <c r="BK5" s="140" t="s">
        <v>209</v>
      </c>
      <c r="BL5" s="140" t="s">
        <v>210</v>
      </c>
      <c r="BM5" s="140" t="s">
        <v>211</v>
      </c>
      <c r="BN5" s="140" t="s">
        <v>212</v>
      </c>
      <c r="BO5" s="140" t="s">
        <v>213</v>
      </c>
      <c r="BP5" s="140" t="s">
        <v>214</v>
      </c>
      <c r="BQ5" s="140" t="s">
        <v>215</v>
      </c>
      <c r="BR5" s="140" t="s">
        <v>216</v>
      </c>
      <c r="BS5" s="140" t="s">
        <v>217</v>
      </c>
      <c r="BT5" s="140" t="s">
        <v>218</v>
      </c>
      <c r="BU5" s="140" t="s">
        <v>219</v>
      </c>
      <c r="BV5" s="140" t="s">
        <v>220</v>
      </c>
      <c r="BW5" s="140" t="s">
        <v>221</v>
      </c>
      <c r="BX5" s="140" t="s">
        <v>222</v>
      </c>
      <c r="BY5" s="140" t="s">
        <v>223</v>
      </c>
      <c r="BZ5" s="140" t="s">
        <v>224</v>
      </c>
      <c r="CA5" s="140" t="s">
        <v>225</v>
      </c>
      <c r="CB5" s="140" t="s">
        <v>226</v>
      </c>
      <c r="CC5" s="140" t="s">
        <v>227</v>
      </c>
      <c r="CD5" s="140" t="s">
        <v>228</v>
      </c>
      <c r="CE5" s="140" t="s">
        <v>229</v>
      </c>
      <c r="CF5" s="140" t="s">
        <v>230</v>
      </c>
      <c r="CG5" s="140" t="s">
        <v>231</v>
      </c>
      <c r="CH5" s="140" t="s">
        <v>232</v>
      </c>
      <c r="CI5" s="140" t="s">
        <v>233</v>
      </c>
      <c r="CJ5" s="140" t="s">
        <v>234</v>
      </c>
      <c r="CK5" s="140" t="s">
        <v>235</v>
      </c>
      <c r="CL5" s="140" t="s">
        <v>236</v>
      </c>
      <c r="CM5" s="140" t="s">
        <v>237</v>
      </c>
      <c r="CN5" s="140" t="s">
        <v>238</v>
      </c>
      <c r="CO5" s="140" t="s">
        <v>239</v>
      </c>
      <c r="CP5" s="140" t="s">
        <v>240</v>
      </c>
      <c r="CQ5" s="140" t="s">
        <v>241</v>
      </c>
      <c r="CR5" s="140" t="s">
        <v>242</v>
      </c>
      <c r="CS5" s="140" t="s">
        <v>243</v>
      </c>
      <c r="CT5" s="140" t="s">
        <v>244</v>
      </c>
    </row>
    <row r="6" spans="1:98" s="136" customFormat="1" ht="21">
      <c r="A6" s="141" t="s">
        <v>3</v>
      </c>
      <c r="B6" s="142" t="s">
        <v>4</v>
      </c>
      <c r="C6" s="142" t="s">
        <v>5</v>
      </c>
      <c r="D6" s="142" t="s">
        <v>61</v>
      </c>
      <c r="E6" s="142" t="s">
        <v>60</v>
      </c>
      <c r="F6" s="142" t="s">
        <v>60</v>
      </c>
      <c r="G6" s="142" t="s">
        <v>60</v>
      </c>
      <c r="H6" s="142" t="s">
        <v>60</v>
      </c>
      <c r="I6" s="142" t="s">
        <v>60</v>
      </c>
      <c r="J6" s="142" t="s">
        <v>60</v>
      </c>
      <c r="K6" s="142" t="s">
        <v>60</v>
      </c>
      <c r="L6" s="142" t="s">
        <v>60</v>
      </c>
      <c r="M6" s="142" t="s">
        <v>60</v>
      </c>
      <c r="N6" s="142" t="s">
        <v>60</v>
      </c>
      <c r="O6" s="142" t="s">
        <v>60</v>
      </c>
      <c r="P6" s="142" t="s">
        <v>60</v>
      </c>
      <c r="Q6" s="142" t="s">
        <v>60</v>
      </c>
      <c r="R6" s="142" t="s">
        <v>60</v>
      </c>
      <c r="S6" s="142" t="s">
        <v>60</v>
      </c>
      <c r="T6" s="142" t="s">
        <v>61</v>
      </c>
      <c r="U6" s="142" t="s">
        <v>61</v>
      </c>
      <c r="V6" s="142" t="s">
        <v>62</v>
      </c>
      <c r="W6" s="142" t="s">
        <v>62</v>
      </c>
      <c r="X6" s="142" t="s">
        <v>62</v>
      </c>
      <c r="Y6" s="142" t="s">
        <v>62</v>
      </c>
      <c r="Z6" s="142" t="s">
        <v>62</v>
      </c>
      <c r="AA6" s="142" t="s">
        <v>62</v>
      </c>
      <c r="AB6" s="142" t="s">
        <v>63</v>
      </c>
      <c r="AC6" s="142" t="s">
        <v>63</v>
      </c>
      <c r="AD6" s="142" t="s">
        <v>63</v>
      </c>
      <c r="AE6" s="142" t="s">
        <v>63</v>
      </c>
      <c r="AF6" s="142" t="s">
        <v>63</v>
      </c>
      <c r="AG6" s="142" t="s">
        <v>63</v>
      </c>
      <c r="AH6" s="142" t="s">
        <v>64</v>
      </c>
      <c r="AI6" s="142" t="s">
        <v>64</v>
      </c>
      <c r="AJ6" s="142" t="s">
        <v>64</v>
      </c>
      <c r="AK6" s="142" t="s">
        <v>64</v>
      </c>
      <c r="AL6" s="142" t="s">
        <v>64</v>
      </c>
      <c r="AM6" s="142" t="s">
        <v>65</v>
      </c>
      <c r="AN6" s="142" t="s">
        <v>65</v>
      </c>
      <c r="AO6" s="142" t="s">
        <v>65</v>
      </c>
      <c r="AP6" s="142" t="s">
        <v>65</v>
      </c>
      <c r="AQ6" s="142" t="s">
        <v>65</v>
      </c>
      <c r="AR6" s="142" t="s">
        <v>65</v>
      </c>
      <c r="AS6" s="142" t="s">
        <v>65</v>
      </c>
      <c r="AT6" s="142" t="s">
        <v>65</v>
      </c>
      <c r="AU6" s="142" t="s">
        <v>65</v>
      </c>
      <c r="AV6" s="142" t="s">
        <v>65</v>
      </c>
      <c r="AW6" s="142" t="s">
        <v>66</v>
      </c>
      <c r="AX6" s="142" t="s">
        <v>66</v>
      </c>
      <c r="AY6" s="142" t="s">
        <v>66</v>
      </c>
      <c r="AZ6" s="142" t="s">
        <v>66</v>
      </c>
      <c r="BA6" s="142" t="s">
        <v>66</v>
      </c>
      <c r="BB6" s="142" t="s">
        <v>66</v>
      </c>
      <c r="BC6" s="142" t="s">
        <v>66</v>
      </c>
      <c r="BD6" s="142" t="s">
        <v>66</v>
      </c>
      <c r="BE6" s="142" t="s">
        <v>66</v>
      </c>
      <c r="BF6" s="142" t="s">
        <v>66</v>
      </c>
      <c r="BG6" s="142" t="s">
        <v>66</v>
      </c>
      <c r="BH6" s="142" t="s">
        <v>66</v>
      </c>
      <c r="BI6" s="142" t="s">
        <v>66</v>
      </c>
      <c r="BJ6" s="142" t="s">
        <v>66</v>
      </c>
      <c r="BK6" s="142" t="s">
        <v>66</v>
      </c>
      <c r="BL6" s="142" t="s">
        <v>66</v>
      </c>
      <c r="BM6" s="142" t="s">
        <v>66</v>
      </c>
      <c r="BN6" s="142" t="s">
        <v>66</v>
      </c>
      <c r="BO6" s="142" t="s">
        <v>66</v>
      </c>
      <c r="BP6" s="142" t="s">
        <v>66</v>
      </c>
      <c r="BQ6" s="142" t="s">
        <v>66</v>
      </c>
      <c r="BR6" s="142" t="s">
        <v>66</v>
      </c>
      <c r="BS6" s="142" t="s">
        <v>66</v>
      </c>
      <c r="BT6" s="142" t="s">
        <v>66</v>
      </c>
      <c r="BU6" s="142" t="s">
        <v>66</v>
      </c>
      <c r="BV6" s="142" t="s">
        <v>66</v>
      </c>
      <c r="BW6" s="142" t="s">
        <v>66</v>
      </c>
      <c r="BX6" s="142" t="s">
        <v>66</v>
      </c>
      <c r="BY6" s="142" t="s">
        <v>66</v>
      </c>
      <c r="BZ6" s="142" t="s">
        <v>67</v>
      </c>
      <c r="CA6" s="142" t="s">
        <v>67</v>
      </c>
      <c r="CB6" s="142" t="s">
        <v>67</v>
      </c>
      <c r="CC6" s="142" t="s">
        <v>67</v>
      </c>
      <c r="CD6" s="142" t="s">
        <v>67</v>
      </c>
      <c r="CE6" s="142" t="s">
        <v>68</v>
      </c>
      <c r="CF6" s="142" t="s">
        <v>69</v>
      </c>
      <c r="CG6" s="142" t="s">
        <v>69</v>
      </c>
      <c r="CH6" s="142" t="s">
        <v>69</v>
      </c>
      <c r="CI6" s="142" t="s">
        <v>70</v>
      </c>
      <c r="CJ6" s="142" t="s">
        <v>70</v>
      </c>
      <c r="CK6" s="142" t="s">
        <v>70</v>
      </c>
      <c r="CL6" s="142" t="s">
        <v>70</v>
      </c>
      <c r="CM6" s="142" t="s">
        <v>70</v>
      </c>
      <c r="CN6" s="142" t="s">
        <v>71</v>
      </c>
      <c r="CO6" s="142" t="s">
        <v>72</v>
      </c>
      <c r="CP6" s="142" t="s">
        <v>73</v>
      </c>
      <c r="CQ6" s="142" t="s">
        <v>73</v>
      </c>
      <c r="CR6" s="142" t="s">
        <v>73</v>
      </c>
      <c r="CS6" s="142" t="s">
        <v>73</v>
      </c>
      <c r="CT6" s="143" t="s">
        <v>73</v>
      </c>
    </row>
    <row r="7" spans="1:98" ht="19.5" thickBot="1">
      <c r="A7" s="71"/>
      <c r="B7" s="72" t="s">
        <v>245</v>
      </c>
      <c r="C7" s="72"/>
      <c r="D7" s="72" t="s">
        <v>74</v>
      </c>
      <c r="E7" s="72" t="s">
        <v>75</v>
      </c>
      <c r="F7" s="72" t="s">
        <v>76</v>
      </c>
      <c r="G7" s="72" t="s">
        <v>77</v>
      </c>
      <c r="H7" s="72" t="s">
        <v>78</v>
      </c>
      <c r="I7" s="72" t="s">
        <v>79</v>
      </c>
      <c r="J7" s="72" t="s">
        <v>80</v>
      </c>
      <c r="K7" s="72" t="s">
        <v>81</v>
      </c>
      <c r="L7" s="72" t="s">
        <v>82</v>
      </c>
      <c r="M7" s="72" t="s">
        <v>83</v>
      </c>
      <c r="N7" s="72" t="s">
        <v>84</v>
      </c>
      <c r="O7" s="72" t="s">
        <v>85</v>
      </c>
      <c r="P7" s="72" t="s">
        <v>86</v>
      </c>
      <c r="Q7" s="72" t="s">
        <v>87</v>
      </c>
      <c r="R7" s="72" t="s">
        <v>88</v>
      </c>
      <c r="S7" s="72" t="s">
        <v>89</v>
      </c>
      <c r="T7" s="72" t="s">
        <v>90</v>
      </c>
      <c r="U7" s="72" t="s">
        <v>91</v>
      </c>
      <c r="V7" s="72">
        <v>2</v>
      </c>
      <c r="W7" s="72">
        <v>6</v>
      </c>
      <c r="X7" s="72">
        <v>10</v>
      </c>
      <c r="Y7" s="72">
        <v>4</v>
      </c>
      <c r="Z7" s="72">
        <v>31</v>
      </c>
      <c r="AA7" s="72">
        <v>35</v>
      </c>
      <c r="AB7" s="72">
        <v>28</v>
      </c>
      <c r="AC7" s="72">
        <v>30</v>
      </c>
      <c r="AD7" s="72">
        <v>43</v>
      </c>
      <c r="AE7" s="72">
        <v>60</v>
      </c>
      <c r="AF7" s="72">
        <v>62</v>
      </c>
      <c r="AG7" s="72">
        <v>64</v>
      </c>
      <c r="AH7" s="72" t="s">
        <v>92</v>
      </c>
      <c r="AI7" s="72" t="s">
        <v>93</v>
      </c>
      <c r="AJ7" s="72" t="s">
        <v>94</v>
      </c>
      <c r="AK7" s="72" t="s">
        <v>95</v>
      </c>
      <c r="AL7" s="72" t="s">
        <v>96</v>
      </c>
      <c r="AM7" s="72">
        <v>10</v>
      </c>
      <c r="AN7" s="72">
        <v>11</v>
      </c>
      <c r="AO7" s="72">
        <v>13</v>
      </c>
      <c r="AP7" s="72">
        <v>29</v>
      </c>
      <c r="AQ7" s="72">
        <v>16</v>
      </c>
      <c r="AR7" s="72" t="s">
        <v>97</v>
      </c>
      <c r="AS7" s="72" t="s">
        <v>98</v>
      </c>
      <c r="AT7" s="72" t="s">
        <v>99</v>
      </c>
      <c r="AU7" s="72" t="s">
        <v>100</v>
      </c>
      <c r="AV7" s="72" t="s">
        <v>101</v>
      </c>
      <c r="AW7" s="72" t="s">
        <v>102</v>
      </c>
      <c r="AX7" s="72" t="s">
        <v>103</v>
      </c>
      <c r="AY7" s="72" t="s">
        <v>104</v>
      </c>
      <c r="AZ7" s="72" t="s">
        <v>77</v>
      </c>
      <c r="BA7" s="72" t="s">
        <v>105</v>
      </c>
      <c r="BB7" s="72" t="s">
        <v>78</v>
      </c>
      <c r="BC7" s="72" t="s">
        <v>106</v>
      </c>
      <c r="BD7" s="72" t="s">
        <v>79</v>
      </c>
      <c r="BE7" s="72" t="s">
        <v>107</v>
      </c>
      <c r="BF7" s="72" t="s">
        <v>81</v>
      </c>
      <c r="BG7" s="72" t="s">
        <v>82</v>
      </c>
      <c r="BH7" s="72" t="s">
        <v>108</v>
      </c>
      <c r="BI7" s="72" t="s">
        <v>83</v>
      </c>
      <c r="BJ7" s="72" t="s">
        <v>109</v>
      </c>
      <c r="BK7" s="72" t="s">
        <v>84</v>
      </c>
      <c r="BL7" s="72" t="s">
        <v>110</v>
      </c>
      <c r="BM7" s="72" t="s">
        <v>111</v>
      </c>
      <c r="BN7" s="72" t="s">
        <v>112</v>
      </c>
      <c r="BO7" s="72" t="s">
        <v>85</v>
      </c>
      <c r="BP7" s="72" t="s">
        <v>113</v>
      </c>
      <c r="BQ7" s="72" t="s">
        <v>114</v>
      </c>
      <c r="BR7" s="72" t="s">
        <v>115</v>
      </c>
      <c r="BS7" s="72" t="s">
        <v>116</v>
      </c>
      <c r="BT7" s="72" t="s">
        <v>117</v>
      </c>
      <c r="BU7" s="72" t="s">
        <v>118</v>
      </c>
      <c r="BV7" s="72" t="s">
        <v>87</v>
      </c>
      <c r="BW7" s="72" t="s">
        <v>119</v>
      </c>
      <c r="BX7" s="72" t="s">
        <v>91</v>
      </c>
      <c r="BY7" s="72" t="s">
        <v>120</v>
      </c>
      <c r="BZ7" s="72">
        <v>2</v>
      </c>
      <c r="CA7" s="72">
        <v>6</v>
      </c>
      <c r="CB7" s="72">
        <v>8</v>
      </c>
      <c r="CC7" s="72">
        <v>10</v>
      </c>
      <c r="CD7" s="72">
        <v>12</v>
      </c>
      <c r="CE7" s="72" t="s">
        <v>76</v>
      </c>
      <c r="CF7" s="72" t="s">
        <v>104</v>
      </c>
      <c r="CG7" s="72" t="s">
        <v>121</v>
      </c>
      <c r="CH7" s="72" t="s">
        <v>117</v>
      </c>
      <c r="CI7" s="72" t="s">
        <v>74</v>
      </c>
      <c r="CJ7" s="72" t="s">
        <v>121</v>
      </c>
      <c r="CK7" s="72" t="s">
        <v>85</v>
      </c>
      <c r="CL7" s="72" t="s">
        <v>117</v>
      </c>
      <c r="CM7" s="72" t="s">
        <v>86</v>
      </c>
      <c r="CN7" s="72">
        <v>12</v>
      </c>
      <c r="CO7" s="72" t="s">
        <v>74</v>
      </c>
      <c r="CP7" s="72" t="s">
        <v>121</v>
      </c>
      <c r="CQ7" s="72" t="s">
        <v>85</v>
      </c>
      <c r="CR7" s="72" t="s">
        <v>117</v>
      </c>
      <c r="CS7" s="72" t="s">
        <v>86</v>
      </c>
      <c r="CT7" s="73" t="s">
        <v>87</v>
      </c>
    </row>
    <row r="8" spans="1:98" ht="37.5">
      <c r="A8" s="74">
        <v>1</v>
      </c>
      <c r="B8" s="75" t="s">
        <v>6</v>
      </c>
      <c r="C8" s="76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9"/>
    </row>
    <row r="9" spans="1:98" ht="18.75">
      <c r="A9" s="80" t="s">
        <v>7</v>
      </c>
      <c r="B9" s="81" t="s">
        <v>8</v>
      </c>
      <c r="C9" s="82"/>
      <c r="D9" s="83">
        <f>'17% Управителю (З ПДВ)'!D13/1.2/1.17</f>
        <v>0.60599999999999998</v>
      </c>
      <c r="E9" s="83">
        <f>'17% Управителю (З ПДВ)'!E13/1.2/1.17</f>
        <v>0.499</v>
      </c>
      <c r="F9" s="83">
        <f>'17% Управителю (З ПДВ)'!F13/1.2/1.17</f>
        <v>0.46400000000000002</v>
      </c>
      <c r="G9" s="83">
        <f>'17% Управителю (З ПДВ)'!G13/1.2/1.17</f>
        <v>0.42299999999999999</v>
      </c>
      <c r="H9" s="83">
        <f>'17% Управителю (З ПДВ)'!H13/1.2/1.17</f>
        <v>0.29299999999999998</v>
      </c>
      <c r="I9" s="83">
        <f>'17% Управителю (З ПДВ)'!I13/1.2/1.17</f>
        <v>0.314</v>
      </c>
      <c r="J9" s="83">
        <f>'17% Управителю (З ПДВ)'!J13/1.2/1.17</f>
        <v>0.48599999999999999</v>
      </c>
      <c r="K9" s="83">
        <f>'17% Управителю (З ПДВ)'!K13/1.2/1.17</f>
        <v>0.45900000000000002</v>
      </c>
      <c r="L9" s="83">
        <f>'17% Управителю (З ПДВ)'!L13/1.2/1.17</f>
        <v>0.40600000000000003</v>
      </c>
      <c r="M9" s="83">
        <f>'17% Управителю (З ПДВ)'!M13/1.2/1.17</f>
        <v>0.38600000000000001</v>
      </c>
      <c r="N9" s="83">
        <f>'17% Управителю (З ПДВ)'!N13/1.2/1.17</f>
        <v>0.46899999999999997</v>
      </c>
      <c r="O9" s="83">
        <f>'17% Управителю (З ПДВ)'!O13/1.2/1.17</f>
        <v>0.45600000000000002</v>
      </c>
      <c r="P9" s="83">
        <f>'17% Управителю (З ПДВ)'!P13/1.2/1.17</f>
        <v>0.45600000000000002</v>
      </c>
      <c r="Q9" s="83">
        <f>'17% Управителю (З ПДВ)'!Q13/1.2/1.17</f>
        <v>0.56599999999999995</v>
      </c>
      <c r="R9" s="83">
        <f>'17% Управителю (З ПДВ)'!R13/1.2/1.17</f>
        <v>0.55800000000000005</v>
      </c>
      <c r="S9" s="83">
        <f>'17% Управителю (З ПДВ)'!S13/1.2/1.17</f>
        <v>0.41299999999999998</v>
      </c>
      <c r="T9" s="83">
        <f>'17% Управителю (З ПДВ)'!T13/1.2/1.17</f>
        <v>0.48299999999999998</v>
      </c>
      <c r="U9" s="83">
        <f>'17% Управителю (З ПДВ)'!U13/1.2/1.17</f>
        <v>0.40799999999999997</v>
      </c>
      <c r="V9" s="83">
        <f>'17% Управителю (З ПДВ)'!V13/1.2/1.17</f>
        <v>0.47899999999999998</v>
      </c>
      <c r="W9" s="83">
        <f>'17% Управителю (З ПДВ)'!W13/1.2/1.17</f>
        <v>0.439</v>
      </c>
      <c r="X9" s="83">
        <f>'17% Управителю (З ПДВ)'!X13/1.2/1.17</f>
        <v>0.46400000000000002</v>
      </c>
      <c r="Y9" s="83">
        <f>'17% Управителю (З ПДВ)'!Y13/1.2/1.17</f>
        <v>0.47799999999999998</v>
      </c>
      <c r="Z9" s="83">
        <f>'17% Управителю (З ПДВ)'!Z13/1.2/1.17</f>
        <v>0.45400000000000001</v>
      </c>
      <c r="AA9" s="83">
        <f>'17% Управителю (З ПДВ)'!AA13/1.2/1.17</f>
        <v>0.41399999999999998</v>
      </c>
      <c r="AB9" s="83">
        <f>'17% Управителю (З ПДВ)'!AB13/1.2/1.17</f>
        <v>0.35499999999999998</v>
      </c>
      <c r="AC9" s="83">
        <f>'17% Управителю (З ПДВ)'!AC13/1.2/1.17</f>
        <v>0.42899999999999999</v>
      </c>
      <c r="AD9" s="83">
        <f>'17% Управителю (З ПДВ)'!AD13/1.2/1.17</f>
        <v>0</v>
      </c>
      <c r="AE9" s="83">
        <f>'17% Управителю (З ПДВ)'!AE13/1.2/1.17</f>
        <v>0</v>
      </c>
      <c r="AF9" s="83">
        <f>'17% Управителю (З ПДВ)'!AF13/1.2/1.17</f>
        <v>0</v>
      </c>
      <c r="AG9" s="83">
        <f>'17% Управителю (З ПДВ)'!AG13/1.2/1.17</f>
        <v>0</v>
      </c>
      <c r="AH9" s="83">
        <f>'17% Управителю (З ПДВ)'!AH13/1.2/1.17</f>
        <v>0.15</v>
      </c>
      <c r="AI9" s="83">
        <f>'17% Управителю (З ПДВ)'!AI13/1.2/1.17</f>
        <v>0.32500000000000001</v>
      </c>
      <c r="AJ9" s="83">
        <f>'17% Управителю (З ПДВ)'!AJ13/1.2/1.17</f>
        <v>0.224</v>
      </c>
      <c r="AK9" s="83">
        <f>'17% Управителю (З ПДВ)'!AK13/1.2/1.17</f>
        <v>0.64500000000000002</v>
      </c>
      <c r="AL9" s="83">
        <f>'17% Управителю (З ПДВ)'!AL13/1.2/1.17</f>
        <v>0.40699999999999997</v>
      </c>
      <c r="AM9" s="83">
        <f>'17% Управителю (З ПДВ)'!AM13/1.2/1.17</f>
        <v>0</v>
      </c>
      <c r="AN9" s="83">
        <f>'17% Управителю (З ПДВ)'!AN13/1.2/1.17</f>
        <v>0.89</v>
      </c>
      <c r="AO9" s="83">
        <f>'17% Управителю (З ПДВ)'!AO13/1.2/1.17</f>
        <v>0.48099999999999998</v>
      </c>
      <c r="AP9" s="83">
        <f>'17% Управителю (З ПДВ)'!AP13/1.2/1.17</f>
        <v>0.35599999999999998</v>
      </c>
      <c r="AQ9" s="83">
        <f>'17% Управителю (З ПДВ)'!AQ13/1.2/1.17</f>
        <v>0</v>
      </c>
      <c r="AR9" s="83">
        <f>'17% Управителю (З ПДВ)'!AR13/1.2/1.17</f>
        <v>0</v>
      </c>
      <c r="AS9" s="83">
        <f>'17% Управителю (З ПДВ)'!AS13/1.2/1.17</f>
        <v>0.48299999999999998</v>
      </c>
      <c r="AT9" s="83">
        <f>'17% Управителю (З ПДВ)'!AT13/1.2/1.17</f>
        <v>0.24</v>
      </c>
      <c r="AU9" s="83">
        <f>'17% Управителю (З ПДВ)'!AU13/1.2/1.17</f>
        <v>0.25</v>
      </c>
      <c r="AV9" s="83">
        <f>'17% Управителю (З ПДВ)'!AV13/1.2/1.17</f>
        <v>0.26600000000000001</v>
      </c>
      <c r="AW9" s="83">
        <f>'17% Управителю (З ПДВ)'!AW13/1.2/1.17</f>
        <v>0.52400000000000002</v>
      </c>
      <c r="AX9" s="83">
        <f>'17% Управителю (З ПДВ)'!AX13/1.2/1.17</f>
        <v>0.60099999999999998</v>
      </c>
      <c r="AY9" s="83">
        <f>'17% Управителю (З ПДВ)'!AY13/1.2/1.17</f>
        <v>0.34</v>
      </c>
      <c r="AZ9" s="83">
        <f>'17% Управителю (З ПДВ)'!AZ13/1.2/1.17</f>
        <v>0.42499999999999999</v>
      </c>
      <c r="BA9" s="83">
        <f>'17% Управителю (З ПДВ)'!BA13/1.2/1.17</f>
        <v>1.1819999999999999</v>
      </c>
      <c r="BB9" s="83">
        <f>'17% Управителю (З ПДВ)'!BB13/1.2/1.17</f>
        <v>0.59</v>
      </c>
      <c r="BC9" s="83">
        <f>'17% Управителю (З ПДВ)'!BC13/1.2/1.17</f>
        <v>0.41899999999999998</v>
      </c>
      <c r="BD9" s="83">
        <f>'17% Управителю (З ПДВ)'!BD13/1.2/1.17</f>
        <v>0.51800000000000002</v>
      </c>
      <c r="BE9" s="83">
        <f>'17% Управителю (З ПДВ)'!BE13/1.2/1.17</f>
        <v>0.47299999999999998</v>
      </c>
      <c r="BF9" s="83">
        <f>'17% Управителю (З ПДВ)'!BF13/1.2/1.17</f>
        <v>0.33800000000000002</v>
      </c>
      <c r="BG9" s="83">
        <f>'17% Управителю (З ПДВ)'!BG13/1.2/1.17</f>
        <v>0.66400000000000003</v>
      </c>
      <c r="BH9" s="83">
        <f>'17% Управителю (З ПДВ)'!BH13/1.2/1.17</f>
        <v>0.82299999999999995</v>
      </c>
      <c r="BI9" s="83">
        <f>'17% Управителю (З ПДВ)'!BI13/1.2/1.17</f>
        <v>0.66400000000000003</v>
      </c>
      <c r="BJ9" s="83">
        <f>'17% Управителю (З ПДВ)'!BJ13/1.2/1.17</f>
        <v>0.41899999999999998</v>
      </c>
      <c r="BK9" s="83">
        <f>'17% Управителю (З ПДВ)'!BK13/1.2/1.17</f>
        <v>0.74099999999999999</v>
      </c>
      <c r="BL9" s="83">
        <f>'17% Управителю (З ПДВ)'!BL13/1.2/1.17</f>
        <v>0.48599999999999999</v>
      </c>
      <c r="BM9" s="83">
        <f>'17% Управителю (З ПДВ)'!BM13/1.2/1.17</f>
        <v>0.57599999999999996</v>
      </c>
      <c r="BN9" s="83">
        <f>'17% Управителю (З ПДВ)'!BN13/1.2/1.17</f>
        <v>0.34399999999999997</v>
      </c>
      <c r="BO9" s="83">
        <f>'17% Управителю (З ПДВ)'!BO13/1.2/1.17</f>
        <v>0.11899999999999999</v>
      </c>
      <c r="BP9" s="83">
        <f>'17% Управителю (З ПДВ)'!BP13/1.2/1.17</f>
        <v>0.72699999999999998</v>
      </c>
      <c r="BQ9" s="83">
        <f>'17% Управителю (З ПДВ)'!BQ13/1.2/1.17</f>
        <v>0.66500000000000004</v>
      </c>
      <c r="BR9" s="83">
        <f>'17% Управителю (З ПДВ)'!BR13/1.2/1.17</f>
        <v>0.378</v>
      </c>
      <c r="BS9" s="83">
        <f>'17% Управителю (З ПДВ)'!BS13/1.2/1.17</f>
        <v>0.39400000000000002</v>
      </c>
      <c r="BT9" s="83">
        <f>'17% Управителю (З ПДВ)'!BT13/1.2/1.17</f>
        <v>0.32900000000000001</v>
      </c>
      <c r="BU9" s="83">
        <f>'17% Управителю (З ПДВ)'!BU13/1.2/1.17</f>
        <v>0.39900000000000002</v>
      </c>
      <c r="BV9" s="83">
        <f>'17% Управителю (З ПДВ)'!BV13/1.2/1.17</f>
        <v>0.28100000000000003</v>
      </c>
      <c r="BW9" s="83">
        <f>'17% Управителю (З ПДВ)'!BW13/1.2/1.17</f>
        <v>0.35899999999999999</v>
      </c>
      <c r="BX9" s="83">
        <f>'17% Управителю (З ПДВ)'!BX13/1.2/1.17</f>
        <v>0.41099999999999998</v>
      </c>
      <c r="BY9" s="83">
        <f>'17% Управителю (З ПДВ)'!BY13/1.2/1.17</f>
        <v>0.60799999999999998</v>
      </c>
      <c r="BZ9" s="83">
        <f>'17% Управителю (З ПДВ)'!BZ13/1.2/1.17</f>
        <v>0.45300000000000001</v>
      </c>
      <c r="CA9" s="83">
        <f>'17% Управителю (З ПДВ)'!CA13/1.2/1.17</f>
        <v>0.49099999999999999</v>
      </c>
      <c r="CB9" s="83">
        <f>'17% Управителю (З ПДВ)'!CB13/1.2/1.17</f>
        <v>0.499</v>
      </c>
      <c r="CC9" s="83">
        <f>'17% Управителю (З ПДВ)'!CC13/1.2/1.17</f>
        <v>0.45800000000000002</v>
      </c>
      <c r="CD9" s="83">
        <f>'17% Управителю (З ПДВ)'!CD13/1.2/1.17</f>
        <v>0.51400000000000001</v>
      </c>
      <c r="CE9" s="83">
        <f>'17% Управителю (З ПДВ)'!CE13/1.2/1.17</f>
        <v>0</v>
      </c>
      <c r="CF9" s="83">
        <f>'17% Управителю (З ПДВ)'!CF13/1.2/1.17</f>
        <v>0.45800000000000002</v>
      </c>
      <c r="CG9" s="83">
        <f>'17% Управителю (З ПДВ)'!CG13/1.2/1.17</f>
        <v>0.67700000000000005</v>
      </c>
      <c r="CH9" s="83">
        <f>'17% Управителю (З ПДВ)'!CH13/1.2/1.17</f>
        <v>0.625</v>
      </c>
      <c r="CI9" s="83">
        <f>'17% Управителю (З ПДВ)'!CI13/1.2/1.17</f>
        <v>0.315</v>
      </c>
      <c r="CJ9" s="83">
        <f>'17% Управителю (З ПДВ)'!CJ13/1.2/1.17</f>
        <v>0.42599999999999999</v>
      </c>
      <c r="CK9" s="83">
        <f>'17% Управителю (З ПДВ)'!CK13/1.2/1.17</f>
        <v>1.0569999999999999</v>
      </c>
      <c r="CL9" s="83">
        <f>'17% Управителю (З ПДВ)'!CL13/1.2/1.17</f>
        <v>0.59599999999999997</v>
      </c>
      <c r="CM9" s="83">
        <f>'17% Управителю (З ПДВ)'!CM13/1.2/1.17</f>
        <v>1.276</v>
      </c>
      <c r="CN9" s="83">
        <f>'17% Управителю (З ПДВ)'!CN13/1.2/1.17</f>
        <v>0</v>
      </c>
      <c r="CO9" s="83">
        <f>'17% Управителю (З ПДВ)'!CO13/1.2/1.17</f>
        <v>3.5999999999999997E-2</v>
      </c>
      <c r="CP9" s="83">
        <f>'17% Управителю (З ПДВ)'!CP13/1.2/1.17</f>
        <v>3.6999999999999998E-2</v>
      </c>
      <c r="CQ9" s="83">
        <f>'17% Управителю (З ПДВ)'!CQ13/1.2/1.17</f>
        <v>3.5999999999999997E-2</v>
      </c>
      <c r="CR9" s="83">
        <f>'17% Управителю (З ПДВ)'!CR13/1.2/1.17</f>
        <v>3.5999999999999997E-2</v>
      </c>
      <c r="CS9" s="83">
        <f>'17% Управителю (З ПДВ)'!CS13/1.2/1.17</f>
        <v>3.5999999999999997E-2</v>
      </c>
      <c r="CT9" s="84">
        <f>'17% Управителю (З ПДВ)'!CT13/1.2/1.17</f>
        <v>3.5000000000000003E-2</v>
      </c>
    </row>
    <row r="10" spans="1:98" ht="18.75">
      <c r="A10" s="80" t="s">
        <v>9</v>
      </c>
      <c r="B10" s="85" t="s">
        <v>10</v>
      </c>
      <c r="C10" s="82"/>
      <c r="D10" s="83">
        <f>'17% Управителю (З ПДВ)'!D14/1.2/1.17</f>
        <v>0.09</v>
      </c>
      <c r="E10" s="83">
        <f>'17% Управителю (З ПДВ)'!E14/1.2/1.17</f>
        <v>0.316</v>
      </c>
      <c r="F10" s="83">
        <f>'17% Управителю (З ПДВ)'!F14/1.2/1.17</f>
        <v>0.14899999999999999</v>
      </c>
      <c r="G10" s="83">
        <f>'17% Управителю (З ПДВ)'!G14/1.2/1.17</f>
        <v>0.16700000000000001</v>
      </c>
      <c r="H10" s="83">
        <f>'17% Управителю (З ПДВ)'!H14/1.2/1.17</f>
        <v>7.1999999999999995E-2</v>
      </c>
      <c r="I10" s="83">
        <f>'17% Управителю (З ПДВ)'!I14/1.2/1.17</f>
        <v>0.16700000000000001</v>
      </c>
      <c r="J10" s="83">
        <f>'17% Управителю (З ПДВ)'!J14/1.2/1.17</f>
        <v>9.5000000000000001E-2</v>
      </c>
      <c r="K10" s="83">
        <f>'17% Управителю (З ПДВ)'!K14/1.2/1.17</f>
        <v>0.16500000000000001</v>
      </c>
      <c r="L10" s="83">
        <f>'17% Управителю (З ПДВ)'!L14/1.2/1.17</f>
        <v>0.219</v>
      </c>
      <c r="M10" s="83">
        <f>'17% Управителю (З ПДВ)'!M14/1.2/1.17</f>
        <v>0.189</v>
      </c>
      <c r="N10" s="83">
        <f>'17% Управителю (З ПДВ)'!N14/1.2/1.17</f>
        <v>0.19700000000000001</v>
      </c>
      <c r="O10" s="83">
        <f>'17% Управителю (З ПДВ)'!O14/1.2/1.17</f>
        <v>9.7000000000000003E-2</v>
      </c>
      <c r="P10" s="83">
        <f>'17% Управителю (З ПДВ)'!P14/1.2/1.17</f>
        <v>0.14000000000000001</v>
      </c>
      <c r="Q10" s="83">
        <f>'17% Управителю (З ПДВ)'!Q14/1.2/1.17</f>
        <v>0.16</v>
      </c>
      <c r="R10" s="83">
        <f>'17% Управителю (З ПДВ)'!R14/1.2/1.17</f>
        <v>0.318</v>
      </c>
      <c r="S10" s="83">
        <f>'17% Управителю (З ПДВ)'!S14/1.2/1.17</f>
        <v>0.13500000000000001</v>
      </c>
      <c r="T10" s="83">
        <f>'17% Управителю (З ПДВ)'!T14/1.2/1.17</f>
        <v>0.17399999999999999</v>
      </c>
      <c r="U10" s="83">
        <f>'17% Управителю (З ПДВ)'!U14/1.2/1.17</f>
        <v>0.124</v>
      </c>
      <c r="V10" s="83">
        <f>'17% Управителю (З ПДВ)'!V14/1.2/1.17</f>
        <v>0.23599999999999999</v>
      </c>
      <c r="W10" s="83">
        <f>'17% Управителю (З ПДВ)'!W14/1.2/1.17</f>
        <v>0.26400000000000001</v>
      </c>
      <c r="X10" s="83">
        <f>'17% Управителю (З ПДВ)'!X14/1.2/1.17</f>
        <v>0.245</v>
      </c>
      <c r="Y10" s="83">
        <f>'17% Управителю (З ПДВ)'!Y14/1.2/1.17</f>
        <v>0.29199999999999998</v>
      </c>
      <c r="Z10" s="83">
        <f>'17% Управителю (З ПДВ)'!Z14/1.2/1.17</f>
        <v>0.28199999999999997</v>
      </c>
      <c r="AA10" s="83">
        <f>'17% Управителю (З ПДВ)'!AA14/1.2/1.17</f>
        <v>0.254</v>
      </c>
      <c r="AB10" s="83">
        <f>'17% Управителю (З ПДВ)'!AB14/1.2/1.17</f>
        <v>0.27600000000000002</v>
      </c>
      <c r="AC10" s="83">
        <f>'17% Управителю (З ПДВ)'!AC14/1.2/1.17</f>
        <v>0.29699999999999999</v>
      </c>
      <c r="AD10" s="83">
        <f>'17% Управителю (З ПДВ)'!AD14/1.2/1.17</f>
        <v>0</v>
      </c>
      <c r="AE10" s="83">
        <f>'17% Управителю (З ПДВ)'!AE14/1.2/1.17</f>
        <v>0</v>
      </c>
      <c r="AF10" s="83">
        <f>'17% Управителю (З ПДВ)'!AF14/1.2/1.17</f>
        <v>0</v>
      </c>
      <c r="AG10" s="83">
        <f>'17% Управителю (З ПДВ)'!AG14/1.2/1.17</f>
        <v>0</v>
      </c>
      <c r="AH10" s="83">
        <f>'17% Управителю (З ПДВ)'!AH14/1.2/1.17</f>
        <v>0.17199999999999999</v>
      </c>
      <c r="AI10" s="83">
        <f>'17% Управителю (З ПДВ)'!AI14/1.2/1.17</f>
        <v>9.5000000000000001E-2</v>
      </c>
      <c r="AJ10" s="83">
        <f>'17% Управителю (З ПДВ)'!AJ14/1.2/1.17</f>
        <v>7.6999999999999999E-2</v>
      </c>
      <c r="AK10" s="83">
        <f>'17% Управителю (З ПДВ)'!AK14/1.2/1.17</f>
        <v>0.15</v>
      </c>
      <c r="AL10" s="83">
        <f>'17% Управителю (З ПДВ)'!AL14/1.2/1.17</f>
        <v>0.16200000000000001</v>
      </c>
      <c r="AM10" s="83">
        <f>'17% Управителю (З ПДВ)'!AM14/1.2/1.17</f>
        <v>0</v>
      </c>
      <c r="AN10" s="83">
        <f>'17% Управителю (З ПДВ)'!AN14/1.2/1.17</f>
        <v>0</v>
      </c>
      <c r="AO10" s="83">
        <f>'17% Управителю (З ПДВ)'!AO14/1.2/1.17</f>
        <v>6.4000000000000001E-2</v>
      </c>
      <c r="AP10" s="83">
        <f>'17% Управителю (З ПДВ)'!AP14/1.2/1.17</f>
        <v>0</v>
      </c>
      <c r="AQ10" s="83">
        <f>'17% Управителю (З ПДВ)'!AQ14/1.2/1.17</f>
        <v>0</v>
      </c>
      <c r="AR10" s="83">
        <f>'17% Управителю (З ПДВ)'!AR14/1.2/1.17</f>
        <v>0</v>
      </c>
      <c r="AS10" s="83">
        <f>'17% Управителю (З ПДВ)'!AS14/1.2/1.17</f>
        <v>0.19700000000000001</v>
      </c>
      <c r="AT10" s="83">
        <f>'17% Управителю (З ПДВ)'!AT14/1.2/1.17</f>
        <v>0.214</v>
      </c>
      <c r="AU10" s="83">
        <f>'17% Управителю (З ПДВ)'!AU14/1.2/1.17</f>
        <v>0.23699999999999999</v>
      </c>
      <c r="AV10" s="83">
        <f>'17% Управителю (З ПДВ)'!AV14/1.2/1.17</f>
        <v>0.219</v>
      </c>
      <c r="AW10" s="83">
        <f>'17% Управителю (З ПДВ)'!AW14/1.2/1.17</f>
        <v>0.30299999999999999</v>
      </c>
      <c r="AX10" s="83">
        <f>'17% Управителю (З ПДВ)'!AX14/1.2/1.17</f>
        <v>0.29099999999999998</v>
      </c>
      <c r="AY10" s="83">
        <f>'17% Управителю (З ПДВ)'!AY14/1.2/1.17</f>
        <v>0.11</v>
      </c>
      <c r="AZ10" s="83">
        <f>'17% Управителю (З ПДВ)'!AZ14/1.2/1.17</f>
        <v>0.152</v>
      </c>
      <c r="BA10" s="83">
        <f>'17% Управителю (З ПДВ)'!BA14/1.2/1.17</f>
        <v>0.184</v>
      </c>
      <c r="BB10" s="83">
        <f>'17% Управителю (З ПДВ)'!BB14/1.2/1.17</f>
        <v>0.47299999999999998</v>
      </c>
      <c r="BC10" s="83">
        <f>'17% Управителю (З ПДВ)'!BC14/1.2/1.17</f>
        <v>0.41499999999999998</v>
      </c>
      <c r="BD10" s="83">
        <f>'17% Управителю (З ПДВ)'!BD14/1.2/1.17</f>
        <v>0.19500000000000001</v>
      </c>
      <c r="BE10" s="83">
        <f>'17% Управителю (З ПДВ)'!BE14/1.2/1.17</f>
        <v>0.16</v>
      </c>
      <c r="BF10" s="83">
        <f>'17% Управителю (З ПДВ)'!BF14/1.2/1.17</f>
        <v>0.22900000000000001</v>
      </c>
      <c r="BG10" s="83">
        <f>'17% Управителю (З ПДВ)'!BG14/1.2/1.17</f>
        <v>0.17699999999999999</v>
      </c>
      <c r="BH10" s="83">
        <f>'17% Управителю (З ПДВ)'!BH14/1.2/1.17</f>
        <v>0.155</v>
      </c>
      <c r="BI10" s="83">
        <f>'17% Управителю (З ПДВ)'!BI14/1.2/1.17</f>
        <v>0.17399999999999999</v>
      </c>
      <c r="BJ10" s="83">
        <f>'17% Управителю (З ПДВ)'!BJ14/1.2/1.17</f>
        <v>0.19700000000000001</v>
      </c>
      <c r="BK10" s="83">
        <f>'17% Управителю (З ПДВ)'!BK14/1.2/1.17</f>
        <v>0.22700000000000001</v>
      </c>
      <c r="BL10" s="83">
        <f>'17% Управителю (З ПДВ)'!BL14/1.2/1.17</f>
        <v>0.114</v>
      </c>
      <c r="BM10" s="83">
        <f>'17% Управителю (З ПДВ)'!BM14/1.2/1.17</f>
        <v>0.29399999999999998</v>
      </c>
      <c r="BN10" s="83">
        <f>'17% Управителю (З ПДВ)'!BN14/1.2/1.17</f>
        <v>8.5000000000000006E-2</v>
      </c>
      <c r="BO10" s="83">
        <f>'17% Управителю (З ПДВ)'!BO14/1.2/1.17</f>
        <v>6.5000000000000002E-2</v>
      </c>
      <c r="BP10" s="83">
        <f>'17% Управителю (З ПДВ)'!BP14/1.2/1.17</f>
        <v>0.17</v>
      </c>
      <c r="BQ10" s="83">
        <f>'17% Управителю (З ПДВ)'!BQ14/1.2/1.17</f>
        <v>0.17899999999999999</v>
      </c>
      <c r="BR10" s="83">
        <f>'17% Управителю (З ПДВ)'!BR14/1.2/1.17</f>
        <v>0.109</v>
      </c>
      <c r="BS10" s="83">
        <f>'17% Управителю (З ПДВ)'!BS14/1.2/1.17</f>
        <v>0.152</v>
      </c>
      <c r="BT10" s="83">
        <f>'17% Управителю (З ПДВ)'!BT14/1.2/1.17</f>
        <v>0.17499999999999999</v>
      </c>
      <c r="BU10" s="83">
        <f>'17% Управителю (З ПДВ)'!BU14/1.2/1.17</f>
        <v>0.107</v>
      </c>
      <c r="BV10" s="83">
        <f>'17% Управителю (З ПДВ)'!BV14/1.2/1.17</f>
        <v>0.127</v>
      </c>
      <c r="BW10" s="83">
        <f>'17% Управителю (З ПДВ)'!BW14/1.2/1.17</f>
        <v>0.11</v>
      </c>
      <c r="BX10" s="83">
        <f>'17% Управителю (З ПДВ)'!BX14/1.2/1.17</f>
        <v>0.29099999999999998</v>
      </c>
      <c r="BY10" s="83">
        <f>'17% Управителю (З ПДВ)'!BY14/1.2/1.17</f>
        <v>0.28399999999999997</v>
      </c>
      <c r="BZ10" s="83">
        <f>'17% Управителю (З ПДВ)'!BZ14/1.2/1.17</f>
        <v>0.26500000000000001</v>
      </c>
      <c r="CA10" s="83">
        <f>'17% Управителю (З ПДВ)'!CA14/1.2/1.17</f>
        <v>0.222</v>
      </c>
      <c r="CB10" s="83">
        <f>'17% Управителю (З ПДВ)'!CB14/1.2/1.17</f>
        <v>0.23</v>
      </c>
      <c r="CC10" s="83">
        <f>'17% Управителю (З ПДВ)'!CC14/1.2/1.17</f>
        <v>0.24399999999999999</v>
      </c>
      <c r="CD10" s="83">
        <f>'17% Управителю (З ПДВ)'!CD14/1.2/1.17</f>
        <v>0.219</v>
      </c>
      <c r="CE10" s="83">
        <f>'17% Управителю (З ПДВ)'!CE14/1.2/1.17</f>
        <v>0</v>
      </c>
      <c r="CF10" s="83">
        <f>'17% Управителю (З ПДВ)'!CF14/1.2/1.17</f>
        <v>0.16700000000000001</v>
      </c>
      <c r="CG10" s="83">
        <f>'17% Управителю (З ПДВ)'!CG14/1.2/1.17</f>
        <v>0.34200000000000003</v>
      </c>
      <c r="CH10" s="83">
        <f>'17% Управителю (З ПДВ)'!CH14/1.2/1.17</f>
        <v>0.34200000000000003</v>
      </c>
      <c r="CI10" s="83">
        <f>'17% Управителю (З ПДВ)'!CI14/1.2/1.17</f>
        <v>0.20399999999999999</v>
      </c>
      <c r="CJ10" s="83">
        <f>'17% Управителю (З ПДВ)'!CJ14/1.2/1.17</f>
        <v>0.20499999999999999</v>
      </c>
      <c r="CK10" s="83">
        <f>'17% Управителю (З ПДВ)'!CK14/1.2/1.17</f>
        <v>0.17899999999999999</v>
      </c>
      <c r="CL10" s="83">
        <f>'17% Управителю (З ПДВ)'!CL14/1.2/1.17</f>
        <v>0.15</v>
      </c>
      <c r="CM10" s="83">
        <f>'17% Управителю (З ПДВ)'!CM14/1.2/1.17</f>
        <v>0.20699999999999999</v>
      </c>
      <c r="CN10" s="83">
        <f>'17% Управителю (З ПДВ)'!CN14/1.2/1.17</f>
        <v>0</v>
      </c>
      <c r="CO10" s="83">
        <f>'17% Управителю (З ПДВ)'!CO14/1.2/1.17</f>
        <v>0</v>
      </c>
      <c r="CP10" s="83">
        <f>'17% Управителю (З ПДВ)'!CP14/1.2/1.17</f>
        <v>0</v>
      </c>
      <c r="CQ10" s="83">
        <f>'17% Управителю (З ПДВ)'!CQ14/1.2/1.17</f>
        <v>0</v>
      </c>
      <c r="CR10" s="83">
        <f>'17% Управителю (З ПДВ)'!CR14/1.2/1.17</f>
        <v>0</v>
      </c>
      <c r="CS10" s="83">
        <f>'17% Управителю (З ПДВ)'!CS14/1.2/1.17</f>
        <v>0</v>
      </c>
      <c r="CT10" s="84">
        <f>'17% Управителю (З ПДВ)'!CT14/1.2/1.17</f>
        <v>0</v>
      </c>
    </row>
    <row r="11" spans="1:98" ht="18.75">
      <c r="A11" s="80" t="s">
        <v>11</v>
      </c>
      <c r="B11" s="85" t="s">
        <v>149</v>
      </c>
      <c r="C11" s="82"/>
      <c r="D11" s="83">
        <f>'17% Управителю (З ПДВ)'!D15/1.2/1.17</f>
        <v>0.72699999999999998</v>
      </c>
      <c r="E11" s="83">
        <f>'17% Управителю (З ПДВ)'!E15/1.2/1.17</f>
        <v>0.34300000000000003</v>
      </c>
      <c r="F11" s="83">
        <f>'17% Управителю (З ПДВ)'!F15/1.2/1.17</f>
        <v>0.29899999999999999</v>
      </c>
      <c r="G11" s="83">
        <f>'17% Управителю (З ПДВ)'!G15/1.2/1.17</f>
        <v>0.35</v>
      </c>
      <c r="H11" s="83">
        <f>'17% Управителю (З ПДВ)'!H15/1.2/1.17</f>
        <v>0.56200000000000006</v>
      </c>
      <c r="I11" s="83">
        <f>'17% Управителю (З ПДВ)'!I15/1.2/1.17</f>
        <v>0.41499999999999998</v>
      </c>
      <c r="J11" s="83">
        <f>'17% Управителю (З ПДВ)'!J15/1.2/1.17</f>
        <v>0.80100000000000005</v>
      </c>
      <c r="K11" s="83">
        <f>'17% Управителю (З ПДВ)'!K15/1.2/1.17</f>
        <v>0.35699999999999998</v>
      </c>
      <c r="L11" s="83">
        <f>'17% Управителю (З ПДВ)'!L15/1.2/1.17</f>
        <v>0.35899999999999999</v>
      </c>
      <c r="M11" s="83">
        <f>'17% Управителю (З ПДВ)'!M15/1.2/1.17</f>
        <v>0.33</v>
      </c>
      <c r="N11" s="83">
        <f>'17% Управителю (З ПДВ)'!N15/1.2/1.17</f>
        <v>0.379</v>
      </c>
      <c r="O11" s="83">
        <f>'17% Управителю (З ПДВ)'!O15/1.2/1.17</f>
        <v>0.78700000000000003</v>
      </c>
      <c r="P11" s="83">
        <f>'17% Управителю (З ПДВ)'!P15/1.2/1.17</f>
        <v>0.40600000000000003</v>
      </c>
      <c r="Q11" s="83">
        <f>'17% Управителю (З ПДВ)'!Q15/1.2/1.17</f>
        <v>0.81799999999999995</v>
      </c>
      <c r="R11" s="83">
        <f>'17% Управителю (З ПДВ)'!R15/1.2/1.17</f>
        <v>0.36499999999999999</v>
      </c>
      <c r="S11" s="83">
        <f>'17% Управителю (З ПДВ)'!S15/1.2/1.17</f>
        <v>0.47199999999999998</v>
      </c>
      <c r="T11" s="83">
        <f>'17% Управителю (З ПДВ)'!T15/1.2/1.17</f>
        <v>0.44500000000000001</v>
      </c>
      <c r="U11" s="83">
        <f>'17% Управителю (З ПДВ)'!U15/1.2/1.17</f>
        <v>0.48899999999999999</v>
      </c>
      <c r="V11" s="83">
        <f>'17% Управителю (З ПДВ)'!V15/1.2/1.17</f>
        <v>0.309</v>
      </c>
      <c r="W11" s="83">
        <f>'17% Управителю (З ПДВ)'!W15/1.2/1.17</f>
        <v>0.33300000000000002</v>
      </c>
      <c r="X11" s="83">
        <f>'17% Управителю (З ПДВ)'!X15/1.2/1.17</f>
        <v>0.34300000000000003</v>
      </c>
      <c r="Y11" s="83">
        <f>'17% Управителю (З ПДВ)'!Y15/1.2/1.17</f>
        <v>0.33</v>
      </c>
      <c r="Z11" s="83">
        <f>'17% Управителю (З ПДВ)'!Z15/1.2/1.17</f>
        <v>0.35199999999999998</v>
      </c>
      <c r="AA11" s="83">
        <f>'17% Управителю (З ПДВ)'!AA15/1.2/1.17</f>
        <v>0.375</v>
      </c>
      <c r="AB11" s="83">
        <f>'17% Управителю (З ПДВ)'!AB15/1.2/1.17</f>
        <v>0.36199999999999999</v>
      </c>
      <c r="AC11" s="83">
        <f>'17% Управителю (З ПДВ)'!AC15/1.2/1.17</f>
        <v>0.373</v>
      </c>
      <c r="AD11" s="83">
        <f>'17% Управителю (З ПДВ)'!AD15/1.2/1.17</f>
        <v>0.33300000000000002</v>
      </c>
      <c r="AE11" s="83">
        <f>'17% Управителю (З ПДВ)'!AE15/1.2/1.17</f>
        <v>0.44600000000000001</v>
      </c>
      <c r="AF11" s="83">
        <f>'17% Управителю (З ПДВ)'!AF15/1.2/1.17</f>
        <v>0.317</v>
      </c>
      <c r="AG11" s="83">
        <f>'17% Управителю (З ПДВ)'!AG15/1.2/1.17</f>
        <v>0.39</v>
      </c>
      <c r="AH11" s="83">
        <f>'17% Управителю (З ПДВ)'!AH15/1.2/1.17</f>
        <v>0.75900000000000001</v>
      </c>
      <c r="AI11" s="83">
        <f>'17% Управителю (З ПДВ)'!AI15/1.2/1.17</f>
        <v>0.66800000000000004</v>
      </c>
      <c r="AJ11" s="83">
        <f>'17% Управителю (З ПДВ)'!AJ15/1.2/1.17</f>
        <v>0.71499999999999997</v>
      </c>
      <c r="AK11" s="83">
        <f>'17% Управителю (З ПДВ)'!AK15/1.2/1.17</f>
        <v>0.68700000000000006</v>
      </c>
      <c r="AL11" s="83">
        <f>'17% Управителю (З ПДВ)'!AL15/1.2/1.17</f>
        <v>0.84499999999999997</v>
      </c>
      <c r="AM11" s="83">
        <f>'17% Управителю (З ПДВ)'!AM15/1.2/1.17</f>
        <v>0.499</v>
      </c>
      <c r="AN11" s="83">
        <f>'17% Управителю (З ПДВ)'!AN15/1.2/1.17</f>
        <v>0.65500000000000003</v>
      </c>
      <c r="AO11" s="83">
        <f>'17% Управителю (З ПДВ)'!AO15/1.2/1.17</f>
        <v>0.58199999999999996</v>
      </c>
      <c r="AP11" s="83">
        <f>'17% Управителю (З ПДВ)'!AP15/1.2/1.17</f>
        <v>0.34699999999999998</v>
      </c>
      <c r="AQ11" s="83">
        <f>'17% Управителю (З ПДВ)'!AQ15/1.2/1.17</f>
        <v>0.23699999999999999</v>
      </c>
      <c r="AR11" s="83">
        <f>'17% Управителю (З ПДВ)'!AR15/1.2/1.17</f>
        <v>0.49399999999999999</v>
      </c>
      <c r="AS11" s="83">
        <f>'17% Управителю (З ПДВ)'!AS15/1.2/1.17</f>
        <v>0.436</v>
      </c>
      <c r="AT11" s="83">
        <f>'17% Управителю (З ПДВ)'!AT15/1.2/1.17</f>
        <v>0.24299999999999999</v>
      </c>
      <c r="AU11" s="83">
        <f>'17% Управителю (З ПДВ)'!AU15/1.2/1.17</f>
        <v>0.24299999999999999</v>
      </c>
      <c r="AV11" s="83">
        <f>'17% Управителю (З ПДВ)'!AV15/1.2/1.17</f>
        <v>0.24299999999999999</v>
      </c>
      <c r="AW11" s="83">
        <f>'17% Управителю (З ПДВ)'!AW15/1.2/1.17</f>
        <v>0.49199999999999999</v>
      </c>
      <c r="AX11" s="83">
        <f>'17% Управителю (З ПДВ)'!AX15/1.2/1.17</f>
        <v>0.35899999999999999</v>
      </c>
      <c r="AY11" s="83">
        <f>'17% Управителю (З ПДВ)'!AY15/1.2/1.17</f>
        <v>0.92400000000000004</v>
      </c>
      <c r="AZ11" s="83">
        <f>'17% Управителю (З ПДВ)'!AZ15/1.2/1.17</f>
        <v>0.39600000000000002</v>
      </c>
      <c r="BA11" s="83">
        <f>'17% Управителю (З ПДВ)'!BA15/1.2/1.17</f>
        <v>0.442</v>
      </c>
      <c r="BB11" s="83">
        <f>'17% Управителю (З ПДВ)'!BB15/1.2/1.17</f>
        <v>0.28799999999999998</v>
      </c>
      <c r="BC11" s="83">
        <f>'17% Управителю (З ПДВ)'!BC15/1.2/1.17</f>
        <v>0.41799999999999998</v>
      </c>
      <c r="BD11" s="83">
        <f>'17% Управителю (З ПДВ)'!BD15/1.2/1.17</f>
        <v>0.34699999999999998</v>
      </c>
      <c r="BE11" s="83">
        <f>'17% Управителю (З ПДВ)'!BE15/1.2/1.17</f>
        <v>0.43099999999999999</v>
      </c>
      <c r="BF11" s="83">
        <f>'17% Управителю (З ПДВ)'!BF15/1.2/1.17</f>
        <v>0.34</v>
      </c>
      <c r="BG11" s="83">
        <f>'17% Управителю (З ПДВ)'!BG15/1.2/1.17</f>
        <v>0.38700000000000001</v>
      </c>
      <c r="BH11" s="83">
        <f>'17% Управителю (З ПДВ)'!BH15/1.2/1.17</f>
        <v>0.55600000000000005</v>
      </c>
      <c r="BI11" s="83">
        <f>'17% Управителю (З ПДВ)'!BI15/1.2/1.17</f>
        <v>0.38400000000000001</v>
      </c>
      <c r="BJ11" s="83">
        <f>'17% Управителю (З ПДВ)'!BJ15/1.2/1.17</f>
        <v>0.39500000000000002</v>
      </c>
      <c r="BK11" s="83">
        <f>'17% Управителю (З ПДВ)'!BK15/1.2/1.17</f>
        <v>0.45300000000000001</v>
      </c>
      <c r="BL11" s="83">
        <f>'17% Управителю (З ПДВ)'!BL15/1.2/1.17</f>
        <v>0.49099999999999999</v>
      </c>
      <c r="BM11" s="83">
        <f>'17% Управителю (З ПДВ)'!BM15/1.2/1.17</f>
        <v>0.32500000000000001</v>
      </c>
      <c r="BN11" s="83">
        <f>'17% Управителю (З ПДВ)'!BN15/1.2/1.17</f>
        <v>0.35299999999999998</v>
      </c>
      <c r="BO11" s="83">
        <f>'17% Управителю (З ПДВ)'!BO15/1.2/1.17</f>
        <v>0.52400000000000002</v>
      </c>
      <c r="BP11" s="83">
        <f>'17% Управителю (З ПДВ)'!BP15/1.2/1.17</f>
        <v>0.32100000000000001</v>
      </c>
      <c r="BQ11" s="83">
        <f>'17% Управителю (З ПДВ)'!BQ15/1.2/1.17</f>
        <v>0.4</v>
      </c>
      <c r="BR11" s="83">
        <f>'17% Управителю (З ПДВ)'!BR15/1.2/1.17</f>
        <v>0.74</v>
      </c>
      <c r="BS11" s="83">
        <f>'17% Управителю (З ПДВ)'!BS15/1.2/1.17</f>
        <v>0.40300000000000002</v>
      </c>
      <c r="BT11" s="83">
        <f>'17% Управителю (З ПДВ)'!BT15/1.2/1.17</f>
        <v>0.38700000000000001</v>
      </c>
      <c r="BU11" s="83">
        <f>'17% Управителю (З ПДВ)'!BU15/1.2/1.17</f>
        <v>0.33700000000000002</v>
      </c>
      <c r="BV11" s="83">
        <f>'17% Управителю (З ПДВ)'!BV15/1.2/1.17</f>
        <v>0.34799999999999998</v>
      </c>
      <c r="BW11" s="83">
        <f>'17% Управителю (З ПДВ)'!BW15/1.2/1.17</f>
        <v>0.90500000000000003</v>
      </c>
      <c r="BX11" s="83">
        <f>'17% Управителю (З ПДВ)'!BX15/1.2/1.17</f>
        <v>0.34499999999999997</v>
      </c>
      <c r="BY11" s="83">
        <f>'17% Управителю (З ПДВ)'!BY15/1.2/1.17</f>
        <v>0.38700000000000001</v>
      </c>
      <c r="BZ11" s="83">
        <f>'17% Управителю (З ПДВ)'!BZ15/1.2/1.17</f>
        <v>0.4</v>
      </c>
      <c r="CA11" s="83">
        <f>'17% Управителю (З ПДВ)'!CA15/1.2/1.17</f>
        <v>0.377</v>
      </c>
      <c r="CB11" s="83">
        <f>'17% Управителю (З ПДВ)'!CB15/1.2/1.17</f>
        <v>0.309</v>
      </c>
      <c r="CC11" s="83">
        <f>'17% Управителю (З ПДВ)'!CC15/1.2/1.17</f>
        <v>0.628</v>
      </c>
      <c r="CD11" s="83">
        <f>'17% Управителю (З ПДВ)'!CD15/1.2/1.17</f>
        <v>0.57299999999999995</v>
      </c>
      <c r="CE11" s="83">
        <f>'17% Управителю (З ПДВ)'!CE15/1.2/1.17</f>
        <v>0.55200000000000005</v>
      </c>
      <c r="CF11" s="83">
        <f>'17% Управителю (З ПДВ)'!CF15/1.2/1.17</f>
        <v>0.41599999999999998</v>
      </c>
      <c r="CG11" s="83">
        <f>'17% Управителю (З ПДВ)'!CG15/1.2/1.17</f>
        <v>0.54400000000000004</v>
      </c>
      <c r="CH11" s="83">
        <f>'17% Управителю (З ПДВ)'!CH15/1.2/1.17</f>
        <v>0.54200000000000004</v>
      </c>
      <c r="CI11" s="83">
        <f>'17% Управителю (З ПДВ)'!CI15/1.2/1.17</f>
        <v>0.55300000000000005</v>
      </c>
      <c r="CJ11" s="83">
        <f>'17% Управителю (З ПДВ)'!CJ15/1.2/1.17</f>
        <v>0.435</v>
      </c>
      <c r="CK11" s="83">
        <f>'17% Управителю (З ПДВ)'!CK15/1.2/1.17</f>
        <v>0.34699999999999998</v>
      </c>
      <c r="CL11" s="83">
        <f>'17% Управителю (З ПДВ)'!CL15/1.2/1.17</f>
        <v>0.42399999999999999</v>
      </c>
      <c r="CM11" s="83">
        <f>'17% Управителю (З ПДВ)'!CM15/1.2/1.17</f>
        <v>0.377</v>
      </c>
      <c r="CN11" s="83">
        <f>'17% Управителю (З ПДВ)'!CN15/1.2/1.17</f>
        <v>0.42</v>
      </c>
      <c r="CO11" s="83">
        <f>'17% Управителю (З ПДВ)'!CO15/1.2/1.17</f>
        <v>0.32700000000000001</v>
      </c>
      <c r="CP11" s="83">
        <f>'17% Управителю (З ПДВ)'!CP15/1.2/1.17</f>
        <v>0.53400000000000003</v>
      </c>
      <c r="CQ11" s="83">
        <f>'17% Управителю (З ПДВ)'!CQ15/1.2/1.17</f>
        <v>0.54800000000000004</v>
      </c>
      <c r="CR11" s="83">
        <f>'17% Управителю (З ПДВ)'!CR15/1.2/1.17</f>
        <v>0.65600000000000003</v>
      </c>
      <c r="CS11" s="83">
        <f>'17% Управителю (З ПДВ)'!CS15/1.2/1.17</f>
        <v>0.38100000000000001</v>
      </c>
      <c r="CT11" s="84">
        <f>'17% Управителю (З ПДВ)'!CT15/1.2/1.17</f>
        <v>0.57299999999999995</v>
      </c>
    </row>
    <row r="12" spans="1:98" ht="18.75">
      <c r="A12" s="80" t="s">
        <v>13</v>
      </c>
      <c r="B12" s="81" t="s">
        <v>14</v>
      </c>
      <c r="C12" s="82"/>
      <c r="D12" s="83">
        <f>'17% Управителю (З ПДВ)'!D16/1.2/1.17</f>
        <v>1.0999999999999999E-2</v>
      </c>
      <c r="E12" s="83">
        <f>'17% Управителю (З ПДВ)'!E16/1.2/1.17</f>
        <v>8.9999999999999993E-3</v>
      </c>
      <c r="F12" s="83">
        <f>'17% Управителю (З ПДВ)'!F16/1.2/1.17</f>
        <v>7.0000000000000001E-3</v>
      </c>
      <c r="G12" s="83">
        <f>'17% Управителю (З ПДВ)'!G16/1.2/1.17</f>
        <v>1.6E-2</v>
      </c>
      <c r="H12" s="83">
        <f>'17% Управителю (З ПДВ)'!H16/1.2/1.17</f>
        <v>1.0999999999999999E-2</v>
      </c>
      <c r="I12" s="83">
        <f>'17% Управителю (З ПДВ)'!I16/1.2/1.17</f>
        <v>1.6E-2</v>
      </c>
      <c r="J12" s="83">
        <f>'17% Управителю (З ПДВ)'!J16/1.2/1.17</f>
        <v>1.7999999999999999E-2</v>
      </c>
      <c r="K12" s="83">
        <f>'17% Управителю (З ПДВ)'!K16/1.2/1.17</f>
        <v>1.6E-2</v>
      </c>
      <c r="L12" s="83">
        <f>'17% Управителю (З ПДВ)'!L16/1.2/1.17</f>
        <v>0.02</v>
      </c>
      <c r="M12" s="83">
        <f>'17% Управителю (З ПДВ)'!M16/1.2/1.17</f>
        <v>1.9E-2</v>
      </c>
      <c r="N12" s="83">
        <f>'17% Управителю (З ПДВ)'!N16/1.2/1.17</f>
        <v>1.4E-2</v>
      </c>
      <c r="O12" s="83">
        <f>'17% Управителю (З ПДВ)'!O16/1.2/1.17</f>
        <v>1.2E-2</v>
      </c>
      <c r="P12" s="83">
        <f>'17% Управителю (З ПДВ)'!P16/1.2/1.17</f>
        <v>1.6E-2</v>
      </c>
      <c r="Q12" s="83">
        <f>'17% Управителю (З ПДВ)'!Q16/1.2/1.17</f>
        <v>1.9E-2</v>
      </c>
      <c r="R12" s="83">
        <f>'17% Управителю (З ПДВ)'!R16/1.2/1.17</f>
        <v>1.6E-2</v>
      </c>
      <c r="S12" s="83">
        <f>'17% Управителю (З ПДВ)'!S16/1.2/1.17</f>
        <v>2.5999999999999999E-2</v>
      </c>
      <c r="T12" s="83">
        <f>'17% Управителю (З ПДВ)'!T16/1.2/1.17</f>
        <v>1.7999999999999999E-2</v>
      </c>
      <c r="U12" s="83">
        <f>'17% Управителю (З ПДВ)'!U16/1.2/1.17</f>
        <v>1.0999999999999999E-2</v>
      </c>
      <c r="V12" s="83">
        <f>'17% Управителю (З ПДВ)'!V16/1.2/1.17</f>
        <v>1.4E-2</v>
      </c>
      <c r="W12" s="83">
        <f>'17% Управителю (З ПДВ)'!W16/1.2/1.17</f>
        <v>1.2E-2</v>
      </c>
      <c r="X12" s="83">
        <f>'17% Управителю (З ПДВ)'!X16/1.2/1.17</f>
        <v>1.4E-2</v>
      </c>
      <c r="Y12" s="83">
        <f>'17% Управителю (З ПДВ)'!Y16/1.2/1.17</f>
        <v>1.2E-2</v>
      </c>
      <c r="Z12" s="83">
        <f>'17% Управителю (З ПДВ)'!Z16/1.2/1.17</f>
        <v>1.4E-2</v>
      </c>
      <c r="AA12" s="83">
        <f>'17% Управителю (З ПДВ)'!AA16/1.2/1.17</f>
        <v>1.6E-2</v>
      </c>
      <c r="AB12" s="83">
        <f>'17% Управителю (З ПДВ)'!AB16/1.2/1.17</f>
        <v>1.4E-2</v>
      </c>
      <c r="AC12" s="83">
        <f>'17% Управителю (З ПДВ)'!AC16/1.2/1.17</f>
        <v>1.2E-2</v>
      </c>
      <c r="AD12" s="83">
        <f>'17% Управителю (З ПДВ)'!AD16/1.2/1.17</f>
        <v>0</v>
      </c>
      <c r="AE12" s="83">
        <f>'17% Управителю (З ПДВ)'!AE16/1.2/1.17</f>
        <v>0</v>
      </c>
      <c r="AF12" s="83">
        <f>'17% Управителю (З ПДВ)'!AF16/1.2/1.17</f>
        <v>0</v>
      </c>
      <c r="AG12" s="83">
        <f>'17% Управителю (З ПДВ)'!AG16/1.2/1.17</f>
        <v>0</v>
      </c>
      <c r="AH12" s="83">
        <f>'17% Управителю (З ПДВ)'!AH16/1.2/1.17</f>
        <v>0</v>
      </c>
      <c r="AI12" s="83">
        <f>'17% Управителю (З ПДВ)'!AI16/1.2/1.17</f>
        <v>1E-3</v>
      </c>
      <c r="AJ12" s="83">
        <f>'17% Управителю (З ПДВ)'!AJ16/1.2/1.17</f>
        <v>1E-3</v>
      </c>
      <c r="AK12" s="83">
        <f>'17% Управителю (З ПДВ)'!AK16/1.2/1.17</f>
        <v>1.2E-2</v>
      </c>
      <c r="AL12" s="83">
        <f>'17% Управителю (З ПДВ)'!AL16/1.2/1.17</f>
        <v>7.0000000000000001E-3</v>
      </c>
      <c r="AM12" s="83">
        <f>'17% Управителю (З ПДВ)'!AM16/1.2/1.17</f>
        <v>0</v>
      </c>
      <c r="AN12" s="83">
        <f>'17% Управителю (З ПДВ)'!AN16/1.2/1.17</f>
        <v>4.0000000000000001E-3</v>
      </c>
      <c r="AO12" s="83">
        <f>'17% Управителю (З ПДВ)'!AO16/1.2/1.17</f>
        <v>2.1000000000000001E-2</v>
      </c>
      <c r="AP12" s="83">
        <f>'17% Управителю (З ПДВ)'!AP16/1.2/1.17</f>
        <v>0</v>
      </c>
      <c r="AQ12" s="83">
        <f>'17% Управителю (З ПДВ)'!AQ16/1.2/1.17</f>
        <v>0</v>
      </c>
      <c r="AR12" s="83">
        <f>'17% Управителю (З ПДВ)'!AR16/1.2/1.17</f>
        <v>0</v>
      </c>
      <c r="AS12" s="83">
        <f>'17% Управителю (З ПДВ)'!AS16/1.2/1.17</f>
        <v>8.9999999999999993E-3</v>
      </c>
      <c r="AT12" s="83">
        <f>'17% Управителю (З ПДВ)'!AT16/1.2/1.17</f>
        <v>6.0000000000000001E-3</v>
      </c>
      <c r="AU12" s="83">
        <f>'17% Управителю (З ПДВ)'!AU16/1.2/1.17</f>
        <v>6.0000000000000001E-3</v>
      </c>
      <c r="AV12" s="83">
        <f>'17% Управителю (З ПДВ)'!AV16/1.2/1.17</f>
        <v>5.0000000000000001E-3</v>
      </c>
      <c r="AW12" s="83">
        <f>'17% Управителю (З ПДВ)'!AW16/1.2/1.17</f>
        <v>1.0999999999999999E-2</v>
      </c>
      <c r="AX12" s="83">
        <f>'17% Управителю (З ПДВ)'!AX16/1.2/1.17</f>
        <v>1.6E-2</v>
      </c>
      <c r="AY12" s="83">
        <f>'17% Управителю (З ПДВ)'!AY16/1.2/1.17</f>
        <v>0</v>
      </c>
      <c r="AZ12" s="83">
        <f>'17% Управителю (З ПДВ)'!AZ16/1.2/1.17</f>
        <v>7.0000000000000001E-3</v>
      </c>
      <c r="BA12" s="83">
        <f>'17% Управителю (З ПДВ)'!BA16/1.2/1.17</f>
        <v>0</v>
      </c>
      <c r="BB12" s="83">
        <f>'17% Управителю (З ПДВ)'!BB16/1.2/1.17</f>
        <v>8.9999999999999993E-3</v>
      </c>
      <c r="BC12" s="83">
        <f>'17% Управителю (З ПДВ)'!BC16/1.2/1.17</f>
        <v>7.0000000000000001E-3</v>
      </c>
      <c r="BD12" s="83">
        <f>'17% Управителю (З ПДВ)'!BD16/1.2/1.17</f>
        <v>0</v>
      </c>
      <c r="BE12" s="83">
        <f>'17% Управителю (З ПДВ)'!BE16/1.2/1.17</f>
        <v>0</v>
      </c>
      <c r="BF12" s="83">
        <f>'17% Управителю (З ПДВ)'!BF16/1.2/1.17</f>
        <v>2E-3</v>
      </c>
      <c r="BG12" s="83">
        <f>'17% Управителю (З ПДВ)'!BG16/1.2/1.17</f>
        <v>0</v>
      </c>
      <c r="BH12" s="83">
        <f>'17% Управителю (З ПДВ)'!BH16/1.2/1.17</f>
        <v>1.2E-2</v>
      </c>
      <c r="BI12" s="83">
        <f>'17% Управителю (З ПДВ)'!BI16/1.2/1.17</f>
        <v>0</v>
      </c>
      <c r="BJ12" s="83">
        <f>'17% Управителю (З ПДВ)'!BJ16/1.2/1.17</f>
        <v>1.4E-2</v>
      </c>
      <c r="BK12" s="83">
        <f>'17% Управителю (З ПДВ)'!BK16/1.2/1.17</f>
        <v>8.9999999999999993E-3</v>
      </c>
      <c r="BL12" s="83">
        <f>'17% Управителю (З ПДВ)'!BL16/1.2/1.17</f>
        <v>1.6E-2</v>
      </c>
      <c r="BM12" s="83">
        <f>'17% Управителю (З ПДВ)'!BM16/1.2/1.17</f>
        <v>1.6E-2</v>
      </c>
      <c r="BN12" s="83">
        <f>'17% Управителю (З ПДВ)'!BN16/1.2/1.17</f>
        <v>8.9999999999999993E-3</v>
      </c>
      <c r="BO12" s="83">
        <f>'17% Управителю (З ПДВ)'!BO16/1.2/1.17</f>
        <v>0</v>
      </c>
      <c r="BP12" s="83">
        <f>'17% Управителю (З ПДВ)'!BP16/1.2/1.17</f>
        <v>0</v>
      </c>
      <c r="BQ12" s="83">
        <f>'17% Управителю (З ПДВ)'!BQ16/1.2/1.17</f>
        <v>0</v>
      </c>
      <c r="BR12" s="83">
        <f>'17% Управителю (З ПДВ)'!BR16/1.2/1.17</f>
        <v>0</v>
      </c>
      <c r="BS12" s="83">
        <f>'17% Управителю (З ПДВ)'!BS16/1.2/1.17</f>
        <v>4.0000000000000001E-3</v>
      </c>
      <c r="BT12" s="83">
        <f>'17% Управителю (З ПДВ)'!BT16/1.2/1.17</f>
        <v>1.6E-2</v>
      </c>
      <c r="BU12" s="83">
        <f>'17% Управителю (З ПДВ)'!BU16/1.2/1.17</f>
        <v>5.0000000000000001E-3</v>
      </c>
      <c r="BV12" s="83">
        <f>'17% Управителю (З ПДВ)'!BV16/1.2/1.17</f>
        <v>8.9999999999999993E-3</v>
      </c>
      <c r="BW12" s="83">
        <f>'17% Управителю (З ПДВ)'!BW16/1.2/1.17</f>
        <v>0</v>
      </c>
      <c r="BX12" s="83">
        <f>'17% Управителю (З ПДВ)'!BX16/1.2/1.17</f>
        <v>1.6E-2</v>
      </c>
      <c r="BY12" s="83">
        <f>'17% Управителю (З ПДВ)'!BY16/1.2/1.17</f>
        <v>1.6E-2</v>
      </c>
      <c r="BZ12" s="83">
        <f>'17% Управителю (З ПДВ)'!BZ16/1.2/1.17</f>
        <v>1.0999999999999999E-2</v>
      </c>
      <c r="CA12" s="83">
        <f>'17% Управителю (З ПДВ)'!CA16/1.2/1.17</f>
        <v>1.2E-2</v>
      </c>
      <c r="CB12" s="83">
        <f>'17% Управителю (З ПДВ)'!CB16/1.2/1.17</f>
        <v>1.0999999999999999E-2</v>
      </c>
      <c r="CC12" s="83">
        <f>'17% Управителю (З ПДВ)'!CC16/1.2/1.17</f>
        <v>8.9999999999999993E-3</v>
      </c>
      <c r="CD12" s="83">
        <f>'17% Управителю (З ПДВ)'!CD16/1.2/1.17</f>
        <v>8.9999999999999993E-3</v>
      </c>
      <c r="CE12" s="83">
        <f>'17% Управителю (З ПДВ)'!CE16/1.2/1.17</f>
        <v>0</v>
      </c>
      <c r="CF12" s="83">
        <f>'17% Управителю (З ПДВ)'!CF16/1.2/1.17</f>
        <v>1.6E-2</v>
      </c>
      <c r="CG12" s="83">
        <f>'17% Управителю (З ПДВ)'!CG16/1.2/1.17</f>
        <v>1.0999999999999999E-2</v>
      </c>
      <c r="CH12" s="83">
        <f>'17% Управителю (З ПДВ)'!CH16/1.2/1.17</f>
        <v>1.0999999999999999E-2</v>
      </c>
      <c r="CI12" s="83">
        <f>'17% Управителю (З ПДВ)'!CI16/1.2/1.17</f>
        <v>0</v>
      </c>
      <c r="CJ12" s="83">
        <f>'17% Управителю (З ПДВ)'!CJ16/1.2/1.17</f>
        <v>0</v>
      </c>
      <c r="CK12" s="83">
        <f>'17% Управителю (З ПДВ)'!CK16/1.2/1.17</f>
        <v>0</v>
      </c>
      <c r="CL12" s="83">
        <f>'17% Управителю (З ПДВ)'!CL16/1.2/1.17</f>
        <v>2.4E-2</v>
      </c>
      <c r="CM12" s="83">
        <f>'17% Управителю (З ПДВ)'!CM16/1.2/1.17</f>
        <v>1.4E-2</v>
      </c>
      <c r="CN12" s="83">
        <f>'17% Управителю (З ПДВ)'!CN16/1.2/1.17</f>
        <v>0</v>
      </c>
      <c r="CO12" s="83">
        <f>'17% Управителю (З ПДВ)'!CO16/1.2/1.17</f>
        <v>0</v>
      </c>
      <c r="CP12" s="83">
        <f>'17% Управителю (З ПДВ)'!CP16/1.2/1.17</f>
        <v>0</v>
      </c>
      <c r="CQ12" s="83">
        <f>'17% Управителю (З ПДВ)'!CQ16/1.2/1.17</f>
        <v>0</v>
      </c>
      <c r="CR12" s="83">
        <f>'17% Управителю (З ПДВ)'!CR16/1.2/1.17</f>
        <v>0</v>
      </c>
      <c r="CS12" s="83">
        <f>'17% Управителю (З ПДВ)'!CS16/1.2/1.17</f>
        <v>0</v>
      </c>
      <c r="CT12" s="84">
        <f>'17% Управителю (З ПДВ)'!CT16/1.2/1.17</f>
        <v>0</v>
      </c>
    </row>
    <row r="13" spans="1:98" ht="18.75">
      <c r="A13" s="80" t="s">
        <v>15</v>
      </c>
      <c r="B13" s="85" t="s">
        <v>16</v>
      </c>
      <c r="C13" s="82"/>
      <c r="D13" s="83">
        <f>'17% Управителю (З ПДВ)'!D17/1.2/1.17</f>
        <v>0</v>
      </c>
      <c r="E13" s="83">
        <f>'17% Управителю (З ПДВ)'!E17/1.2/1.17</f>
        <v>0.58599999999999997</v>
      </c>
      <c r="F13" s="83">
        <f>'17% Управителю (З ПДВ)'!F17/1.2/1.17</f>
        <v>0</v>
      </c>
      <c r="G13" s="83">
        <f>'17% Управителю (З ПДВ)'!G17/1.2/1.17</f>
        <v>0</v>
      </c>
      <c r="H13" s="83">
        <f>'17% Управителю (З ПДВ)'!H17/1.2/1.17</f>
        <v>0</v>
      </c>
      <c r="I13" s="83">
        <f>'17% Управителю (З ПДВ)'!I17/1.2/1.17</f>
        <v>0</v>
      </c>
      <c r="J13" s="83">
        <f>'17% Управителю (З ПДВ)'!J17/1.2/1.17</f>
        <v>0</v>
      </c>
      <c r="K13" s="83">
        <f>'17% Управителю (З ПДВ)'!K17/1.2/1.17</f>
        <v>0</v>
      </c>
      <c r="L13" s="83">
        <f>'17% Управителю (З ПДВ)'!L17/1.2/1.17</f>
        <v>0</v>
      </c>
      <c r="M13" s="83">
        <f>'17% Управителю (З ПДВ)'!M17/1.2/1.17</f>
        <v>0</v>
      </c>
      <c r="N13" s="83">
        <f>'17% Управителю (З ПДВ)'!N17/1.2/1.17</f>
        <v>0</v>
      </c>
      <c r="O13" s="83">
        <f>'17% Управителю (З ПДВ)'!O17/1.2/1.17</f>
        <v>0</v>
      </c>
      <c r="P13" s="83">
        <f>'17% Управителю (З ПДВ)'!P17/1.2/1.17</f>
        <v>0</v>
      </c>
      <c r="Q13" s="83">
        <f>'17% Управителю (З ПДВ)'!Q17/1.2/1.17</f>
        <v>0</v>
      </c>
      <c r="R13" s="83">
        <f>'17% Управителю (З ПДВ)'!R17/1.2/1.17</f>
        <v>0.373</v>
      </c>
      <c r="S13" s="83">
        <f>'17% Управителю (З ПДВ)'!S17/1.2/1.17</f>
        <v>0</v>
      </c>
      <c r="T13" s="83">
        <f>'17% Управителю (З ПДВ)'!T17/1.2/1.17</f>
        <v>0.17499999999999999</v>
      </c>
      <c r="U13" s="83">
        <f>'17% Управителю (З ПДВ)'!U17/1.2/1.17</f>
        <v>0</v>
      </c>
      <c r="V13" s="83">
        <f>'17% Управителю (З ПДВ)'!V17/1.2/1.17</f>
        <v>0.219</v>
      </c>
      <c r="W13" s="83">
        <f>'17% Управителю (З ПДВ)'!W17/1.2/1.17</f>
        <v>0.318</v>
      </c>
      <c r="X13" s="83">
        <f>'17% Управителю (З ПДВ)'!X17/1.2/1.17</f>
        <v>0.36799999999999999</v>
      </c>
      <c r="Y13" s="83">
        <f>'17% Управителю (З ПДВ)'!Y17/1.2/1.17</f>
        <v>0.223</v>
      </c>
      <c r="Z13" s="83">
        <f>'17% Управителю (З ПДВ)'!Z17/1.2/1.17</f>
        <v>0.33300000000000002</v>
      </c>
      <c r="AA13" s="83">
        <f>'17% Управителю (З ПДВ)'!AA17/1.2/1.17</f>
        <v>0.22600000000000001</v>
      </c>
      <c r="AB13" s="83">
        <f>'17% Управителю (З ПДВ)'!AB17/1.2/1.17</f>
        <v>0.39</v>
      </c>
      <c r="AC13" s="83">
        <f>'17% Управителю (З ПДВ)'!AC17/1.2/1.17</f>
        <v>0.311</v>
      </c>
      <c r="AD13" s="83">
        <f>'17% Управителю (З ПДВ)'!AD17/1.2/1.17</f>
        <v>0</v>
      </c>
      <c r="AE13" s="83">
        <f>'17% Управителю (З ПДВ)'!AE17/1.2/1.17</f>
        <v>0</v>
      </c>
      <c r="AF13" s="83">
        <f>'17% Управителю (З ПДВ)'!AF17/1.2/1.17</f>
        <v>0</v>
      </c>
      <c r="AG13" s="83">
        <f>'17% Управителю (З ПДВ)'!AG17/1.2/1.17</f>
        <v>0</v>
      </c>
      <c r="AH13" s="83">
        <f>'17% Управителю (З ПДВ)'!AH17/1.2/1.17</f>
        <v>0</v>
      </c>
      <c r="AI13" s="83">
        <f>'17% Управителю (З ПДВ)'!AI17/1.2/1.17</f>
        <v>0</v>
      </c>
      <c r="AJ13" s="83">
        <f>'17% Управителю (З ПДВ)'!AJ17/1.2/1.17</f>
        <v>0</v>
      </c>
      <c r="AK13" s="83">
        <f>'17% Управителю (З ПДВ)'!AK17/1.2/1.17</f>
        <v>0.53400000000000003</v>
      </c>
      <c r="AL13" s="83">
        <f>'17% Управителю (З ПДВ)'!AL17/1.2/1.17</f>
        <v>0</v>
      </c>
      <c r="AM13" s="83">
        <f>'17% Управителю (З ПДВ)'!AM17/1.2/1.17</f>
        <v>0</v>
      </c>
      <c r="AN13" s="83">
        <f>'17% Управителю (З ПДВ)'!AN17/1.2/1.17</f>
        <v>0</v>
      </c>
      <c r="AO13" s="83">
        <f>'17% Управителю (З ПДВ)'!AO17/1.2/1.17</f>
        <v>0</v>
      </c>
      <c r="AP13" s="83">
        <f>'17% Управителю (З ПДВ)'!AP17/1.2/1.17</f>
        <v>0</v>
      </c>
      <c r="AQ13" s="83">
        <f>'17% Управителю (З ПДВ)'!AQ17/1.2/1.17</f>
        <v>0</v>
      </c>
      <c r="AR13" s="83">
        <f>'17% Управителю (З ПДВ)'!AR17/1.2/1.17</f>
        <v>0</v>
      </c>
      <c r="AS13" s="83">
        <f>'17% Управителю (З ПДВ)'!AS17/1.2/1.17</f>
        <v>0</v>
      </c>
      <c r="AT13" s="83">
        <f>'17% Управителю (З ПДВ)'!AT17/1.2/1.17</f>
        <v>0.191</v>
      </c>
      <c r="AU13" s="83">
        <f>'17% Управителю (З ПДВ)'!AU17/1.2/1.17</f>
        <v>0.255</v>
      </c>
      <c r="AV13" s="83">
        <f>'17% Управителю (З ПДВ)'!AV17/1.2/1.17</f>
        <v>0.222</v>
      </c>
      <c r="AW13" s="83">
        <f>'17% Управителю (З ПДВ)'!AW17/1.2/1.17</f>
        <v>0.57999999999999996</v>
      </c>
      <c r="AX13" s="83">
        <f>'17% Управителю (З ПДВ)'!AX17/1.2/1.17</f>
        <v>0.51400000000000001</v>
      </c>
      <c r="AY13" s="83">
        <f>'17% Управителю (З ПДВ)'!AY17/1.2/1.17</f>
        <v>0</v>
      </c>
      <c r="AZ13" s="83">
        <f>'17% Управителю (З ПДВ)'!AZ17/1.2/1.17</f>
        <v>0</v>
      </c>
      <c r="BA13" s="83">
        <f>'17% Управителю (З ПДВ)'!BA17/1.2/1.17</f>
        <v>0</v>
      </c>
      <c r="BB13" s="83">
        <f>'17% Управителю (З ПДВ)'!BB17/1.2/1.17</f>
        <v>0.29099999999999998</v>
      </c>
      <c r="BC13" s="83">
        <f>'17% Управителю (З ПДВ)'!BC17/1.2/1.17</f>
        <v>0.45400000000000001</v>
      </c>
      <c r="BD13" s="83">
        <f>'17% Управителю (З ПДВ)'!BD17/1.2/1.17</f>
        <v>0</v>
      </c>
      <c r="BE13" s="83">
        <f>'17% Управителю (З ПДВ)'!BE17/1.2/1.17</f>
        <v>0</v>
      </c>
      <c r="BF13" s="83">
        <f>'17% Управителю (З ПДВ)'!BF17/1.2/1.17</f>
        <v>0</v>
      </c>
      <c r="BG13" s="83">
        <f>'17% Управителю (З ПДВ)'!BG17/1.2/1.17</f>
        <v>0</v>
      </c>
      <c r="BH13" s="83">
        <f>'17% Управителю (З ПДВ)'!BH17/1.2/1.17</f>
        <v>0</v>
      </c>
      <c r="BI13" s="83">
        <f>'17% Управителю (З ПДВ)'!BI17/1.2/1.17</f>
        <v>0</v>
      </c>
      <c r="BJ13" s="83">
        <f>'17% Управителю (З ПДВ)'!BJ17/1.2/1.17</f>
        <v>0</v>
      </c>
      <c r="BK13" s="83">
        <f>'17% Управителю (З ПДВ)'!BK17/1.2/1.17</f>
        <v>0</v>
      </c>
      <c r="BL13" s="83">
        <f>'17% Управителю (З ПДВ)'!BL17/1.2/1.17</f>
        <v>0</v>
      </c>
      <c r="BM13" s="83">
        <f>'17% Управителю (З ПДВ)'!BM17/1.2/1.17</f>
        <v>0.25600000000000001</v>
      </c>
      <c r="BN13" s="83">
        <f>'17% Управителю (З ПДВ)'!BN17/1.2/1.17</f>
        <v>0</v>
      </c>
      <c r="BO13" s="83">
        <f>'17% Управителю (З ПДВ)'!BO17/1.2/1.17</f>
        <v>0</v>
      </c>
      <c r="BP13" s="83">
        <f>'17% Управителю (З ПДВ)'!BP17/1.2/1.17</f>
        <v>0</v>
      </c>
      <c r="BQ13" s="83">
        <f>'17% Управителю (З ПДВ)'!BQ17/1.2/1.17</f>
        <v>0</v>
      </c>
      <c r="BR13" s="83">
        <f>'17% Управителю (З ПДВ)'!BR17/1.2/1.17</f>
        <v>0</v>
      </c>
      <c r="BS13" s="83">
        <f>'17% Управителю (З ПДВ)'!BS17/1.2/1.17</f>
        <v>0</v>
      </c>
      <c r="BT13" s="83">
        <f>'17% Управителю (З ПДВ)'!BT17/1.2/1.17</f>
        <v>0</v>
      </c>
      <c r="BU13" s="83">
        <f>'17% Управителю (З ПДВ)'!BU17/1.2/1.17</f>
        <v>0</v>
      </c>
      <c r="BV13" s="83">
        <f>'17% Управителю (З ПДВ)'!BV17/1.2/1.17</f>
        <v>0</v>
      </c>
      <c r="BW13" s="83">
        <f>'17% Управителю (З ПДВ)'!BW17/1.2/1.17</f>
        <v>0</v>
      </c>
      <c r="BX13" s="83">
        <f>'17% Управителю (З ПДВ)'!BX17/1.2/1.17</f>
        <v>0.38300000000000001</v>
      </c>
      <c r="BY13" s="83">
        <f>'17% Управителю (З ПДВ)'!BY17/1.2/1.17</f>
        <v>0.23100000000000001</v>
      </c>
      <c r="BZ13" s="83">
        <f>'17% Управителю (З ПДВ)'!BZ17/1.2/1.17</f>
        <v>0.221</v>
      </c>
      <c r="CA13" s="83">
        <f>'17% Управителю (З ПДВ)'!CA17/1.2/1.17</f>
        <v>0.25900000000000001</v>
      </c>
      <c r="CB13" s="83">
        <f>'17% Управителю (З ПДВ)'!CB17/1.2/1.17</f>
        <v>0.249</v>
      </c>
      <c r="CC13" s="83">
        <f>'17% Управителю (З ПДВ)'!CC17/1.2/1.17</f>
        <v>0.32800000000000001</v>
      </c>
      <c r="CD13" s="83">
        <f>'17% Управителю (З ПДВ)'!CD17/1.2/1.17</f>
        <v>0.32800000000000001</v>
      </c>
      <c r="CE13" s="83">
        <f>'17% Управителю (З ПДВ)'!CE17/1.2/1.17</f>
        <v>0</v>
      </c>
      <c r="CF13" s="83">
        <f>'17% Управителю (З ПДВ)'!CF17/1.2/1.17</f>
        <v>0</v>
      </c>
      <c r="CG13" s="83">
        <f>'17% Управителю (З ПДВ)'!CG17/1.2/1.17</f>
        <v>0.32800000000000001</v>
      </c>
      <c r="CH13" s="83">
        <f>'17% Управителю (З ПДВ)'!CH17/1.2/1.17</f>
        <v>0.32800000000000001</v>
      </c>
      <c r="CI13" s="83">
        <f>'17% Управителю (З ПДВ)'!CI17/1.2/1.17</f>
        <v>0</v>
      </c>
      <c r="CJ13" s="83">
        <f>'17% Управителю (З ПДВ)'!CJ17/1.2/1.17</f>
        <v>0</v>
      </c>
      <c r="CK13" s="83">
        <f>'17% Управителю (З ПДВ)'!CK17/1.2/1.17</f>
        <v>0</v>
      </c>
      <c r="CL13" s="83">
        <f>'17% Управителю (З ПДВ)'!CL17/1.2/1.17</f>
        <v>0</v>
      </c>
      <c r="CM13" s="83">
        <f>'17% Управителю (З ПДВ)'!CM17/1.2/1.17</f>
        <v>0</v>
      </c>
      <c r="CN13" s="83">
        <f>'17% Управителю (З ПДВ)'!CN17/1.2/1.17</f>
        <v>0</v>
      </c>
      <c r="CO13" s="83">
        <f>'17% Управителю (З ПДВ)'!CO17/1.2/1.17</f>
        <v>0</v>
      </c>
      <c r="CP13" s="83">
        <f>'17% Управителю (З ПДВ)'!CP17/1.2/1.17</f>
        <v>0</v>
      </c>
      <c r="CQ13" s="83">
        <f>'17% Управителю (З ПДВ)'!CQ17/1.2/1.17</f>
        <v>0</v>
      </c>
      <c r="CR13" s="83">
        <f>'17% Управителю (З ПДВ)'!CR17/1.2/1.17</f>
        <v>0</v>
      </c>
      <c r="CS13" s="83">
        <f>'17% Управителю (З ПДВ)'!CS17/1.2/1.17</f>
        <v>0</v>
      </c>
      <c r="CT13" s="84">
        <f>'17% Управителю (З ПДВ)'!CT17/1.2/1.17</f>
        <v>0</v>
      </c>
    </row>
    <row r="14" spans="1:98" ht="18.75">
      <c r="A14" s="80" t="s">
        <v>17</v>
      </c>
      <c r="B14" s="85" t="s">
        <v>18</v>
      </c>
      <c r="C14" s="82"/>
      <c r="D14" s="83">
        <f>'17% Управителю (З ПДВ)'!D18/1.2/1.17</f>
        <v>0</v>
      </c>
      <c r="E14" s="83">
        <f>'17% Управителю (З ПДВ)'!E18/1.2/1.17</f>
        <v>0</v>
      </c>
      <c r="F14" s="83">
        <f>'17% Управителю (З ПДВ)'!F18/1.2/1.17</f>
        <v>0</v>
      </c>
      <c r="G14" s="83">
        <f>'17% Управителю (З ПДВ)'!G18/1.2/1.17</f>
        <v>0</v>
      </c>
      <c r="H14" s="83">
        <f>'17% Управителю (З ПДВ)'!H18/1.2/1.17</f>
        <v>0</v>
      </c>
      <c r="I14" s="83">
        <f>'17% Управителю (З ПДВ)'!I18/1.2/1.17</f>
        <v>0</v>
      </c>
      <c r="J14" s="83">
        <f>'17% Управителю (З ПДВ)'!J18/1.2/1.17</f>
        <v>0</v>
      </c>
      <c r="K14" s="83">
        <f>'17% Управителю (З ПДВ)'!K18/1.2/1.17</f>
        <v>0</v>
      </c>
      <c r="L14" s="83">
        <f>'17% Управителю (З ПДВ)'!L18/1.2/1.17</f>
        <v>0</v>
      </c>
      <c r="M14" s="83">
        <f>'17% Управителю (З ПДВ)'!M18/1.2/1.17</f>
        <v>0</v>
      </c>
      <c r="N14" s="83">
        <f>'17% Управителю (З ПДВ)'!N18/1.2/1.17</f>
        <v>0</v>
      </c>
      <c r="O14" s="83">
        <f>'17% Управителю (З ПДВ)'!O18/1.2/1.17</f>
        <v>0</v>
      </c>
      <c r="P14" s="83">
        <f>'17% Управителю (З ПДВ)'!P18/1.2/1.17</f>
        <v>0</v>
      </c>
      <c r="Q14" s="83">
        <f>'17% Управителю (З ПДВ)'!Q18/1.2/1.17</f>
        <v>0</v>
      </c>
      <c r="R14" s="83">
        <f>'17% Управителю (З ПДВ)'!R18/1.2/1.17</f>
        <v>0</v>
      </c>
      <c r="S14" s="83">
        <f>'17% Управителю (З ПДВ)'!S18/1.2/1.17</f>
        <v>0</v>
      </c>
      <c r="T14" s="83">
        <f>'17% Управителю (З ПДВ)'!T18/1.2/1.17</f>
        <v>1.4E-2</v>
      </c>
      <c r="U14" s="83">
        <f>'17% Управителю (З ПДВ)'!U18/1.2/1.17</f>
        <v>0</v>
      </c>
      <c r="V14" s="83">
        <f>'17% Управителю (З ПДВ)'!V18/1.2/1.17</f>
        <v>0</v>
      </c>
      <c r="W14" s="83">
        <f>'17% Управителю (З ПДВ)'!W18/1.2/1.17</f>
        <v>0</v>
      </c>
      <c r="X14" s="83">
        <f>'17% Управителю (З ПДВ)'!X18/1.2/1.17</f>
        <v>0</v>
      </c>
      <c r="Y14" s="83">
        <f>'17% Управителю (З ПДВ)'!Y18/1.2/1.17</f>
        <v>0</v>
      </c>
      <c r="Z14" s="83">
        <f>'17% Управителю (З ПДВ)'!Z18/1.2/1.17</f>
        <v>0</v>
      </c>
      <c r="AA14" s="83">
        <f>'17% Управителю (З ПДВ)'!AA18/1.2/1.17</f>
        <v>2.8000000000000001E-2</v>
      </c>
      <c r="AB14" s="83">
        <f>'17% Управителю (З ПДВ)'!AB18/1.2/1.17</f>
        <v>0</v>
      </c>
      <c r="AC14" s="83">
        <f>'17% Управителю (З ПДВ)'!AC18/1.2/1.17</f>
        <v>0</v>
      </c>
      <c r="AD14" s="83">
        <f>'17% Управителю (З ПДВ)'!AD18/1.2/1.17</f>
        <v>0</v>
      </c>
      <c r="AE14" s="83">
        <f>'17% Управителю (З ПДВ)'!AE18/1.2/1.17</f>
        <v>0</v>
      </c>
      <c r="AF14" s="83">
        <f>'17% Управителю (З ПДВ)'!AF18/1.2/1.17</f>
        <v>0</v>
      </c>
      <c r="AG14" s="83">
        <f>'17% Управителю (З ПДВ)'!AG18/1.2/1.17</f>
        <v>0</v>
      </c>
      <c r="AH14" s="83">
        <f>'17% Управителю (З ПДВ)'!AH18/1.2/1.17</f>
        <v>0</v>
      </c>
      <c r="AI14" s="83">
        <f>'17% Управителю (З ПДВ)'!AI18/1.2/1.17</f>
        <v>0</v>
      </c>
      <c r="AJ14" s="83">
        <f>'17% Управителю (З ПДВ)'!AJ18/1.2/1.17</f>
        <v>0</v>
      </c>
      <c r="AK14" s="83">
        <f>'17% Управителю (З ПДВ)'!AK18/1.2/1.17</f>
        <v>0</v>
      </c>
      <c r="AL14" s="83">
        <f>'17% Управителю (З ПДВ)'!AL18/1.2/1.17</f>
        <v>0</v>
      </c>
      <c r="AM14" s="83">
        <f>'17% Управителю (З ПДВ)'!AM18/1.2/1.17</f>
        <v>0</v>
      </c>
      <c r="AN14" s="83">
        <f>'17% Управителю (З ПДВ)'!AN18/1.2/1.17</f>
        <v>0</v>
      </c>
      <c r="AO14" s="83">
        <f>'17% Управителю (З ПДВ)'!AO18/1.2/1.17</f>
        <v>0</v>
      </c>
      <c r="AP14" s="83">
        <f>'17% Управителю (З ПДВ)'!AP18/1.2/1.17</f>
        <v>0</v>
      </c>
      <c r="AQ14" s="83">
        <f>'17% Управителю (З ПДВ)'!AQ18/1.2/1.17</f>
        <v>0</v>
      </c>
      <c r="AR14" s="83">
        <f>'17% Управителю (З ПДВ)'!AR18/1.2/1.17</f>
        <v>0</v>
      </c>
      <c r="AS14" s="83">
        <f>'17% Управителю (З ПДВ)'!AS18/1.2/1.17</f>
        <v>0</v>
      </c>
      <c r="AT14" s="83">
        <f>'17% Управителю (З ПДВ)'!AT18/1.2/1.17</f>
        <v>2.8000000000000001E-2</v>
      </c>
      <c r="AU14" s="83">
        <f>'17% Управителю (З ПДВ)'!AU18/1.2/1.17</f>
        <v>3.2000000000000001E-2</v>
      </c>
      <c r="AV14" s="83">
        <f>'17% Управителю (З ПДВ)'!AV18/1.2/1.17</f>
        <v>2.8000000000000001E-2</v>
      </c>
      <c r="AW14" s="83">
        <f>'17% Управителю (З ПДВ)'!AW18/1.2/1.17</f>
        <v>0</v>
      </c>
      <c r="AX14" s="83">
        <f>'17% Управителю (З ПДВ)'!AX18/1.2/1.17</f>
        <v>0</v>
      </c>
      <c r="AY14" s="83">
        <f>'17% Управителю (З ПДВ)'!AY18/1.2/1.17</f>
        <v>0</v>
      </c>
      <c r="AZ14" s="83">
        <f>'17% Управителю (З ПДВ)'!AZ18/1.2/1.17</f>
        <v>0</v>
      </c>
      <c r="BA14" s="83">
        <f>'17% Управителю (З ПДВ)'!BA18/1.2/1.17</f>
        <v>0</v>
      </c>
      <c r="BB14" s="83">
        <f>'17% Управителю (З ПДВ)'!BB18/1.2/1.17</f>
        <v>0</v>
      </c>
      <c r="BC14" s="83">
        <f>'17% Управителю (З ПДВ)'!BC18/1.2/1.17</f>
        <v>0</v>
      </c>
      <c r="BD14" s="83">
        <f>'17% Управителю (З ПДВ)'!BD18/1.2/1.17</f>
        <v>0</v>
      </c>
      <c r="BE14" s="83">
        <f>'17% Управителю (З ПДВ)'!BE18/1.2/1.17</f>
        <v>0</v>
      </c>
      <c r="BF14" s="83">
        <f>'17% Управителю (З ПДВ)'!BF18/1.2/1.17</f>
        <v>0</v>
      </c>
      <c r="BG14" s="83">
        <f>'17% Управителю (З ПДВ)'!BG18/1.2/1.17</f>
        <v>0</v>
      </c>
      <c r="BH14" s="83">
        <f>'17% Управителю (З ПДВ)'!BH18/1.2/1.17</f>
        <v>0</v>
      </c>
      <c r="BI14" s="83">
        <f>'17% Управителю (З ПДВ)'!BI18/1.2/1.17</f>
        <v>0</v>
      </c>
      <c r="BJ14" s="83">
        <f>'17% Управителю (З ПДВ)'!BJ18/1.2/1.17</f>
        <v>0</v>
      </c>
      <c r="BK14" s="83">
        <f>'17% Управителю (З ПДВ)'!BK18/1.2/1.17</f>
        <v>0</v>
      </c>
      <c r="BL14" s="83">
        <f>'17% Управителю (З ПДВ)'!BL18/1.2/1.17</f>
        <v>0</v>
      </c>
      <c r="BM14" s="83">
        <f>'17% Управителю (З ПДВ)'!BM18/1.2/1.17</f>
        <v>0</v>
      </c>
      <c r="BN14" s="83">
        <f>'17% Управителю (З ПДВ)'!BN18/1.2/1.17</f>
        <v>0</v>
      </c>
      <c r="BO14" s="83">
        <f>'17% Управителю (З ПДВ)'!BO18/1.2/1.17</f>
        <v>0</v>
      </c>
      <c r="BP14" s="83">
        <f>'17% Управителю (З ПДВ)'!BP18/1.2/1.17</f>
        <v>0</v>
      </c>
      <c r="BQ14" s="83">
        <f>'17% Управителю (З ПДВ)'!BQ18/1.2/1.17</f>
        <v>0</v>
      </c>
      <c r="BR14" s="83">
        <f>'17% Управителю (З ПДВ)'!BR18/1.2/1.17</f>
        <v>0</v>
      </c>
      <c r="BS14" s="83">
        <f>'17% Управителю (З ПДВ)'!BS18/1.2/1.17</f>
        <v>0</v>
      </c>
      <c r="BT14" s="83">
        <f>'17% Управителю (З ПДВ)'!BT18/1.2/1.17</f>
        <v>0</v>
      </c>
      <c r="BU14" s="83">
        <f>'17% Управителю (З ПДВ)'!BU18/1.2/1.17</f>
        <v>0</v>
      </c>
      <c r="BV14" s="83">
        <f>'17% Управителю (З ПДВ)'!BV18/1.2/1.17</f>
        <v>0</v>
      </c>
      <c r="BW14" s="83">
        <f>'17% Управителю (З ПДВ)'!BW18/1.2/1.17</f>
        <v>0</v>
      </c>
      <c r="BX14" s="83">
        <f>'17% Управителю (З ПДВ)'!BX18/1.2/1.17</f>
        <v>0</v>
      </c>
      <c r="BY14" s="83">
        <f>'17% Управителю (З ПДВ)'!BY18/1.2/1.17</f>
        <v>2.8000000000000001E-2</v>
      </c>
      <c r="BZ14" s="83">
        <f>'17% Управителю (З ПДВ)'!BZ18/1.2/1.17</f>
        <v>2.5000000000000001E-2</v>
      </c>
      <c r="CA14" s="83">
        <f>'17% Управителю (З ПДВ)'!CA18/1.2/1.17</f>
        <v>2.8000000000000001E-2</v>
      </c>
      <c r="CB14" s="83">
        <f>'17% Управителю (З ПДВ)'!CB18/1.2/1.17</f>
        <v>0.03</v>
      </c>
      <c r="CC14" s="83">
        <f>'17% Управителю (З ПДВ)'!CC18/1.2/1.17</f>
        <v>0.03</v>
      </c>
      <c r="CD14" s="83">
        <f>'17% Управителю (З ПДВ)'!CD18/1.2/1.17</f>
        <v>0.03</v>
      </c>
      <c r="CE14" s="83">
        <f>'17% Управителю (З ПДВ)'!CE18/1.2/1.17</f>
        <v>0</v>
      </c>
      <c r="CF14" s="83">
        <f>'17% Управителю (З ПДВ)'!CF18/1.2/1.17</f>
        <v>0</v>
      </c>
      <c r="CG14" s="83">
        <f>'17% Управителю (З ПДВ)'!CG18/1.2/1.17</f>
        <v>0.03</v>
      </c>
      <c r="CH14" s="83">
        <f>'17% Управителю (З ПДВ)'!CH18/1.2/1.17</f>
        <v>0.03</v>
      </c>
      <c r="CI14" s="83">
        <f>'17% Управителю (З ПДВ)'!CI18/1.2/1.17</f>
        <v>0</v>
      </c>
      <c r="CJ14" s="83">
        <f>'17% Управителю (З ПДВ)'!CJ18/1.2/1.17</f>
        <v>0</v>
      </c>
      <c r="CK14" s="83">
        <f>'17% Управителю (З ПДВ)'!CK18/1.2/1.17</f>
        <v>0</v>
      </c>
      <c r="CL14" s="83">
        <f>'17% Управителю (З ПДВ)'!CL18/1.2/1.17</f>
        <v>0</v>
      </c>
      <c r="CM14" s="83">
        <f>'17% Управителю (З ПДВ)'!CM18/1.2/1.17</f>
        <v>0</v>
      </c>
      <c r="CN14" s="83">
        <f>'17% Управителю (З ПДВ)'!CN18/1.2/1.17</f>
        <v>0</v>
      </c>
      <c r="CO14" s="83">
        <f>'17% Управителю (З ПДВ)'!CO18/1.2/1.17</f>
        <v>0</v>
      </c>
      <c r="CP14" s="83">
        <f>'17% Управителю (З ПДВ)'!CP18/1.2/1.17</f>
        <v>0</v>
      </c>
      <c r="CQ14" s="83">
        <f>'17% Управителю (З ПДВ)'!CQ18/1.2/1.17</f>
        <v>0</v>
      </c>
      <c r="CR14" s="83">
        <f>'17% Управителю (З ПДВ)'!CR18/1.2/1.17</f>
        <v>0</v>
      </c>
      <c r="CS14" s="83">
        <f>'17% Управителю (З ПДВ)'!CS18/1.2/1.17</f>
        <v>0</v>
      </c>
      <c r="CT14" s="84">
        <f>'17% Управителю (З ПДВ)'!CT18/1.2/1.17</f>
        <v>0</v>
      </c>
    </row>
    <row r="15" spans="1:98" ht="18.75">
      <c r="A15" s="86" t="s">
        <v>19</v>
      </c>
      <c r="B15" s="85" t="s">
        <v>20</v>
      </c>
      <c r="C15" s="87"/>
      <c r="D15" s="88">
        <f>'17% Управителю (З ПДВ)'!D19/1.2/1.17</f>
        <v>0.44800000000000001</v>
      </c>
      <c r="E15" s="88">
        <f>'17% Управителю (З ПДВ)'!E19/1.2/1.17</f>
        <v>0.39</v>
      </c>
      <c r="F15" s="88">
        <f>'17% Управителю (З ПДВ)'!F19/1.2/1.17</f>
        <v>0.41699999999999998</v>
      </c>
      <c r="G15" s="88">
        <f>'17% Управителю (З ПДВ)'!G19/1.2/1.17</f>
        <v>0.42399999999999999</v>
      </c>
      <c r="H15" s="88">
        <f>'17% Управителю (З ПДВ)'!H19/1.2/1.17</f>
        <v>0.45700000000000002</v>
      </c>
      <c r="I15" s="88">
        <f>'17% Управителю (З ПДВ)'!I19/1.2/1.17</f>
        <v>0.42499999999999999</v>
      </c>
      <c r="J15" s="88">
        <f>'17% Управителю (З ПДВ)'!J19/1.2/1.17</f>
        <v>0.28899999999999998</v>
      </c>
      <c r="K15" s="88">
        <f>'17% Управителю (З ПДВ)'!K19/1.2/1.17</f>
        <v>0.42599999999999999</v>
      </c>
      <c r="L15" s="88">
        <f>'17% Управителю (З ПДВ)'!L19/1.2/1.17</f>
        <v>0.42499999999999999</v>
      </c>
      <c r="M15" s="88">
        <f>'17% Управителю (З ПДВ)'!M19/1.2/1.17</f>
        <v>0.41499999999999998</v>
      </c>
      <c r="N15" s="88">
        <f>'17% Управителю (З ПДВ)'!N19/1.2/1.17</f>
        <v>0.40799999999999997</v>
      </c>
      <c r="O15" s="88">
        <f>'17% Управителю (З ПДВ)'!O19/1.2/1.17</f>
        <v>0.46300000000000002</v>
      </c>
      <c r="P15" s="88">
        <f>'17% Управителю (З ПДВ)'!P19/1.2/1.17</f>
        <v>0.41199999999999998</v>
      </c>
      <c r="Q15" s="88">
        <f>'17% Управителю (З ПДВ)'!Q19/1.2/1.17</f>
        <v>0.27</v>
      </c>
      <c r="R15" s="88">
        <f>'17% Управителю (З ПДВ)'!R19/1.2/1.17</f>
        <v>0.39200000000000002</v>
      </c>
      <c r="S15" s="88">
        <f>'17% Управителю (З ПДВ)'!S19/1.2/1.17</f>
        <v>0.435</v>
      </c>
      <c r="T15" s="88">
        <f>'17% Управителю (З ПДВ)'!T19/1.2/1.17</f>
        <v>0.42</v>
      </c>
      <c r="U15" s="88">
        <f>'17% Управителю (З ПДВ)'!U19/1.2/1.17</f>
        <v>0.498</v>
      </c>
      <c r="V15" s="88">
        <f>'17% Управителю (З ПДВ)'!V19/1.2/1.17</f>
        <v>0.40300000000000002</v>
      </c>
      <c r="W15" s="88">
        <f>'17% Управителю (З ПДВ)'!W19/1.2/1.17</f>
        <v>0.36899999999999999</v>
      </c>
      <c r="X15" s="88">
        <f>'17% Управителю (З ПДВ)'!X19/1.2/1.17</f>
        <v>0.38200000000000001</v>
      </c>
      <c r="Y15" s="88">
        <f>'17% Управителю (З ПДВ)'!Y19/1.2/1.17</f>
        <v>0.39900000000000002</v>
      </c>
      <c r="Z15" s="88">
        <f>'17% Управителю (З ПДВ)'!Z19/1.2/1.17</f>
        <v>0.40699999999999997</v>
      </c>
      <c r="AA15" s="88">
        <f>'17% Управителю (З ПДВ)'!AA19/1.2/1.17</f>
        <v>0.437</v>
      </c>
      <c r="AB15" s="88">
        <f>'17% Управителю (З ПДВ)'!AB19/1.2/1.17</f>
        <v>0.42199999999999999</v>
      </c>
      <c r="AC15" s="88">
        <f>'17% Управителю (З ПДВ)'!AC19/1.2/1.17</f>
        <v>0.42399999999999999</v>
      </c>
      <c r="AD15" s="88">
        <f>'17% Управителю (З ПДВ)'!AD19/1.2/1.17</f>
        <v>0.32800000000000001</v>
      </c>
      <c r="AE15" s="88">
        <f>'17% Управителю (З ПДВ)'!AE19/1.2/1.17</f>
        <v>1E-3</v>
      </c>
      <c r="AF15" s="88">
        <f>'17% Управителю (З ПДВ)'!AF19/1.2/1.17</f>
        <v>2E-3</v>
      </c>
      <c r="AG15" s="88">
        <f>'17% Управителю (З ПДВ)'!AG19/1.2/1.17</f>
        <v>1E-3</v>
      </c>
      <c r="AH15" s="88">
        <f>'17% Управителю (З ПДВ)'!AH19/1.2/1.17</f>
        <v>0.34599999999999997</v>
      </c>
      <c r="AI15" s="88">
        <f>'17% Управителю (З ПДВ)'!AI19/1.2/1.17</f>
        <v>0.34</v>
      </c>
      <c r="AJ15" s="88">
        <f>'17% Управителю (З ПДВ)'!AJ19/1.2/1.17</f>
        <v>0.35</v>
      </c>
      <c r="AK15" s="88">
        <f>'17% Управителю (З ПДВ)'!AK19/1.2/1.17</f>
        <v>0.192</v>
      </c>
      <c r="AL15" s="88">
        <f>'17% Управителю (З ПДВ)'!AL19/1.2/1.17</f>
        <v>0.33500000000000002</v>
      </c>
      <c r="AM15" s="88">
        <f>'17% Управителю (З ПДВ)'!AM19/1.2/1.17</f>
        <v>2E-3</v>
      </c>
      <c r="AN15" s="88">
        <f>'17% Управителю (З ПДВ)'!AN19/1.2/1.17</f>
        <v>0.33800000000000002</v>
      </c>
      <c r="AO15" s="88">
        <f>'17% Управителю (З ПДВ)'!AO19/1.2/1.17</f>
        <v>0.44900000000000001</v>
      </c>
      <c r="AP15" s="88">
        <f>'17% Управителю (З ПДВ)'!AP19/1.2/1.17</f>
        <v>0.38600000000000001</v>
      </c>
      <c r="AQ15" s="88">
        <f>'17% Управителю (З ПДВ)'!AQ19/1.2/1.17</f>
        <v>0.105</v>
      </c>
      <c r="AR15" s="88">
        <f>'17% Управителю (З ПДВ)'!AR19/1.2/1.17</f>
        <v>1E-3</v>
      </c>
      <c r="AS15" s="88">
        <f>'17% Управителю (З ПДВ)'!AS19/1.2/1.17</f>
        <v>0.312</v>
      </c>
      <c r="AT15" s="88">
        <f>'17% Управителю (З ПДВ)'!AT19/1.2/1.17</f>
        <v>0.28899999999999998</v>
      </c>
      <c r="AU15" s="88">
        <f>'17% Управителю (З ПДВ)'!AU19/1.2/1.17</f>
        <v>0.31</v>
      </c>
      <c r="AV15" s="88">
        <f>'17% Управителю (З ПДВ)'!AV19/1.2/1.17</f>
        <v>0.26400000000000001</v>
      </c>
      <c r="AW15" s="88">
        <f>'17% Управителю (З ПДВ)'!AW19/1.2/1.17</f>
        <v>0.38900000000000001</v>
      </c>
      <c r="AX15" s="88">
        <f>'17% Управителю (З ПДВ)'!AX19/1.2/1.17</f>
        <v>0.39200000000000002</v>
      </c>
      <c r="AY15" s="88">
        <f>'17% Управителю (З ПДВ)'!AY19/1.2/1.17</f>
        <v>0.33</v>
      </c>
      <c r="AZ15" s="88">
        <f>'17% Управителю (З ПДВ)'!AZ19/1.2/1.17</f>
        <v>0.42299999999999999</v>
      </c>
      <c r="BA15" s="88">
        <f>'17% Управителю (З ПДВ)'!BA19/1.2/1.17</f>
        <v>0.31</v>
      </c>
      <c r="BB15" s="88">
        <f>'17% Управителю (З ПДВ)'!BB19/1.2/1.17</f>
        <v>0.35299999999999998</v>
      </c>
      <c r="BC15" s="88">
        <f>'17% Управителю (З ПДВ)'!BC19/1.2/1.17</f>
        <v>0.27600000000000002</v>
      </c>
      <c r="BD15" s="88">
        <f>'17% Управителю (З ПДВ)'!BD19/1.2/1.17</f>
        <v>0.39700000000000002</v>
      </c>
      <c r="BE15" s="88">
        <f>'17% Управителю (З ПДВ)'!BE19/1.2/1.17</f>
        <v>0.46200000000000002</v>
      </c>
      <c r="BF15" s="88">
        <f>'17% Управителю (З ПДВ)'!BF19/1.2/1.17</f>
        <v>0.39900000000000002</v>
      </c>
      <c r="BG15" s="88">
        <f>'17% Управителю (З ПДВ)'!BG19/1.2/1.17</f>
        <v>0.38700000000000001</v>
      </c>
      <c r="BH15" s="88">
        <f>'17% Управителю (З ПДВ)'!BH19/1.2/1.17</f>
        <v>0.34200000000000003</v>
      </c>
      <c r="BI15" s="88">
        <f>'17% Управителю (З ПДВ)'!BI19/1.2/1.17</f>
        <v>0.41199999999999998</v>
      </c>
      <c r="BJ15" s="88">
        <f>'17% Управителю (З ПДВ)'!BJ19/1.2/1.17</f>
        <v>0.42699999999999999</v>
      </c>
      <c r="BK15" s="88">
        <f>'17% Управителю (З ПДВ)'!BK19/1.2/1.17</f>
        <v>0.372</v>
      </c>
      <c r="BL15" s="88">
        <f>'17% Управителю (З ПДВ)'!BL19/1.2/1.17</f>
        <v>0.42699999999999999</v>
      </c>
      <c r="BM15" s="88">
        <f>'17% Управителю (З ПДВ)'!BM19/1.2/1.17</f>
        <v>0.37</v>
      </c>
      <c r="BN15" s="88">
        <f>'17% Управителю (З ПДВ)'!BN19/1.2/1.17</f>
        <v>0.44</v>
      </c>
      <c r="BO15" s="88">
        <f>'17% Управителю (З ПДВ)'!BO19/1.2/1.17</f>
        <v>0.4</v>
      </c>
      <c r="BP15" s="88">
        <f>'17% Управителю (З ПДВ)'!BP19/1.2/1.17</f>
        <v>0.39700000000000002</v>
      </c>
      <c r="BQ15" s="88">
        <f>'17% Управителю (З ПДВ)'!BQ19/1.2/1.17</f>
        <v>0.40500000000000003</v>
      </c>
      <c r="BR15" s="88">
        <f>'17% Управителю (З ПДВ)'!BR19/1.2/1.17</f>
        <v>0.31900000000000001</v>
      </c>
      <c r="BS15" s="88">
        <f>'17% Управителю (З ПДВ)'!BS19/1.2/1.17</f>
        <v>0.42199999999999999</v>
      </c>
      <c r="BT15" s="88">
        <f>'17% Управителю (З ПДВ)'!BT19/1.2/1.17</f>
        <v>0.42</v>
      </c>
      <c r="BU15" s="88">
        <f>'17% Управителю (З ПДВ)'!BU19/1.2/1.17</f>
        <v>0.4</v>
      </c>
      <c r="BV15" s="88">
        <f>'17% Управителю (З ПДВ)'!BV19/1.2/1.17</f>
        <v>0.49099999999999999</v>
      </c>
      <c r="BW15" s="88">
        <f>'17% Управителю (З ПДВ)'!BW19/1.2/1.17</f>
        <v>0.33</v>
      </c>
      <c r="BX15" s="88">
        <f>'17% Управителю (З ПДВ)'!BX19/1.2/1.17</f>
        <v>0.42599999999999999</v>
      </c>
      <c r="BY15" s="88">
        <f>'17% Управителю (З ПДВ)'!BY19/1.2/1.17</f>
        <v>0.378</v>
      </c>
      <c r="BZ15" s="88">
        <f>'17% Управителю (З ПДВ)'!BZ19/1.2/1.17</f>
        <v>0.39200000000000002</v>
      </c>
      <c r="CA15" s="88">
        <f>'17% Управителю (З ПДВ)'!CA19/1.2/1.17</f>
        <v>0.44700000000000001</v>
      </c>
      <c r="CB15" s="88">
        <f>'17% Управителю (З ПДВ)'!CB19/1.2/1.17</f>
        <v>0.443</v>
      </c>
      <c r="CC15" s="88">
        <f>'17% Управителю (З ПДВ)'!CC19/1.2/1.17</f>
        <v>0.41199999999999998</v>
      </c>
      <c r="CD15" s="88">
        <f>'17% Управителю (З ПДВ)'!CD19/1.2/1.17</f>
        <v>0.442</v>
      </c>
      <c r="CE15" s="88">
        <f>'17% Управителю (З ПДВ)'!CE19/1.2/1.17</f>
        <v>0.105</v>
      </c>
      <c r="CF15" s="88">
        <f>'17% Управителю (З ПДВ)'!CF19/1.2/1.17</f>
        <v>0.42699999999999999</v>
      </c>
      <c r="CG15" s="88">
        <f>'17% Управителю (З ПДВ)'!CG19/1.2/1.17</f>
        <v>0.29599999999999999</v>
      </c>
      <c r="CH15" s="88">
        <f>'17% Управителю (З ПДВ)'!CH19/1.2/1.17</f>
        <v>0.29299999999999998</v>
      </c>
      <c r="CI15" s="88">
        <f>'17% Управителю (З ПДВ)'!CI19/1.2/1.17</f>
        <v>0.57999999999999996</v>
      </c>
      <c r="CJ15" s="88">
        <f>'17% Управителю (З ПДВ)'!CJ19/1.2/1.17</f>
        <v>0.58899999999999997</v>
      </c>
      <c r="CK15" s="88">
        <f>'17% Управителю (З ПДВ)'!CK19/1.2/1.17</f>
        <v>0.247</v>
      </c>
      <c r="CL15" s="88">
        <f>'17% Управителю (З ПДВ)'!CL19/1.2/1.17</f>
        <v>0.40100000000000002</v>
      </c>
      <c r="CM15" s="88">
        <f>'17% Управителю (З ПДВ)'!CM19/1.2/1.17</f>
        <v>0.217</v>
      </c>
      <c r="CN15" s="88">
        <f>'17% Управителю (З ПДВ)'!CN19/1.2/1.17</f>
        <v>1E-3</v>
      </c>
      <c r="CO15" s="88">
        <f>'17% Управителю (З ПДВ)'!CO19/1.2/1.17</f>
        <v>0.105</v>
      </c>
      <c r="CP15" s="88">
        <f>'17% Управителю (З ПДВ)'!CP19/1.2/1.17</f>
        <v>0.105</v>
      </c>
      <c r="CQ15" s="88">
        <f>'17% Управителю (З ПДВ)'!CQ19/1.2/1.17</f>
        <v>0.105</v>
      </c>
      <c r="CR15" s="88">
        <f>'17% Управителю (З ПДВ)'!CR19/1.2/1.17</f>
        <v>0.105</v>
      </c>
      <c r="CS15" s="88">
        <f>'17% Управителю (З ПДВ)'!CS19/1.2/1.17</f>
        <v>0.105</v>
      </c>
      <c r="CT15" s="89">
        <f>'17% Управителю (З ПДВ)'!CT19/1.2/1.17</f>
        <v>0.11799999999999999</v>
      </c>
    </row>
    <row r="16" spans="1:98" ht="18.75">
      <c r="A16" s="90"/>
      <c r="B16" s="81" t="s">
        <v>21</v>
      </c>
      <c r="C16" s="91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3"/>
    </row>
    <row r="17" spans="1:98" ht="18.75">
      <c r="A17" s="90"/>
      <c r="B17" s="81" t="s">
        <v>22</v>
      </c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3"/>
    </row>
    <row r="18" spans="1:98" ht="18.75">
      <c r="A18" s="90"/>
      <c r="B18" s="81" t="s">
        <v>23</v>
      </c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3"/>
    </row>
    <row r="19" spans="1:98" ht="18.75">
      <c r="A19" s="90"/>
      <c r="B19" s="81" t="s">
        <v>24</v>
      </c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3"/>
    </row>
    <row r="20" spans="1:98" ht="18.75">
      <c r="A20" s="90"/>
      <c r="B20" s="81" t="s">
        <v>25</v>
      </c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3"/>
    </row>
    <row r="21" spans="1:98" ht="18.75">
      <c r="A21" s="94"/>
      <c r="B21" s="85" t="s">
        <v>26</v>
      </c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7"/>
    </row>
    <row r="22" spans="1:98" ht="18.75">
      <c r="A22" s="80" t="s">
        <v>27</v>
      </c>
      <c r="B22" s="85" t="s">
        <v>28</v>
      </c>
      <c r="C22" s="82"/>
      <c r="D22" s="83">
        <f>'17% Управителю (З ПДВ)'!D26/1.2/1.17</f>
        <v>3.1E-2</v>
      </c>
      <c r="E22" s="83">
        <f>'17% Управителю (З ПДВ)'!E26/1.2/1.17</f>
        <v>1.4E-2</v>
      </c>
      <c r="F22" s="83">
        <f>'17% Управителю (З ПДВ)'!F26/1.2/1.17</f>
        <v>2.4E-2</v>
      </c>
      <c r="G22" s="83">
        <f>'17% Управителю (З ПДВ)'!G26/1.2/1.17</f>
        <v>2.5999999999999999E-2</v>
      </c>
      <c r="H22" s="83">
        <f>'17% Управителю (З ПДВ)'!H26/1.2/1.17</f>
        <v>3.2000000000000001E-2</v>
      </c>
      <c r="I22" s="83">
        <f>'17% Управителю (З ПДВ)'!I26/1.2/1.17</f>
        <v>2.5999999999999999E-2</v>
      </c>
      <c r="J22" s="83">
        <f>'17% Управителю (З ПДВ)'!J26/1.2/1.17</f>
        <v>2.8000000000000001E-2</v>
      </c>
      <c r="K22" s="83">
        <f>'17% Управителю (З ПДВ)'!K26/1.2/1.17</f>
        <v>2.4E-2</v>
      </c>
      <c r="L22" s="83">
        <f>'17% Управителю (З ПДВ)'!L26/1.2/1.17</f>
        <v>2.7E-2</v>
      </c>
      <c r="M22" s="83">
        <f>'17% Управителю (З ПДВ)'!M26/1.2/1.17</f>
        <v>2.9000000000000001E-2</v>
      </c>
      <c r="N22" s="83">
        <f>'17% Управителю (З ПДВ)'!N26/1.2/1.17</f>
        <v>1.6E-2</v>
      </c>
      <c r="O22" s="83">
        <f>'17% Управителю (З ПДВ)'!O26/1.2/1.17</f>
        <v>3.3000000000000002E-2</v>
      </c>
      <c r="P22" s="83">
        <f>'17% Управителю (З ПДВ)'!P26/1.2/1.17</f>
        <v>2.3E-2</v>
      </c>
      <c r="Q22" s="83">
        <f>'17% Управителю (З ПДВ)'!Q26/1.2/1.17</f>
        <v>5.6000000000000001E-2</v>
      </c>
      <c r="R22" s="83">
        <f>'17% Управителю (З ПДВ)'!R26/1.2/1.17</f>
        <v>1.9E-2</v>
      </c>
      <c r="S22" s="83">
        <f>'17% Управителю (З ПДВ)'!S26/1.2/1.17</f>
        <v>2.8000000000000001E-2</v>
      </c>
      <c r="T22" s="83">
        <f>'17% Управителю (З ПДВ)'!T26/1.2/1.17</f>
        <v>1.9E-2</v>
      </c>
      <c r="U22" s="83">
        <f>'17% Управителю (З ПДВ)'!U26/1.2/1.17</f>
        <v>0.03</v>
      </c>
      <c r="V22" s="83">
        <f>'17% Управителю (З ПДВ)'!V26/1.2/1.17</f>
        <v>1.0999999999999999E-2</v>
      </c>
      <c r="W22" s="83">
        <f>'17% Управителю (З ПДВ)'!W26/1.2/1.17</f>
        <v>1.4E-2</v>
      </c>
      <c r="X22" s="83">
        <f>'17% Управителю (З ПДВ)'!X26/1.2/1.17</f>
        <v>1.4E-2</v>
      </c>
      <c r="Y22" s="83">
        <f>'17% Управителю (З ПДВ)'!Y26/1.2/1.17</f>
        <v>1.4E-2</v>
      </c>
      <c r="Z22" s="83">
        <f>'17% Управителю (З ПДВ)'!Z26/1.2/1.17</f>
        <v>1.2999999999999999E-2</v>
      </c>
      <c r="AA22" s="83">
        <f>'17% Управителю (З ПДВ)'!AA26/1.2/1.17</f>
        <v>1.2E-2</v>
      </c>
      <c r="AB22" s="83">
        <f>'17% Управителю (З ПДВ)'!AB26/1.2/1.17</f>
        <v>1.0999999999999999E-2</v>
      </c>
      <c r="AC22" s="83">
        <f>'17% Управителю (З ПДВ)'!AC26/1.2/1.17</f>
        <v>1.2E-2</v>
      </c>
      <c r="AD22" s="83">
        <f>'17% Управителю (З ПДВ)'!AD26/1.2/1.17</f>
        <v>0</v>
      </c>
      <c r="AE22" s="83">
        <f>'17% Управителю (З ПДВ)'!AE26/1.2/1.17</f>
        <v>0</v>
      </c>
      <c r="AF22" s="83">
        <f>'17% Управителю (З ПДВ)'!AF26/1.2/1.17</f>
        <v>0</v>
      </c>
      <c r="AG22" s="83">
        <f>'17% Управителю (З ПДВ)'!AG26/1.2/1.17</f>
        <v>0</v>
      </c>
      <c r="AH22" s="83">
        <f>'17% Управителю (З ПДВ)'!AH26/1.2/1.17</f>
        <v>0</v>
      </c>
      <c r="AI22" s="83">
        <f>'17% Управителю (З ПДВ)'!AI26/1.2/1.17</f>
        <v>4.0000000000000001E-3</v>
      </c>
      <c r="AJ22" s="83">
        <f>'17% Управителю (З ПДВ)'!AJ26/1.2/1.17</f>
        <v>1.0999999999999999E-2</v>
      </c>
      <c r="AK22" s="83">
        <f>'17% Управителю (З ПДВ)'!AK26/1.2/1.17</f>
        <v>0.02</v>
      </c>
      <c r="AL22" s="83">
        <f>'17% Управителю (З ПДВ)'!AL26/1.2/1.17</f>
        <v>2.1999999999999999E-2</v>
      </c>
      <c r="AM22" s="83">
        <f>'17% Управителю (З ПДВ)'!AM26/1.2/1.17</f>
        <v>0</v>
      </c>
      <c r="AN22" s="83">
        <f>'17% Управителю (З ПДВ)'!AN26/1.2/1.17</f>
        <v>0</v>
      </c>
      <c r="AO22" s="83">
        <f>'17% Управителю (З ПДВ)'!AO26/1.2/1.17</f>
        <v>3.1E-2</v>
      </c>
      <c r="AP22" s="83">
        <f>'17% Управителю (З ПДВ)'!AP26/1.2/1.17</f>
        <v>0</v>
      </c>
      <c r="AQ22" s="83">
        <f>'17% Управителю (З ПДВ)'!AQ26/1.2/1.17</f>
        <v>0</v>
      </c>
      <c r="AR22" s="83">
        <f>'17% Управителю (З ПДВ)'!AR26/1.2/1.17</f>
        <v>0</v>
      </c>
      <c r="AS22" s="83">
        <f>'17% Управителю (З ПДВ)'!AS26/1.2/1.17</f>
        <v>0</v>
      </c>
      <c r="AT22" s="83">
        <f>'17% Управителю (З ПДВ)'!AT26/1.2/1.17</f>
        <v>5.0000000000000001E-3</v>
      </c>
      <c r="AU22" s="83">
        <f>'17% Управителю (З ПДВ)'!AU26/1.2/1.17</f>
        <v>5.0000000000000001E-3</v>
      </c>
      <c r="AV22" s="83">
        <f>'17% Управителю (З ПДВ)'!AV26/1.2/1.17</f>
        <v>4.0000000000000001E-3</v>
      </c>
      <c r="AW22" s="83">
        <f>'17% Управителю (З ПДВ)'!AW26/1.2/1.17</f>
        <v>1.6E-2</v>
      </c>
      <c r="AX22" s="83">
        <f>'17% Управителю (З ПДВ)'!AX26/1.2/1.17</f>
        <v>1.7000000000000001E-2</v>
      </c>
      <c r="AY22" s="83">
        <f>'17% Управителю (З ПДВ)'!AY26/1.2/1.17</f>
        <v>0</v>
      </c>
      <c r="AZ22" s="83">
        <f>'17% Управителю (З ПДВ)'!AZ26/1.2/1.17</f>
        <v>2.4E-2</v>
      </c>
      <c r="BA22" s="83">
        <f>'17% Управителю (З ПДВ)'!BA26/1.2/1.17</f>
        <v>0</v>
      </c>
      <c r="BB22" s="83">
        <f>'17% Управителю (З ПДВ)'!BB26/1.2/1.17</f>
        <v>2.4E-2</v>
      </c>
      <c r="BC22" s="83">
        <f>'17% Управителю (З ПДВ)'!BC26/1.2/1.17</f>
        <v>0.01</v>
      </c>
      <c r="BD22" s="83">
        <f>'17% Управителю (З ПДВ)'!BD26/1.2/1.17</f>
        <v>0</v>
      </c>
      <c r="BE22" s="83">
        <f>'17% Управителю (З ПДВ)'!BE26/1.2/1.17</f>
        <v>0</v>
      </c>
      <c r="BF22" s="83">
        <f>'17% Управителю (З ПДВ)'!BF26/1.2/1.17</f>
        <v>8.0000000000000002E-3</v>
      </c>
      <c r="BG22" s="83">
        <f>'17% Управителю (З ПДВ)'!BG26/1.2/1.17</f>
        <v>0</v>
      </c>
      <c r="BH22" s="83">
        <f>'17% Управителю (З ПДВ)'!BH26/1.2/1.17</f>
        <v>3.4000000000000002E-2</v>
      </c>
      <c r="BI22" s="83">
        <f>'17% Управителю (З ПДВ)'!BI26/1.2/1.17</f>
        <v>0</v>
      </c>
      <c r="BJ22" s="83">
        <f>'17% Управителю (З ПДВ)'!BJ26/1.2/1.17</f>
        <v>4.1000000000000002E-2</v>
      </c>
      <c r="BK22" s="83">
        <f>'17% Управителю (З ПДВ)'!BK26/1.2/1.17</f>
        <v>2.9000000000000001E-2</v>
      </c>
      <c r="BL22" s="83">
        <f>'17% Управителю (З ПДВ)'!BL26/1.2/1.17</f>
        <v>2.4E-2</v>
      </c>
      <c r="BM22" s="83">
        <f>'17% Управителю (З ПДВ)'!BM26/1.2/1.17</f>
        <v>1.6E-2</v>
      </c>
      <c r="BN22" s="83">
        <f>'17% Управителю (З ПДВ)'!BN26/1.2/1.17</f>
        <v>2.4E-2</v>
      </c>
      <c r="BO22" s="83">
        <f>'17% Управителю (З ПДВ)'!BO26/1.2/1.17</f>
        <v>0</v>
      </c>
      <c r="BP22" s="83">
        <f>'17% Управителю (З ПДВ)'!BP26/1.2/1.17</f>
        <v>0</v>
      </c>
      <c r="BQ22" s="83">
        <f>'17% Управителю (З ПДВ)'!BQ26/1.2/1.17</f>
        <v>0</v>
      </c>
      <c r="BR22" s="83">
        <f>'17% Управителю (З ПДВ)'!BR26/1.2/1.17</f>
        <v>0</v>
      </c>
      <c r="BS22" s="83">
        <f>'17% Управителю (З ПДВ)'!BS26/1.2/1.17</f>
        <v>1.0999999999999999E-2</v>
      </c>
      <c r="BT22" s="83">
        <f>'17% Управителю (З ПДВ)'!BT26/1.2/1.17</f>
        <v>2.3E-2</v>
      </c>
      <c r="BU22" s="83">
        <f>'17% Управителю (З ПДВ)'!BU26/1.2/1.17</f>
        <v>1.6E-2</v>
      </c>
      <c r="BV22" s="83">
        <f>'17% Управителю (З ПДВ)'!BV26/1.2/1.17</f>
        <v>2.8000000000000001E-2</v>
      </c>
      <c r="BW22" s="83">
        <f>'17% Управителю (З ПДВ)'!BW26/1.2/1.17</f>
        <v>0</v>
      </c>
      <c r="BX22" s="83">
        <f>'17% Управителю (З ПДВ)'!BX26/1.2/1.17</f>
        <v>1.6E-2</v>
      </c>
      <c r="BY22" s="83">
        <f>'17% Управителю (З ПДВ)'!BY26/1.2/1.17</f>
        <v>1.7000000000000001E-2</v>
      </c>
      <c r="BZ22" s="83">
        <f>'17% Управителю (З ПДВ)'!BZ26/1.2/1.17</f>
        <v>8.9999999999999993E-3</v>
      </c>
      <c r="CA22" s="83">
        <f>'17% Управителю (З ПДВ)'!CA26/1.2/1.17</f>
        <v>8.9999999999999993E-3</v>
      </c>
      <c r="CB22" s="83">
        <f>'17% Управителю (З ПДВ)'!CB26/1.2/1.17</f>
        <v>0.01</v>
      </c>
      <c r="CC22" s="83">
        <f>'17% Управителю (З ПДВ)'!CC26/1.2/1.17</f>
        <v>1.0999999999999999E-2</v>
      </c>
      <c r="CD22" s="83">
        <f>'17% Управителю (З ПДВ)'!CD26/1.2/1.17</f>
        <v>1.0999999999999999E-2</v>
      </c>
      <c r="CE22" s="83">
        <f>'17% Управителю (З ПДВ)'!CE26/1.2/1.17</f>
        <v>0</v>
      </c>
      <c r="CF22" s="83">
        <f>'17% Управителю (З ПДВ)'!CF26/1.2/1.17</f>
        <v>2.5999999999999999E-2</v>
      </c>
      <c r="CG22" s="83">
        <f>'17% Управителю (З ПДВ)'!CG26/1.2/1.17</f>
        <v>1.4999999999999999E-2</v>
      </c>
      <c r="CH22" s="83">
        <f>'17% Управителю (З ПДВ)'!CH26/1.2/1.17</f>
        <v>1.4999999999999999E-2</v>
      </c>
      <c r="CI22" s="83">
        <f>'17% Управителю (З ПДВ)'!CI26/1.2/1.17</f>
        <v>0</v>
      </c>
      <c r="CJ22" s="83">
        <f>'17% Управителю (З ПДВ)'!CJ26/1.2/1.17</f>
        <v>0</v>
      </c>
      <c r="CK22" s="83">
        <f>'17% Управителю (З ПДВ)'!CK26/1.2/1.17</f>
        <v>0</v>
      </c>
      <c r="CL22" s="83">
        <f>'17% Управителю (З ПДВ)'!CL26/1.2/1.17</f>
        <v>7.2999999999999995E-2</v>
      </c>
      <c r="CM22" s="83">
        <f>'17% Управителю (З ПДВ)'!CM26/1.2/1.17</f>
        <v>4.1000000000000002E-2</v>
      </c>
      <c r="CN22" s="83">
        <f>'17% Управителю (З ПДВ)'!CN26/1.2/1.17</f>
        <v>0</v>
      </c>
      <c r="CO22" s="83">
        <f>'17% Управителю (З ПДВ)'!CO26/1.2/1.17</f>
        <v>0</v>
      </c>
      <c r="CP22" s="83">
        <f>'17% Управителю (З ПДВ)'!CP26/1.2/1.17</f>
        <v>0</v>
      </c>
      <c r="CQ22" s="83">
        <f>'17% Управителю (З ПДВ)'!CQ26/1.2/1.17</f>
        <v>0</v>
      </c>
      <c r="CR22" s="83">
        <f>'17% Управителю (З ПДВ)'!CR26/1.2/1.17</f>
        <v>0</v>
      </c>
      <c r="CS22" s="83">
        <f>'17% Управителю (З ПДВ)'!CS26/1.2/1.17</f>
        <v>0</v>
      </c>
      <c r="CT22" s="84">
        <f>'17% Управителю (З ПДВ)'!CT26/1.2/1.17</f>
        <v>0</v>
      </c>
    </row>
    <row r="23" spans="1:98" ht="18.75">
      <c r="A23" s="80" t="s">
        <v>29</v>
      </c>
      <c r="B23" s="85" t="s">
        <v>30</v>
      </c>
      <c r="C23" s="82"/>
      <c r="D23" s="83">
        <f>'17% Управителю (З ПДВ)'!D27/1.2/1.17</f>
        <v>1E-3</v>
      </c>
      <c r="E23" s="83">
        <f>'17% Управителю (З ПДВ)'!E27/1.2/1.17</f>
        <v>1E-3</v>
      </c>
      <c r="F23" s="83">
        <f>'17% Управителю (З ПДВ)'!F27/1.2/1.17</f>
        <v>1E-3</v>
      </c>
      <c r="G23" s="83">
        <f>'17% Управителю (З ПДВ)'!G27/1.2/1.17</f>
        <v>1E-3</v>
      </c>
      <c r="H23" s="83">
        <f>'17% Управителю (З ПДВ)'!H27/1.2/1.17</f>
        <v>1E-3</v>
      </c>
      <c r="I23" s="83">
        <f>'17% Управителю (З ПДВ)'!I27/1.2/1.17</f>
        <v>1E-3</v>
      </c>
      <c r="J23" s="83">
        <f>'17% Управителю (З ПДВ)'!J27/1.2/1.17</f>
        <v>1E-3</v>
      </c>
      <c r="K23" s="83">
        <f>'17% Управителю (З ПДВ)'!K27/1.2/1.17</f>
        <v>1E-3</v>
      </c>
      <c r="L23" s="83">
        <f>'17% Управителю (З ПДВ)'!L27/1.2/1.17</f>
        <v>1E-3</v>
      </c>
      <c r="M23" s="83">
        <f>'17% Управителю (З ПДВ)'!M27/1.2/1.17</f>
        <v>1E-3</v>
      </c>
      <c r="N23" s="83">
        <f>'17% Управителю (З ПДВ)'!N27/1.2/1.17</f>
        <v>1E-3</v>
      </c>
      <c r="O23" s="83">
        <f>'17% Управителю (З ПДВ)'!O27/1.2/1.17</f>
        <v>1E-3</v>
      </c>
      <c r="P23" s="83">
        <f>'17% Управителю (З ПДВ)'!P27/1.2/1.17</f>
        <v>1E-3</v>
      </c>
      <c r="Q23" s="83">
        <f>'17% Управителю (З ПДВ)'!Q27/1.2/1.17</f>
        <v>1E-3</v>
      </c>
      <c r="R23" s="83">
        <f>'17% Управителю (З ПДВ)'!R27/1.2/1.17</f>
        <v>1E-3</v>
      </c>
      <c r="S23" s="83">
        <f>'17% Управителю (З ПДВ)'!S27/1.2/1.17</f>
        <v>1E-3</v>
      </c>
      <c r="T23" s="83">
        <f>'17% Управителю (З ПДВ)'!T27/1.2/1.17</f>
        <v>1E-3</v>
      </c>
      <c r="U23" s="83">
        <f>'17% Управителю (З ПДВ)'!U27/1.2/1.17</f>
        <v>1E-3</v>
      </c>
      <c r="V23" s="83">
        <f>'17% Управителю (З ПДВ)'!V27/1.2/1.17</f>
        <v>1E-3</v>
      </c>
      <c r="W23" s="83">
        <f>'17% Управителю (З ПДВ)'!W27/1.2/1.17</f>
        <v>1E-3</v>
      </c>
      <c r="X23" s="83">
        <f>'17% Управителю (З ПДВ)'!X27/1.2/1.17</f>
        <v>1E-3</v>
      </c>
      <c r="Y23" s="83">
        <f>'17% Управителю (З ПДВ)'!Y27/1.2/1.17</f>
        <v>1E-3</v>
      </c>
      <c r="Z23" s="83">
        <f>'17% Управителю (З ПДВ)'!Z27/1.2/1.17</f>
        <v>1E-3</v>
      </c>
      <c r="AA23" s="83">
        <f>'17% Управителю (З ПДВ)'!AA27/1.2/1.17</f>
        <v>1E-3</v>
      </c>
      <c r="AB23" s="83">
        <f>'17% Управителю (З ПДВ)'!AB27/1.2/1.17</f>
        <v>1E-3</v>
      </c>
      <c r="AC23" s="83">
        <f>'17% Управителю (З ПДВ)'!AC27/1.2/1.17</f>
        <v>1E-3</v>
      </c>
      <c r="AD23" s="83">
        <f>'17% Управителю (З ПДВ)'!AD27/1.2/1.17</f>
        <v>0</v>
      </c>
      <c r="AE23" s="83">
        <f>'17% Управителю (З ПДВ)'!AE27/1.2/1.17</f>
        <v>0</v>
      </c>
      <c r="AF23" s="83">
        <f>'17% Управителю (З ПДВ)'!AF27/1.2/1.17</f>
        <v>0</v>
      </c>
      <c r="AG23" s="83">
        <f>'17% Управителю (З ПДВ)'!AG27/1.2/1.17</f>
        <v>0</v>
      </c>
      <c r="AH23" s="83">
        <f>'17% Управителю (З ПДВ)'!AH27/1.2/1.17</f>
        <v>0</v>
      </c>
      <c r="AI23" s="83">
        <f>'17% Управителю (З ПДВ)'!AI27/1.2/1.17</f>
        <v>1E-3</v>
      </c>
      <c r="AJ23" s="83">
        <f>'17% Управителю (З ПДВ)'!AJ27/1.2/1.17</f>
        <v>1E-3</v>
      </c>
      <c r="AK23" s="83">
        <f>'17% Управителю (З ПДВ)'!AK27/1.2/1.17</f>
        <v>1E-3</v>
      </c>
      <c r="AL23" s="83">
        <f>'17% Управителю (З ПДВ)'!AL27/1.2/1.17</f>
        <v>1E-3</v>
      </c>
      <c r="AM23" s="83">
        <f>'17% Управителю (З ПДВ)'!AM27/1.2/1.17</f>
        <v>0</v>
      </c>
      <c r="AN23" s="83">
        <f>'17% Управителю (З ПДВ)'!AN27/1.2/1.17</f>
        <v>0</v>
      </c>
      <c r="AO23" s="83">
        <f>'17% Управителю (З ПДВ)'!AO27/1.2/1.17</f>
        <v>1E-3</v>
      </c>
      <c r="AP23" s="83">
        <f>'17% Управителю (З ПДВ)'!AP27/1.2/1.17</f>
        <v>0</v>
      </c>
      <c r="AQ23" s="83">
        <f>'17% Управителю (З ПДВ)'!AQ27/1.2/1.17</f>
        <v>0</v>
      </c>
      <c r="AR23" s="83">
        <f>'17% Управителю (З ПДВ)'!AR27/1.2/1.17</f>
        <v>0</v>
      </c>
      <c r="AS23" s="83">
        <f>'17% Управителю (З ПДВ)'!AS27/1.2/1.17</f>
        <v>2E-3</v>
      </c>
      <c r="AT23" s="83">
        <f>'17% Управителю (З ПДВ)'!AT27/1.2/1.17</f>
        <v>0</v>
      </c>
      <c r="AU23" s="83">
        <f>'17% Управителю (З ПДВ)'!AU27/1.2/1.17</f>
        <v>0</v>
      </c>
      <c r="AV23" s="83">
        <f>'17% Управителю (З ПДВ)'!AV27/1.2/1.17</f>
        <v>0</v>
      </c>
      <c r="AW23" s="83">
        <f>'17% Управителю (З ПДВ)'!AW27/1.2/1.17</f>
        <v>1E-3</v>
      </c>
      <c r="AX23" s="83">
        <f>'17% Управителю (З ПДВ)'!AX27/1.2/1.17</f>
        <v>1E-3</v>
      </c>
      <c r="AY23" s="83">
        <f>'17% Управителю (З ПДВ)'!AY27/1.2/1.17</f>
        <v>0</v>
      </c>
      <c r="AZ23" s="83">
        <f>'17% Управителю (З ПДВ)'!AZ27/1.2/1.17</f>
        <v>1E-3</v>
      </c>
      <c r="BA23" s="83">
        <f>'17% Управителю (З ПДВ)'!BA27/1.2/1.17</f>
        <v>0</v>
      </c>
      <c r="BB23" s="83">
        <f>'17% Управителю (З ПДВ)'!BB27/1.2/1.17</f>
        <v>1E-3</v>
      </c>
      <c r="BC23" s="83">
        <f>'17% Управителю (З ПДВ)'!BC27/1.2/1.17</f>
        <v>1E-3</v>
      </c>
      <c r="BD23" s="83">
        <f>'17% Управителю (З ПДВ)'!BD27/1.2/1.17</f>
        <v>0</v>
      </c>
      <c r="BE23" s="83">
        <f>'17% Управителю (З ПДВ)'!BE27/1.2/1.17</f>
        <v>0</v>
      </c>
      <c r="BF23" s="83">
        <f>'17% Управителю (З ПДВ)'!BF27/1.2/1.17</f>
        <v>1E-3</v>
      </c>
      <c r="BG23" s="83">
        <f>'17% Управителю (З ПДВ)'!BG27/1.2/1.17</f>
        <v>0</v>
      </c>
      <c r="BH23" s="83">
        <f>'17% Управителю (З ПДВ)'!BH27/1.2/1.17</f>
        <v>1E-3</v>
      </c>
      <c r="BI23" s="83">
        <f>'17% Управителю (З ПДВ)'!BI27/1.2/1.17</f>
        <v>0</v>
      </c>
      <c r="BJ23" s="83">
        <f>'17% Управителю (З ПДВ)'!BJ27/1.2/1.17</f>
        <v>1E-3</v>
      </c>
      <c r="BK23" s="83">
        <f>'17% Управителю (З ПДВ)'!BK27/1.2/1.17</f>
        <v>1E-3</v>
      </c>
      <c r="BL23" s="83">
        <f>'17% Управителю (З ПДВ)'!BL27/1.2/1.17</f>
        <v>1E-3</v>
      </c>
      <c r="BM23" s="83">
        <f>'17% Управителю (З ПДВ)'!BM27/1.2/1.17</f>
        <v>1E-3</v>
      </c>
      <c r="BN23" s="83">
        <f>'17% Управителю (З ПДВ)'!BN27/1.2/1.17</f>
        <v>1E-3</v>
      </c>
      <c r="BO23" s="83">
        <f>'17% Управителю (З ПДВ)'!BO27/1.2/1.17</f>
        <v>0</v>
      </c>
      <c r="BP23" s="83">
        <f>'17% Управителю (З ПДВ)'!BP27/1.2/1.17</f>
        <v>0</v>
      </c>
      <c r="BQ23" s="83">
        <f>'17% Управителю (З ПДВ)'!BQ27/1.2/1.17</f>
        <v>0</v>
      </c>
      <c r="BR23" s="83">
        <f>'17% Управителю (З ПДВ)'!BR27/1.2/1.17</f>
        <v>0</v>
      </c>
      <c r="BS23" s="83">
        <f>'17% Управителю (З ПДВ)'!BS27/1.2/1.17</f>
        <v>1E-3</v>
      </c>
      <c r="BT23" s="83">
        <f>'17% Управителю (З ПДВ)'!BT27/1.2/1.17</f>
        <v>1E-3</v>
      </c>
      <c r="BU23" s="83">
        <f>'17% Управителю (З ПДВ)'!BU27/1.2/1.17</f>
        <v>1E-3</v>
      </c>
      <c r="BV23" s="83">
        <f>'17% Управителю (З ПДВ)'!BV27/1.2/1.17</f>
        <v>1E-3</v>
      </c>
      <c r="BW23" s="83">
        <f>'17% Управителю (З ПДВ)'!BW27/1.2/1.17</f>
        <v>0</v>
      </c>
      <c r="BX23" s="83">
        <f>'17% Управителю (З ПДВ)'!BX27/1.2/1.17</f>
        <v>1E-3</v>
      </c>
      <c r="BY23" s="83">
        <f>'17% Управителю (З ПДВ)'!BY27/1.2/1.17</f>
        <v>1E-3</v>
      </c>
      <c r="BZ23" s="83">
        <f>'17% Управителю (З ПДВ)'!BZ27/1.2/1.17</f>
        <v>1E-3</v>
      </c>
      <c r="CA23" s="83">
        <f>'17% Управителю (З ПДВ)'!CA27/1.2/1.17</f>
        <v>1E-3</v>
      </c>
      <c r="CB23" s="83">
        <f>'17% Управителю (З ПДВ)'!CB27/1.2/1.17</f>
        <v>1E-3</v>
      </c>
      <c r="CC23" s="83">
        <f>'17% Управителю (З ПДВ)'!CC27/1.2/1.17</f>
        <v>1E-3</v>
      </c>
      <c r="CD23" s="83">
        <f>'17% Управителю (З ПДВ)'!CD27/1.2/1.17</f>
        <v>1E-3</v>
      </c>
      <c r="CE23" s="83">
        <f>'17% Управителю (З ПДВ)'!CE27/1.2/1.17</f>
        <v>0</v>
      </c>
      <c r="CF23" s="83">
        <f>'17% Управителю (З ПДВ)'!CF27/1.2/1.17</f>
        <v>1E-3</v>
      </c>
      <c r="CG23" s="83">
        <f>'17% Управителю (З ПДВ)'!CG27/1.2/1.17</f>
        <v>1E-3</v>
      </c>
      <c r="CH23" s="83">
        <f>'17% Управителю (З ПДВ)'!CH27/1.2/1.17</f>
        <v>1E-3</v>
      </c>
      <c r="CI23" s="83">
        <f>'17% Управителю (З ПДВ)'!CI27/1.2/1.17</f>
        <v>0</v>
      </c>
      <c r="CJ23" s="83">
        <f>'17% Управителю (З ПДВ)'!CJ27/1.2/1.17</f>
        <v>0</v>
      </c>
      <c r="CK23" s="83">
        <f>'17% Управителю (З ПДВ)'!CK27/1.2/1.17</f>
        <v>0</v>
      </c>
      <c r="CL23" s="83">
        <f>'17% Управителю (З ПДВ)'!CL27/1.2/1.17</f>
        <v>0</v>
      </c>
      <c r="CM23" s="83">
        <f>'17% Управителю (З ПДВ)'!CM27/1.2/1.17</f>
        <v>2E-3</v>
      </c>
      <c r="CN23" s="83">
        <f>'17% Управителю (З ПДВ)'!CN27/1.2/1.17</f>
        <v>0</v>
      </c>
      <c r="CO23" s="83">
        <f>'17% Управителю (З ПДВ)'!CO27/1.2/1.17</f>
        <v>0</v>
      </c>
      <c r="CP23" s="83">
        <f>'17% Управителю (З ПДВ)'!CP27/1.2/1.17</f>
        <v>0</v>
      </c>
      <c r="CQ23" s="83">
        <f>'17% Управителю (З ПДВ)'!CQ27/1.2/1.17</f>
        <v>0</v>
      </c>
      <c r="CR23" s="83">
        <f>'17% Управителю (З ПДВ)'!CR27/1.2/1.17</f>
        <v>0</v>
      </c>
      <c r="CS23" s="83">
        <f>'17% Управителю (З ПДВ)'!CS27/1.2/1.17</f>
        <v>0</v>
      </c>
      <c r="CT23" s="84">
        <f>'17% Управителю (З ПДВ)'!CT27/1.2/1.17</f>
        <v>0</v>
      </c>
    </row>
    <row r="24" spans="1:98" ht="18.75">
      <c r="A24" s="80" t="s">
        <v>31</v>
      </c>
      <c r="B24" s="85" t="s">
        <v>32</v>
      </c>
      <c r="C24" s="82"/>
      <c r="D24" s="83">
        <f>'17% Управителю (З ПДВ)'!D28/1.2/1.17</f>
        <v>0.05</v>
      </c>
      <c r="E24" s="83">
        <f>'17% Управителю (З ПДВ)'!E28/1.2/1.17</f>
        <v>2.4E-2</v>
      </c>
      <c r="F24" s="83">
        <f>'17% Управителю (З ПДВ)'!F28/1.2/1.17</f>
        <v>3.3000000000000002E-2</v>
      </c>
      <c r="G24" s="83">
        <f>'17% Управителю (З ПДВ)'!G28/1.2/1.17</f>
        <v>2.1999999999999999E-2</v>
      </c>
      <c r="H24" s="83">
        <f>'17% Управителю (З ПДВ)'!H28/1.2/1.17</f>
        <v>4.4999999999999998E-2</v>
      </c>
      <c r="I24" s="83">
        <f>'17% Управителю (З ПДВ)'!I28/1.2/1.17</f>
        <v>2.1000000000000001E-2</v>
      </c>
      <c r="J24" s="83">
        <f>'17% Управителю (З ПДВ)'!J28/1.2/1.17</f>
        <v>4.5999999999999999E-2</v>
      </c>
      <c r="K24" s="83">
        <f>'17% Управителю (З ПДВ)'!K28/1.2/1.17</f>
        <v>2.1000000000000001E-2</v>
      </c>
      <c r="L24" s="83">
        <f>'17% Управителю (З ПДВ)'!L28/1.2/1.17</f>
        <v>3.2000000000000001E-2</v>
      </c>
      <c r="M24" s="83">
        <f>'17% Управителю (З ПДВ)'!M28/1.2/1.17</f>
        <v>3.1E-2</v>
      </c>
      <c r="N24" s="83">
        <f>'17% Управителю (З ПДВ)'!N28/1.2/1.17</f>
        <v>0.03</v>
      </c>
      <c r="O24" s="83">
        <f>'17% Управителю (З ПДВ)'!O28/1.2/1.17</f>
        <v>5.3999999999999999E-2</v>
      </c>
      <c r="P24" s="83">
        <f>'17% Управителю (З ПДВ)'!P28/1.2/1.17</f>
        <v>2.4E-2</v>
      </c>
      <c r="Q24" s="83">
        <f>'17% Управителю (З ПДВ)'!Q28/1.2/1.17</f>
        <v>1.9E-2</v>
      </c>
      <c r="R24" s="83">
        <f>'17% Управителю (З ПДВ)'!R28/1.2/1.17</f>
        <v>2.1999999999999999E-2</v>
      </c>
      <c r="S24" s="83">
        <f>'17% Управителю (З ПДВ)'!S28/1.2/1.17</f>
        <v>2.9000000000000001E-2</v>
      </c>
      <c r="T24" s="83">
        <f>'17% Управителю (З ПДВ)'!T28/1.2/1.17</f>
        <v>3.1E-2</v>
      </c>
      <c r="U24" s="83">
        <f>'17% Управителю (З ПДВ)'!U28/1.2/1.17</f>
        <v>5.0999999999999997E-2</v>
      </c>
      <c r="V24" s="83">
        <f>'17% Управителю (З ПДВ)'!V28/1.2/1.17</f>
        <v>2.5000000000000001E-2</v>
      </c>
      <c r="W24" s="83">
        <f>'17% Управителю (З ПДВ)'!W28/1.2/1.17</f>
        <v>1.7999999999999999E-2</v>
      </c>
      <c r="X24" s="83">
        <f>'17% Управителю (З ПДВ)'!X28/1.2/1.17</f>
        <v>0.02</v>
      </c>
      <c r="Y24" s="83">
        <f>'17% Управителю (З ПДВ)'!Y28/1.2/1.17</f>
        <v>0.02</v>
      </c>
      <c r="Z24" s="83">
        <f>'17% Управителю (З ПДВ)'!Z28/1.2/1.17</f>
        <v>2.5999999999999999E-2</v>
      </c>
      <c r="AA24" s="83">
        <f>'17% Управителю (З ПДВ)'!AA28/1.2/1.17</f>
        <v>2.5999999999999999E-2</v>
      </c>
      <c r="AB24" s="83">
        <f>'17% Управителю (З ПДВ)'!AB28/1.2/1.17</f>
        <v>0.03</v>
      </c>
      <c r="AC24" s="83">
        <f>'17% Управителю (З ПДВ)'!AC28/1.2/1.17</f>
        <v>2.8000000000000001E-2</v>
      </c>
      <c r="AD24" s="83">
        <f>'17% Управителю (З ПДВ)'!AD28/1.2/1.17</f>
        <v>0.08</v>
      </c>
      <c r="AE24" s="83">
        <f>'17% Управителю (З ПДВ)'!AE28/1.2/1.17</f>
        <v>6.3E-2</v>
      </c>
      <c r="AF24" s="83">
        <f>'17% Управителю (З ПДВ)'!AF28/1.2/1.17</f>
        <v>5.3999999999999999E-2</v>
      </c>
      <c r="AG24" s="83">
        <f>'17% Управителю (З ПДВ)'!AG28/1.2/1.17</f>
        <v>6.9000000000000006E-2</v>
      </c>
      <c r="AH24" s="83">
        <f>'17% Управителю (З ПДВ)'!AH28/1.2/1.17</f>
        <v>1.4999999999999999E-2</v>
      </c>
      <c r="AI24" s="83">
        <f>'17% Управителю (З ПДВ)'!AI28/1.2/1.17</f>
        <v>2.1000000000000001E-2</v>
      </c>
      <c r="AJ24" s="83">
        <f>'17% Управителю (З ПДВ)'!AJ28/1.2/1.17</f>
        <v>2.1000000000000001E-2</v>
      </c>
      <c r="AK24" s="83">
        <f>'17% Управителю (З ПДВ)'!AK28/1.2/1.17</f>
        <v>2.4E-2</v>
      </c>
      <c r="AL24" s="83">
        <f>'17% Управителю (З ПДВ)'!AL28/1.2/1.17</f>
        <v>1.4999999999999999E-2</v>
      </c>
      <c r="AM24" s="83">
        <f>'17% Управителю (З ПДВ)'!AM28/1.2/1.17</f>
        <v>2.8000000000000001E-2</v>
      </c>
      <c r="AN24" s="83">
        <f>'17% Управителю (З ПДВ)'!AN28/1.2/1.17</f>
        <v>1.4E-2</v>
      </c>
      <c r="AO24" s="83">
        <f>'17% Управителю (З ПДВ)'!AO28/1.2/1.17</f>
        <v>0.11899999999999999</v>
      </c>
      <c r="AP24" s="83">
        <f>'17% Управителю (З ПДВ)'!AP28/1.2/1.17</f>
        <v>5.6000000000000001E-2</v>
      </c>
      <c r="AQ24" s="83">
        <f>'17% Управителю (З ПДВ)'!AQ28/1.2/1.17</f>
        <v>4.8000000000000001E-2</v>
      </c>
      <c r="AR24" s="83">
        <f>'17% Управителю (З ПДВ)'!AR28/1.2/1.17</f>
        <v>2.4E-2</v>
      </c>
      <c r="AS24" s="83">
        <f>'17% Управителю (З ПДВ)'!AS28/1.2/1.17</f>
        <v>3.3000000000000002E-2</v>
      </c>
      <c r="AT24" s="83">
        <f>'17% Управителю (З ПДВ)'!AT28/1.2/1.17</f>
        <v>3.5999999999999997E-2</v>
      </c>
      <c r="AU24" s="83">
        <f>'17% Управителю (З ПДВ)'!AU28/1.2/1.17</f>
        <v>3.7999999999999999E-2</v>
      </c>
      <c r="AV24" s="83">
        <f>'17% Управителю (З ПДВ)'!AV28/1.2/1.17</f>
        <v>3.4000000000000002E-2</v>
      </c>
      <c r="AW24" s="83">
        <f>'17% Управителю (З ПДВ)'!AW28/1.2/1.17</f>
        <v>2.3E-2</v>
      </c>
      <c r="AX24" s="83">
        <f>'17% Управителю (З ПДВ)'!AX28/1.2/1.17</f>
        <v>2.1999999999999999E-2</v>
      </c>
      <c r="AY24" s="83">
        <f>'17% Управителю (З ПДВ)'!AY28/1.2/1.17</f>
        <v>2.4E-2</v>
      </c>
      <c r="AZ24" s="83">
        <f>'17% Управителю (З ПДВ)'!AZ28/1.2/1.17</f>
        <v>3.4000000000000002E-2</v>
      </c>
      <c r="BA24" s="83">
        <f>'17% Управителю (З ПДВ)'!BA28/1.2/1.17</f>
        <v>3.5999999999999997E-2</v>
      </c>
      <c r="BB24" s="83">
        <f>'17% Управителю (З ПДВ)'!BB28/1.2/1.17</f>
        <v>2.5000000000000001E-2</v>
      </c>
      <c r="BC24" s="83">
        <f>'17% Управителю (З ПДВ)'!BC28/1.2/1.17</f>
        <v>2.4E-2</v>
      </c>
      <c r="BD24" s="83">
        <f>'17% Управителю (З ПДВ)'!BD28/1.2/1.17</f>
        <v>0.20799999999999999</v>
      </c>
      <c r="BE24" s="83">
        <f>'17% Управителю (З ПДВ)'!BE28/1.2/1.17</f>
        <v>4.8000000000000001E-2</v>
      </c>
      <c r="BF24" s="83">
        <f>'17% Управителю (З ПДВ)'!BF28/1.2/1.17</f>
        <v>0.02</v>
      </c>
      <c r="BG24" s="83">
        <f>'17% Управителю (З ПДВ)'!BG28/1.2/1.17</f>
        <v>0.13200000000000001</v>
      </c>
      <c r="BH24" s="83">
        <f>'17% Управителю (З ПДВ)'!BH28/1.2/1.17</f>
        <v>4.8000000000000001E-2</v>
      </c>
      <c r="BI24" s="83">
        <f>'17% Управителю (З ПДВ)'!BI28/1.2/1.17</f>
        <v>0.13200000000000001</v>
      </c>
      <c r="BJ24" s="83">
        <f>'17% Управителю (З ПДВ)'!BJ28/1.2/1.17</f>
        <v>2.5999999999999999E-2</v>
      </c>
      <c r="BK24" s="83">
        <f>'17% Управителю (З ПДВ)'!BK28/1.2/1.17</f>
        <v>1.0999999999999999E-2</v>
      </c>
      <c r="BL24" s="83">
        <f>'17% Управителю (З ПДВ)'!BL28/1.2/1.17</f>
        <v>4.1000000000000002E-2</v>
      </c>
      <c r="BM24" s="83">
        <f>'17% Управителю (З ПДВ)'!BM28/1.2/1.17</f>
        <v>1.9E-2</v>
      </c>
      <c r="BN24" s="83">
        <f>'17% Управителю (З ПДВ)'!BN28/1.2/1.17</f>
        <v>2.1000000000000001E-2</v>
      </c>
      <c r="BO24" s="83">
        <f>'17% Управителю (З ПДВ)'!BO28/1.2/1.17</f>
        <v>6.0000000000000001E-3</v>
      </c>
      <c r="BP24" s="83">
        <f>'17% Управителю (З ПДВ)'!BP28/1.2/1.17</f>
        <v>0.13400000000000001</v>
      </c>
      <c r="BQ24" s="83">
        <f>'17% Управителю (З ПДВ)'!BQ28/1.2/1.17</f>
        <v>0.13700000000000001</v>
      </c>
      <c r="BR24" s="83">
        <f>'17% Управителю (З ПДВ)'!BR28/1.2/1.17</f>
        <v>0.02</v>
      </c>
      <c r="BS24" s="83">
        <f>'17% Управителю (З ПДВ)'!BS28/1.2/1.17</f>
        <v>3.3000000000000002E-2</v>
      </c>
      <c r="BT24" s="83">
        <f>'17% Управителю (З ПДВ)'!BT28/1.2/1.17</f>
        <v>0.12</v>
      </c>
      <c r="BU24" s="83">
        <f>'17% Управителю (З ПДВ)'!BU28/1.2/1.17</f>
        <v>2.5000000000000001E-2</v>
      </c>
      <c r="BV24" s="83">
        <f>'17% Управителю (З ПДВ)'!BV28/1.2/1.17</f>
        <v>4.9000000000000002E-2</v>
      </c>
      <c r="BW24" s="83">
        <f>'17% Управителю (З ПДВ)'!BW28/1.2/1.17</f>
        <v>2.4E-2</v>
      </c>
      <c r="BX24" s="83">
        <f>'17% Управителю (З ПДВ)'!BX28/1.2/1.17</f>
        <v>2.1999999999999999E-2</v>
      </c>
      <c r="BY24" s="83">
        <f>'17% Управителю (З ПДВ)'!BY28/1.2/1.17</f>
        <v>2.1999999999999999E-2</v>
      </c>
      <c r="BZ24" s="83">
        <f>'17% Управителю (З ПДВ)'!BZ28/1.2/1.17</f>
        <v>2.5999999999999999E-2</v>
      </c>
      <c r="CA24" s="83">
        <f>'17% Управителю (З ПДВ)'!CA28/1.2/1.17</f>
        <v>2.5999999999999999E-2</v>
      </c>
      <c r="CB24" s="83">
        <f>'17% Управителю (З ПДВ)'!CB28/1.2/1.17</f>
        <v>4.2999999999999997E-2</v>
      </c>
      <c r="CC24" s="83">
        <f>'17% Управителю (З ПДВ)'!CC28/1.2/1.17</f>
        <v>4.2999999999999997E-2</v>
      </c>
      <c r="CD24" s="83">
        <f>'17% Управителю (З ПДВ)'!CD28/1.2/1.17</f>
        <v>4.1000000000000002E-2</v>
      </c>
      <c r="CE24" s="83">
        <f>'17% Управителю (З ПДВ)'!CE28/1.2/1.17</f>
        <v>0.17299999999999999</v>
      </c>
      <c r="CF24" s="83">
        <f>'17% Управителю (З ПДВ)'!CF28/1.2/1.17</f>
        <v>0.02</v>
      </c>
      <c r="CG24" s="83">
        <f>'17% Управителю (З ПДВ)'!CG28/1.2/1.17</f>
        <v>4.2000000000000003E-2</v>
      </c>
      <c r="CH24" s="83">
        <f>'17% Управителю (З ПДВ)'!CH28/1.2/1.17</f>
        <v>4.2000000000000003E-2</v>
      </c>
      <c r="CI24" s="83">
        <f>'17% Управителю (З ПДВ)'!CI28/1.2/1.17</f>
        <v>6.8000000000000005E-2</v>
      </c>
      <c r="CJ24" s="83">
        <f>'17% Управителю (З ПДВ)'!CJ28/1.2/1.17</f>
        <v>6.8000000000000005E-2</v>
      </c>
      <c r="CK24" s="83">
        <f>'17% Управителю (З ПДВ)'!CK28/1.2/1.17</f>
        <v>4.1000000000000002E-2</v>
      </c>
      <c r="CL24" s="83">
        <f>'17% Управителю (З ПДВ)'!CL28/1.2/1.17</f>
        <v>0.05</v>
      </c>
      <c r="CM24" s="83">
        <f>'17% Управителю (З ПДВ)'!CM28/1.2/1.17</f>
        <v>4.4999999999999998E-2</v>
      </c>
      <c r="CN24" s="83">
        <f>'17% Управителю (З ПДВ)'!CN28/1.2/1.17</f>
        <v>9.5000000000000001E-2</v>
      </c>
      <c r="CO24" s="83">
        <f>'17% Управителю (З ПДВ)'!CO28/1.2/1.17</f>
        <v>0.189</v>
      </c>
      <c r="CP24" s="83">
        <f>'17% Управителю (З ПДВ)'!CP28/1.2/1.17</f>
        <v>0.192</v>
      </c>
      <c r="CQ24" s="83">
        <f>'17% Управителю (З ПДВ)'!CQ28/1.2/1.17</f>
        <v>0.19</v>
      </c>
      <c r="CR24" s="83">
        <f>'17% Управителю (З ПДВ)'!CR28/1.2/1.17</f>
        <v>0.189</v>
      </c>
      <c r="CS24" s="83">
        <f>'17% Управителю (З ПДВ)'!CS28/1.2/1.17</f>
        <v>0.20399999999999999</v>
      </c>
      <c r="CT24" s="84">
        <f>'17% Управителю (З ПДВ)'!CT28/1.2/1.17</f>
        <v>1.7000000000000001E-2</v>
      </c>
    </row>
    <row r="25" spans="1:98" ht="18.75">
      <c r="A25" s="80" t="s">
        <v>33</v>
      </c>
      <c r="B25" s="85" t="s">
        <v>34</v>
      </c>
      <c r="C25" s="82"/>
      <c r="D25" s="83">
        <f>'17% Управителю (З ПДВ)'!D29/1.2/1.17</f>
        <v>6.4000000000000001E-2</v>
      </c>
      <c r="E25" s="83">
        <f>'17% Управителю (З ПДВ)'!E29/1.2/1.17</f>
        <v>3.1E-2</v>
      </c>
      <c r="F25" s="83">
        <f>'17% Управителю (З ПДВ)'!F29/1.2/1.17</f>
        <v>7.5999999999999998E-2</v>
      </c>
      <c r="G25" s="83">
        <f>'17% Управителю (З ПДВ)'!G29/1.2/1.17</f>
        <v>8.8999999999999996E-2</v>
      </c>
      <c r="H25" s="83">
        <f>'17% Управителю (З ПДВ)'!H29/1.2/1.17</f>
        <v>0.08</v>
      </c>
      <c r="I25" s="83">
        <f>'17% Управителю (З ПДВ)'!I29/1.2/1.17</f>
        <v>9.6000000000000002E-2</v>
      </c>
      <c r="J25" s="83">
        <f>'17% Управителю (З ПДВ)'!J29/1.2/1.17</f>
        <v>0.09</v>
      </c>
      <c r="K25" s="83">
        <f>'17% Управителю (З ПДВ)'!K29/1.2/1.17</f>
        <v>9.6000000000000002E-2</v>
      </c>
      <c r="L25" s="83">
        <f>'17% Управителю (З ПДВ)'!L29/1.2/1.17</f>
        <v>0.121</v>
      </c>
      <c r="M25" s="83">
        <f>'17% Управителю (З ПДВ)'!M29/1.2/1.17</f>
        <v>0.127</v>
      </c>
      <c r="N25" s="83">
        <f>'17% Управителю (З ПДВ)'!N29/1.2/1.17</f>
        <v>0.11799999999999999</v>
      </c>
      <c r="O25" s="83">
        <f>'17% Управителю (З ПДВ)'!O29/1.2/1.17</f>
        <v>6.6000000000000003E-2</v>
      </c>
      <c r="P25" s="83">
        <f>'17% Управителю (З ПДВ)'!P29/1.2/1.17</f>
        <v>7.3999999999999996E-2</v>
      </c>
      <c r="Q25" s="83">
        <f>'17% Управителю (З ПДВ)'!Q29/1.2/1.17</f>
        <v>0.10100000000000001</v>
      </c>
      <c r="R25" s="83">
        <f>'17% Управителю (З ПДВ)'!R29/1.2/1.17</f>
        <v>3.7999999999999999E-2</v>
      </c>
      <c r="S25" s="83">
        <f>'17% Управителю (З ПДВ)'!S29/1.2/1.17</f>
        <v>7.5999999999999998E-2</v>
      </c>
      <c r="T25" s="83">
        <f>'17% Управителю (З ПДВ)'!T29/1.2/1.17</f>
        <v>3.3000000000000002E-2</v>
      </c>
      <c r="U25" s="83">
        <f>'17% Управителю (З ПДВ)'!U29/1.2/1.17</f>
        <v>7.4999999999999997E-2</v>
      </c>
      <c r="V25" s="83">
        <f>'17% Управителю (З ПДВ)'!V29/1.2/1.17</f>
        <v>4.2999999999999997E-2</v>
      </c>
      <c r="W25" s="83">
        <f>'17% Управителю (З ПДВ)'!W29/1.2/1.17</f>
        <v>5.8000000000000003E-2</v>
      </c>
      <c r="X25" s="83">
        <f>'17% Управителю (З ПДВ)'!X29/1.2/1.17</f>
        <v>8.1000000000000003E-2</v>
      </c>
      <c r="Y25" s="83">
        <f>'17% Управителю (З ПДВ)'!Y29/1.2/1.17</f>
        <v>7.8E-2</v>
      </c>
      <c r="Z25" s="83">
        <f>'17% Управителю (З ПДВ)'!Z29/1.2/1.17</f>
        <v>0.109</v>
      </c>
      <c r="AA25" s="83">
        <f>'17% Управителю (З ПДВ)'!AA29/1.2/1.17</f>
        <v>4.1000000000000002E-2</v>
      </c>
      <c r="AB25" s="83">
        <f>'17% Управителю (З ПДВ)'!AB29/1.2/1.17</f>
        <v>3.1E-2</v>
      </c>
      <c r="AC25" s="83">
        <f>'17% Управителю (З ПДВ)'!AC29/1.2/1.17</f>
        <v>8.6999999999999994E-2</v>
      </c>
      <c r="AD25" s="83">
        <f>'17% Управителю (З ПДВ)'!AD29/1.2/1.17</f>
        <v>0</v>
      </c>
      <c r="AE25" s="83">
        <f>'17% Управителю (З ПДВ)'!AE29/1.2/1.17</f>
        <v>0</v>
      </c>
      <c r="AF25" s="83">
        <f>'17% Управителю (З ПДВ)'!AF29/1.2/1.17</f>
        <v>0</v>
      </c>
      <c r="AG25" s="83">
        <f>'17% Управителю (З ПДВ)'!AG29/1.2/1.17</f>
        <v>0</v>
      </c>
      <c r="AH25" s="83">
        <f>'17% Управителю (З ПДВ)'!AH29/1.2/1.17</f>
        <v>6.8000000000000005E-2</v>
      </c>
      <c r="AI25" s="83">
        <f>'17% Управителю (З ПДВ)'!AI29/1.2/1.17</f>
        <v>0.20699999999999999</v>
      </c>
      <c r="AJ25" s="83">
        <f>'17% Управителю (З ПДВ)'!AJ29/1.2/1.17</f>
        <v>0.127</v>
      </c>
      <c r="AK25" s="83">
        <f>'17% Управителю (З ПДВ)'!AK29/1.2/1.17</f>
        <v>0.19900000000000001</v>
      </c>
      <c r="AL25" s="83">
        <f>'17% Управителю (З ПДВ)'!AL29/1.2/1.17</f>
        <v>0.192</v>
      </c>
      <c r="AM25" s="83">
        <f>'17% Управителю (З ПДВ)'!AM29/1.2/1.17</f>
        <v>0</v>
      </c>
      <c r="AN25" s="83">
        <f>'17% Управителю (З ПДВ)'!AN29/1.2/1.17</f>
        <v>0.189</v>
      </c>
      <c r="AO25" s="83">
        <f>'17% Управителю (З ПДВ)'!AO29/1.2/1.17</f>
        <v>0.217</v>
      </c>
      <c r="AP25" s="83">
        <f>'17% Управителю (З ПДВ)'!AP29/1.2/1.17</f>
        <v>0.13</v>
      </c>
      <c r="AQ25" s="83">
        <f>'17% Управителю (З ПДВ)'!AQ29/1.2/1.17</f>
        <v>0</v>
      </c>
      <c r="AR25" s="83">
        <f>'17% Управителю (З ПДВ)'!AR29/1.2/1.17</f>
        <v>0</v>
      </c>
      <c r="AS25" s="83">
        <f>'17% Управителю (З ПДВ)'!AS29/1.2/1.17</f>
        <v>0.246</v>
      </c>
      <c r="AT25" s="83">
        <f>'17% Управителю (З ПДВ)'!AT29/1.2/1.17</f>
        <v>4.8000000000000001E-2</v>
      </c>
      <c r="AU25" s="83">
        <f>'17% Управителю (З ПДВ)'!AU29/1.2/1.17</f>
        <v>4.7E-2</v>
      </c>
      <c r="AV25" s="83">
        <f>'17% Управителю (З ПДВ)'!AV29/1.2/1.17</f>
        <v>5.5E-2</v>
      </c>
      <c r="AW25" s="83">
        <f>'17% Управителю (З ПДВ)'!AW29/1.2/1.17</f>
        <v>4.5999999999999999E-2</v>
      </c>
      <c r="AX25" s="83">
        <f>'17% Управителю (З ПДВ)'!AX29/1.2/1.17</f>
        <v>4.1000000000000002E-2</v>
      </c>
      <c r="AY25" s="83">
        <f>'17% Управителю (З ПДВ)'!AY29/1.2/1.17</f>
        <v>8.3000000000000004E-2</v>
      </c>
      <c r="AZ25" s="83">
        <f>'17% Управителю (З ПДВ)'!AZ29/1.2/1.17</f>
        <v>0.08</v>
      </c>
      <c r="BA25" s="83">
        <f>'17% Управителю (З ПДВ)'!BA29/1.2/1.17</f>
        <v>7.2999999999999995E-2</v>
      </c>
      <c r="BB25" s="83">
        <f>'17% Управителю (З ПДВ)'!BB29/1.2/1.17</f>
        <v>6.0999999999999999E-2</v>
      </c>
      <c r="BC25" s="83">
        <f>'17% Управителю (З ПДВ)'!BC29/1.2/1.17</f>
        <v>2.1999999999999999E-2</v>
      </c>
      <c r="BD25" s="83">
        <f>'17% Управителю (З ПДВ)'!BD29/1.2/1.17</f>
        <v>8.3000000000000004E-2</v>
      </c>
      <c r="BE25" s="83">
        <f>'17% Управителю (З ПДВ)'!BE29/1.2/1.17</f>
        <v>0.1</v>
      </c>
      <c r="BF25" s="83">
        <f>'17% Управителю (З ПДВ)'!BF29/1.2/1.17</f>
        <v>7.0999999999999994E-2</v>
      </c>
      <c r="BG25" s="83">
        <f>'17% Управителю (З ПДВ)'!BG29/1.2/1.17</f>
        <v>0.16500000000000001</v>
      </c>
      <c r="BH25" s="83">
        <f>'17% Управителю (З ПДВ)'!BH29/1.2/1.17</f>
        <v>7.4999999999999997E-2</v>
      </c>
      <c r="BI25" s="83">
        <f>'17% Управителю (З ПДВ)'!BI29/1.2/1.17</f>
        <v>0.16300000000000001</v>
      </c>
      <c r="BJ25" s="83">
        <f>'17% Управителю (З ПДВ)'!BJ29/1.2/1.17</f>
        <v>9.6000000000000002E-2</v>
      </c>
      <c r="BK25" s="83">
        <f>'17% Управителю (З ПДВ)'!BK29/1.2/1.17</f>
        <v>0.14899999999999999</v>
      </c>
      <c r="BL25" s="83">
        <f>'17% Управителю (З ПДВ)'!BL29/1.2/1.17</f>
        <v>8.4000000000000005E-2</v>
      </c>
      <c r="BM25" s="83">
        <f>'17% Управителю (З ПДВ)'!BM29/1.2/1.17</f>
        <v>2.5999999999999999E-2</v>
      </c>
      <c r="BN25" s="83">
        <f>'17% Управителю (З ПДВ)'!BN29/1.2/1.17</f>
        <v>0.13500000000000001</v>
      </c>
      <c r="BO25" s="83">
        <f>'17% Управителю (З ПДВ)'!BO29/1.2/1.17</f>
        <v>6.6000000000000003E-2</v>
      </c>
      <c r="BP25" s="83">
        <f>'17% Управителю (З ПДВ)'!BP29/1.2/1.17</f>
        <v>0.20100000000000001</v>
      </c>
      <c r="BQ25" s="83">
        <f>'17% Управителю (З ПДВ)'!BQ29/1.2/1.17</f>
        <v>0.20399999999999999</v>
      </c>
      <c r="BR25" s="83">
        <f>'17% Управителю (З ПДВ)'!BR29/1.2/1.17</f>
        <v>0.111</v>
      </c>
      <c r="BS25" s="83">
        <f>'17% Управителю (З ПДВ)'!BS29/1.2/1.17</f>
        <v>8.5000000000000006E-2</v>
      </c>
      <c r="BT25" s="83">
        <f>'17% Управителю (З ПДВ)'!BT29/1.2/1.17</f>
        <v>9.2999999999999999E-2</v>
      </c>
      <c r="BU25" s="83">
        <f>'17% Управителю (З ПДВ)'!BU29/1.2/1.17</f>
        <v>7.8E-2</v>
      </c>
      <c r="BV25" s="83">
        <f>'17% Управителю (З ПДВ)'!BV29/1.2/1.17</f>
        <v>7.0999999999999994E-2</v>
      </c>
      <c r="BW25" s="83">
        <f>'17% Управителю (З ПДВ)'!BW29/1.2/1.17</f>
        <v>8.5000000000000006E-2</v>
      </c>
      <c r="BX25" s="83">
        <f>'17% Управителю (З ПДВ)'!BX29/1.2/1.17</f>
        <v>0.04</v>
      </c>
      <c r="BY25" s="83">
        <f>'17% Управителю (З ПДВ)'!BY29/1.2/1.17</f>
        <v>5.6000000000000001E-2</v>
      </c>
      <c r="BZ25" s="83">
        <f>'17% Управителю (З ПДВ)'!BZ29/1.2/1.17</f>
        <v>3.3000000000000002E-2</v>
      </c>
      <c r="CA25" s="83">
        <f>'17% Управителю (З ПДВ)'!CA29/1.2/1.17</f>
        <v>3.9E-2</v>
      </c>
      <c r="CB25" s="83">
        <f>'17% Управителю (З ПДВ)'!CB29/1.2/1.17</f>
        <v>5.2999999999999999E-2</v>
      </c>
      <c r="CC25" s="83">
        <f>'17% Управителю (З ПДВ)'!CC29/1.2/1.17</f>
        <v>8.5999999999999993E-2</v>
      </c>
      <c r="CD25" s="83">
        <f>'17% Управителю (З ПДВ)'!CD29/1.2/1.17</f>
        <v>6.0999999999999999E-2</v>
      </c>
      <c r="CE25" s="83">
        <f>'17% Управителю (З ПДВ)'!CE29/1.2/1.17</f>
        <v>0</v>
      </c>
      <c r="CF25" s="83">
        <f>'17% Управителю (З ПДВ)'!CF29/1.2/1.17</f>
        <v>9.5000000000000001E-2</v>
      </c>
      <c r="CG25" s="83">
        <f>'17% Управителю (З ПДВ)'!CG29/1.2/1.17</f>
        <v>3.7999999999999999E-2</v>
      </c>
      <c r="CH25" s="83">
        <f>'17% Управителю (З ПДВ)'!CH29/1.2/1.17</f>
        <v>0.08</v>
      </c>
      <c r="CI25" s="83">
        <f>'17% Управителю (З ПДВ)'!CI29/1.2/1.17</f>
        <v>0.16900000000000001</v>
      </c>
      <c r="CJ25" s="83">
        <f>'17% Управителю (З ПДВ)'!CJ29/1.2/1.17</f>
        <v>0.17899999999999999</v>
      </c>
      <c r="CK25" s="83">
        <f>'17% Управителю (З ПДВ)'!CK29/1.2/1.17</f>
        <v>0.30299999999999999</v>
      </c>
      <c r="CL25" s="83">
        <f>'17% Управителю (З ПДВ)'!CL29/1.2/1.17</f>
        <v>0.27200000000000002</v>
      </c>
      <c r="CM25" s="83">
        <f>'17% Управителю (З ПДВ)'!CM29/1.2/1.17</f>
        <v>0.25600000000000001</v>
      </c>
      <c r="CN25" s="83">
        <f>'17% Управителю (З ПДВ)'!CN29/1.2/1.17</f>
        <v>0</v>
      </c>
      <c r="CO25" s="83">
        <f>'17% Управителю (З ПДВ)'!CO29/1.2/1.17</f>
        <v>0.03</v>
      </c>
      <c r="CP25" s="83">
        <f>'17% Управителю (З ПДВ)'!CP29/1.2/1.17</f>
        <v>3.1E-2</v>
      </c>
      <c r="CQ25" s="83">
        <f>'17% Управителю (З ПДВ)'!CQ29/1.2/1.17</f>
        <v>0.03</v>
      </c>
      <c r="CR25" s="83">
        <f>'17% Управителю (З ПДВ)'!CR29/1.2/1.17</f>
        <v>0.03</v>
      </c>
      <c r="CS25" s="83">
        <f>'17% Управителю (З ПДВ)'!CS29/1.2/1.17</f>
        <v>0.03</v>
      </c>
      <c r="CT25" s="84">
        <f>'17% Управителю (З ПДВ)'!CT29/1.2/1.17</f>
        <v>2.8000000000000001E-2</v>
      </c>
    </row>
    <row r="26" spans="1:98" ht="18.75">
      <c r="A26" s="98" t="s">
        <v>35</v>
      </c>
      <c r="B26" s="99" t="s">
        <v>36</v>
      </c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2"/>
    </row>
    <row r="27" spans="1:98" ht="18.75">
      <c r="A27" s="80" t="s">
        <v>37</v>
      </c>
      <c r="B27" s="85" t="s">
        <v>38</v>
      </c>
      <c r="C27" s="82"/>
      <c r="D27" s="83">
        <f>'17% Управителю (З ПДВ)'!D31/1.2/1.17</f>
        <v>1.0999999999999999E-2</v>
      </c>
      <c r="E27" s="83">
        <f>'17% Управителю (З ПДВ)'!E31/1.2/1.17</f>
        <v>2.9000000000000001E-2</v>
      </c>
      <c r="F27" s="83">
        <f>'17% Управителю (З ПДВ)'!F31/1.2/1.17</f>
        <v>4.5999999999999999E-2</v>
      </c>
      <c r="G27" s="83">
        <f>'17% Управителю (З ПДВ)'!G31/1.2/1.17</f>
        <v>0.05</v>
      </c>
      <c r="H27" s="83">
        <f>'17% Управителю (З ПДВ)'!H31/1.2/1.17</f>
        <v>6.0999999999999999E-2</v>
      </c>
      <c r="I27" s="83">
        <f>'17% Управителю (З ПДВ)'!I31/1.2/1.17</f>
        <v>7.1999999999999995E-2</v>
      </c>
      <c r="J27" s="83">
        <f>'17% Управителю (З ПДВ)'!J31/1.2/1.17</f>
        <v>3.1E-2</v>
      </c>
      <c r="K27" s="83">
        <f>'17% Управителю (З ПДВ)'!K31/1.2/1.17</f>
        <v>2.1000000000000001E-2</v>
      </c>
      <c r="L27" s="83">
        <f>'17% Управителю (З ПДВ)'!L31/1.2/1.17</f>
        <v>7.1999999999999995E-2</v>
      </c>
      <c r="M27" s="83">
        <f>'17% Управителю (З ПДВ)'!M31/1.2/1.17</f>
        <v>5.5E-2</v>
      </c>
      <c r="N27" s="83">
        <f>'17% Управителю (З ПДВ)'!N31/1.2/1.17</f>
        <v>5.5E-2</v>
      </c>
      <c r="O27" s="83">
        <f>'17% Управителю (З ПДВ)'!O31/1.2/1.17</f>
        <v>1.4999999999999999E-2</v>
      </c>
      <c r="P27" s="83">
        <f>'17% Управителю (З ПДВ)'!P31/1.2/1.17</f>
        <v>4.3999999999999997E-2</v>
      </c>
      <c r="Q27" s="83">
        <f>'17% Управителю (З ПДВ)'!Q31/1.2/1.17</f>
        <v>2.1000000000000001E-2</v>
      </c>
      <c r="R27" s="83">
        <f>'17% Управителю (З ПДВ)'!R31/1.2/1.17</f>
        <v>1.2999999999999999E-2</v>
      </c>
      <c r="S27" s="83">
        <f>'17% Управителю (З ПДВ)'!S31/1.2/1.17</f>
        <v>5.5E-2</v>
      </c>
      <c r="T27" s="83">
        <f>'17% Управителю (З ПДВ)'!T31/1.2/1.17</f>
        <v>3.4000000000000002E-2</v>
      </c>
      <c r="U27" s="83">
        <f>'17% Управителю (З ПДВ)'!U31/1.2/1.17</f>
        <v>6.5000000000000002E-2</v>
      </c>
      <c r="V27" s="83">
        <f>'17% Управителю (З ПДВ)'!V31/1.2/1.17</f>
        <v>0.04</v>
      </c>
      <c r="W27" s="83">
        <f>'17% Управителю (З ПДВ)'!W31/1.2/1.17</f>
        <v>4.9000000000000002E-2</v>
      </c>
      <c r="X27" s="83">
        <f>'17% Управителю (З ПДВ)'!X31/1.2/1.17</f>
        <v>5.2999999999999999E-2</v>
      </c>
      <c r="Y27" s="83">
        <f>'17% Управителю (З ПДВ)'!Y31/1.2/1.17</f>
        <v>6.6000000000000003E-2</v>
      </c>
      <c r="Z27" s="83">
        <f>'17% Управителю (З ПДВ)'!Z31/1.2/1.17</f>
        <v>4.3999999999999997E-2</v>
      </c>
      <c r="AA27" s="83">
        <f>'17% Управителю (З ПДВ)'!AA31/1.2/1.17</f>
        <v>4.2000000000000003E-2</v>
      </c>
      <c r="AB27" s="83">
        <f>'17% Управителю (З ПДВ)'!AB31/1.2/1.17</f>
        <v>4.3999999999999997E-2</v>
      </c>
      <c r="AC27" s="83">
        <f>'17% Управителю (З ПДВ)'!AC31/1.2/1.17</f>
        <v>4.2000000000000003E-2</v>
      </c>
      <c r="AD27" s="83">
        <f>'17% Управителю (З ПДВ)'!AD31/1.2/1.17</f>
        <v>2E-3</v>
      </c>
      <c r="AE27" s="83">
        <f>'17% Управителю (З ПДВ)'!AE31/1.2/1.17</f>
        <v>0</v>
      </c>
      <c r="AF27" s="83">
        <f>'17% Управителю (З ПДВ)'!AF31/1.2/1.17</f>
        <v>0</v>
      </c>
      <c r="AG27" s="83">
        <f>'17% Управителю (З ПДВ)'!AG31/1.2/1.17</f>
        <v>0</v>
      </c>
      <c r="AH27" s="83">
        <f>'17% Управителю (З ПДВ)'!AH31/1.2/1.17</f>
        <v>5.8999999999999997E-2</v>
      </c>
      <c r="AI27" s="83">
        <f>'17% Управителю (З ПДВ)'!AI31/1.2/1.17</f>
        <v>5.0999999999999997E-2</v>
      </c>
      <c r="AJ27" s="83">
        <f>'17% Управителю (З ПДВ)'!AJ31/1.2/1.17</f>
        <v>5.0999999999999997E-2</v>
      </c>
      <c r="AK27" s="83">
        <f>'17% Управителю (З ПДВ)'!AK31/1.2/1.17</f>
        <v>1.4E-2</v>
      </c>
      <c r="AL27" s="83">
        <f>'17% Управителю (З ПДВ)'!AL31/1.2/1.17</f>
        <v>1.7000000000000001E-2</v>
      </c>
      <c r="AM27" s="83">
        <f>'17% Управителю (З ПДВ)'!AM31/1.2/1.17</f>
        <v>0</v>
      </c>
      <c r="AN27" s="83">
        <f>'17% Управителю (З ПДВ)'!AN31/1.2/1.17</f>
        <v>3.1E-2</v>
      </c>
      <c r="AO27" s="83">
        <f>'17% Управителю (З ПДВ)'!AO31/1.2/1.17</f>
        <v>1.9E-2</v>
      </c>
      <c r="AP27" s="83">
        <f>'17% Управителю (З ПДВ)'!AP31/1.2/1.17</f>
        <v>4.1000000000000002E-2</v>
      </c>
      <c r="AQ27" s="83">
        <f>'17% Управителю (З ПДВ)'!AQ31/1.2/1.17</f>
        <v>0</v>
      </c>
      <c r="AR27" s="83">
        <f>'17% Управителю (З ПДВ)'!AR31/1.2/1.17</f>
        <v>0</v>
      </c>
      <c r="AS27" s="83">
        <f>'17% Управителю (З ПДВ)'!AS31/1.2/1.17</f>
        <v>7.0000000000000007E-2</v>
      </c>
      <c r="AT27" s="83">
        <f>'17% Управителю (З ПДВ)'!AT31/1.2/1.17</f>
        <v>2.5000000000000001E-2</v>
      </c>
      <c r="AU27" s="83">
        <f>'17% Управителю (З ПДВ)'!AU31/1.2/1.17</f>
        <v>2.7E-2</v>
      </c>
      <c r="AV27" s="83">
        <f>'17% Управителю (З ПДВ)'!AV31/1.2/1.17</f>
        <v>2.3E-2</v>
      </c>
      <c r="AW27" s="83">
        <f>'17% Управителю (З ПДВ)'!AW31/1.2/1.17</f>
        <v>1.0999999999999999E-2</v>
      </c>
      <c r="AX27" s="83">
        <f>'17% Управителю (З ПДВ)'!AX31/1.2/1.17</f>
        <v>1.2999999999999999E-2</v>
      </c>
      <c r="AY27" s="83">
        <f>'17% Управителю (З ПДВ)'!AY31/1.2/1.17</f>
        <v>3.2000000000000001E-2</v>
      </c>
      <c r="AZ27" s="83">
        <f>'17% Управителю (З ПДВ)'!AZ31/1.2/1.17</f>
        <v>5.8999999999999997E-2</v>
      </c>
      <c r="BA27" s="83">
        <f>'17% Управителю (З ПДВ)'!BA31/1.2/1.17</f>
        <v>0.03</v>
      </c>
      <c r="BB27" s="83">
        <f>'17% Управителю (З ПДВ)'!BB31/1.2/1.17</f>
        <v>4.2000000000000003E-2</v>
      </c>
      <c r="BC27" s="83">
        <f>'17% Управителю (З ПДВ)'!BC31/1.2/1.17</f>
        <v>1.9E-2</v>
      </c>
      <c r="BD27" s="83">
        <f>'17% Управителю (З ПДВ)'!BD31/1.2/1.17</f>
        <v>4.8000000000000001E-2</v>
      </c>
      <c r="BE27" s="83">
        <f>'17% Управителю (З ПДВ)'!BE31/1.2/1.17</f>
        <v>4.9000000000000002E-2</v>
      </c>
      <c r="BF27" s="83">
        <f>'17% Управителю (З ПДВ)'!BF31/1.2/1.17</f>
        <v>5.8999999999999997E-2</v>
      </c>
      <c r="BG27" s="83">
        <f>'17% Управителю (З ПДВ)'!BG31/1.2/1.17</f>
        <v>3.2000000000000001E-2</v>
      </c>
      <c r="BH27" s="83">
        <f>'17% Управителю (З ПДВ)'!BH31/1.2/1.17</f>
        <v>1.2999999999999999E-2</v>
      </c>
      <c r="BI27" s="83">
        <f>'17% Управителю (З ПДВ)'!BI31/1.2/1.17</f>
        <v>3.1E-2</v>
      </c>
      <c r="BJ27" s="83">
        <f>'17% Управителю (З ПДВ)'!BJ31/1.2/1.17</f>
        <v>5.6000000000000001E-2</v>
      </c>
      <c r="BK27" s="83">
        <f>'17% Управителю (З ПДВ)'!BK31/1.2/1.17</f>
        <v>2.1000000000000001E-2</v>
      </c>
      <c r="BL27" s="83">
        <f>'17% Управителю (З ПДВ)'!BL31/1.2/1.17</f>
        <v>4.7E-2</v>
      </c>
      <c r="BM27" s="83">
        <f>'17% Управителю (З ПДВ)'!BM31/1.2/1.17</f>
        <v>0.01</v>
      </c>
      <c r="BN27" s="83">
        <f>'17% Управителю (З ПДВ)'!BN31/1.2/1.17</f>
        <v>9.5000000000000001E-2</v>
      </c>
      <c r="BO27" s="83">
        <f>'17% Управителю (З ПДВ)'!BO31/1.2/1.17</f>
        <v>7.8E-2</v>
      </c>
      <c r="BP27" s="83">
        <f>'17% Управителю (З ПДВ)'!BP31/1.2/1.17</f>
        <v>3.1E-2</v>
      </c>
      <c r="BQ27" s="83">
        <f>'17% Управителю (З ПДВ)'!BQ31/1.2/1.17</f>
        <v>2.5999999999999999E-2</v>
      </c>
      <c r="BR27" s="83">
        <f>'17% Управителю (З ПДВ)'!BR31/1.2/1.17</f>
        <v>4.3999999999999997E-2</v>
      </c>
      <c r="BS27" s="83">
        <f>'17% Управителю (З ПДВ)'!BS31/1.2/1.17</f>
        <v>3.5999999999999997E-2</v>
      </c>
      <c r="BT27" s="83">
        <f>'17% Управителю (З ПДВ)'!BT31/1.2/1.17</f>
        <v>0.05</v>
      </c>
      <c r="BU27" s="83">
        <f>'17% Управителю (З ПДВ)'!BU31/1.2/1.17</f>
        <v>5.0999999999999997E-2</v>
      </c>
      <c r="BV27" s="83">
        <f>'17% Управителю (З ПДВ)'!BV31/1.2/1.17</f>
        <v>6.4000000000000001E-2</v>
      </c>
      <c r="BW27" s="83">
        <f>'17% Управителю (З ПДВ)'!BW31/1.2/1.17</f>
        <v>3.2000000000000001E-2</v>
      </c>
      <c r="BX27" s="83">
        <f>'17% Управителю (З ПДВ)'!BX31/1.2/1.17</f>
        <v>2.5000000000000001E-2</v>
      </c>
      <c r="BY27" s="83">
        <f>'17% Управителю (З ПДВ)'!BY31/1.2/1.17</f>
        <v>1.2999999999999999E-2</v>
      </c>
      <c r="BZ27" s="83">
        <f>'17% Управителю (З ПДВ)'!BZ31/1.2/1.17</f>
        <v>3.3000000000000002E-2</v>
      </c>
      <c r="CA27" s="83">
        <f>'17% Управителю (З ПДВ)'!CA31/1.2/1.17</f>
        <v>3.4000000000000002E-2</v>
      </c>
      <c r="CB27" s="83">
        <f>'17% Управителю (З ПДВ)'!CB31/1.2/1.17</f>
        <v>3.5999999999999997E-2</v>
      </c>
      <c r="CC27" s="83">
        <f>'17% Управителю (З ПДВ)'!CC31/1.2/1.17</f>
        <v>3.7999999999999999E-2</v>
      </c>
      <c r="CD27" s="83">
        <f>'17% Управителю (З ПДВ)'!CD31/1.2/1.17</f>
        <v>3.5999999999999997E-2</v>
      </c>
      <c r="CE27" s="83">
        <f>'17% Управителю (З ПДВ)'!CE31/1.2/1.17</f>
        <v>0</v>
      </c>
      <c r="CF27" s="83">
        <f>'17% Управителю (З ПДВ)'!CF31/1.2/1.17</f>
        <v>2.3E-2</v>
      </c>
      <c r="CG27" s="83">
        <f>'17% Управителю (З ПДВ)'!CG31/1.2/1.17</f>
        <v>1.9E-2</v>
      </c>
      <c r="CH27" s="83">
        <f>'17% Управителю (З ПДВ)'!CH31/1.2/1.17</f>
        <v>1.9E-2</v>
      </c>
      <c r="CI27" s="83">
        <f>'17% Управителю (З ПДВ)'!CI31/1.2/1.17</f>
        <v>5.7000000000000002E-2</v>
      </c>
      <c r="CJ27" s="83">
        <f>'17% Управителю (З ПДВ)'!CJ31/1.2/1.17</f>
        <v>4.8000000000000001E-2</v>
      </c>
      <c r="CK27" s="83">
        <f>'17% Управителю (З ПДВ)'!CK31/1.2/1.17</f>
        <v>3.1E-2</v>
      </c>
      <c r="CL27" s="83">
        <f>'17% Управителю (З ПДВ)'!CL31/1.2/1.17</f>
        <v>2.5000000000000001E-2</v>
      </c>
      <c r="CM27" s="83">
        <f>'17% Управителю (З ПДВ)'!CM31/1.2/1.17</f>
        <v>3.2000000000000001E-2</v>
      </c>
      <c r="CN27" s="83">
        <f>'17% Управителю (З ПДВ)'!CN31/1.2/1.17</f>
        <v>0</v>
      </c>
      <c r="CO27" s="83">
        <f>'17% Управителю (З ПДВ)'!CO31/1.2/1.17</f>
        <v>0</v>
      </c>
      <c r="CP27" s="83">
        <f>'17% Управителю (З ПДВ)'!CP31/1.2/1.17</f>
        <v>0</v>
      </c>
      <c r="CQ27" s="83">
        <f>'17% Управителю (З ПДВ)'!CQ31/1.2/1.17</f>
        <v>0</v>
      </c>
      <c r="CR27" s="83">
        <f>'17% Управителю (З ПДВ)'!CR31/1.2/1.17</f>
        <v>0</v>
      </c>
      <c r="CS27" s="83">
        <f>'17% Управителю (З ПДВ)'!CS31/1.2/1.17</f>
        <v>0</v>
      </c>
      <c r="CT27" s="84">
        <f>'17% Управителю (З ПДВ)'!CT31/1.2/1.17</f>
        <v>0</v>
      </c>
    </row>
    <row r="28" spans="1:98" ht="18.75">
      <c r="A28" s="86" t="s">
        <v>39</v>
      </c>
      <c r="B28" s="81" t="s">
        <v>40</v>
      </c>
      <c r="C28" s="87"/>
      <c r="D28" s="88">
        <f>'17% Управителю (З ПДВ)'!D32/1.2/1.17</f>
        <v>0.58499999999999996</v>
      </c>
      <c r="E28" s="88">
        <f>'17% Управителю (З ПДВ)'!E32/1.2/1.17</f>
        <v>0.53400000000000003</v>
      </c>
      <c r="F28" s="88">
        <f>'17% Управителю (З ПДВ)'!F32/1.2/1.17</f>
        <v>0.83099999999999996</v>
      </c>
      <c r="G28" s="88">
        <f>'17% Управителю (З ПДВ)'!G32/1.2/1.17</f>
        <v>1.0960000000000001</v>
      </c>
      <c r="H28" s="88">
        <f>'17% Управителю (З ПДВ)'!H32/1.2/1.17</f>
        <v>0.84099999999999997</v>
      </c>
      <c r="I28" s="88">
        <f>'17% Управителю (З ПДВ)'!I32/1.2/1.17</f>
        <v>1.0840000000000001</v>
      </c>
      <c r="J28" s="88">
        <f>'17% Управителю (З ПДВ)'!J32/1.2/1.17</f>
        <v>0.52600000000000002</v>
      </c>
      <c r="K28" s="88">
        <f>'17% Управителю (З ПДВ)'!K32/1.2/1.17</f>
        <v>1.06</v>
      </c>
      <c r="L28" s="88">
        <f>'17% Управителю (З ПДВ)'!L32/1.2/1.17</f>
        <v>0.92900000000000005</v>
      </c>
      <c r="M28" s="88">
        <f>'17% Управителю (З ПДВ)'!M32/1.2/1.17</f>
        <v>0.86499999999999999</v>
      </c>
      <c r="N28" s="88">
        <f>'17% Управителю (З ПДВ)'!N32/1.2/1.17</f>
        <v>0.875</v>
      </c>
      <c r="O28" s="88">
        <f>'17% Управителю (З ПДВ)'!O32/1.2/1.17</f>
        <v>0.64200000000000002</v>
      </c>
      <c r="P28" s="88">
        <f>'17% Управителю (З ПДВ)'!P32/1.2/1.17</f>
        <v>1.071</v>
      </c>
      <c r="Q28" s="88">
        <f>'17% Управителю (З ПДВ)'!Q32/1.2/1.17</f>
        <v>0.57099999999999995</v>
      </c>
      <c r="R28" s="88">
        <f>'17% Управителю (З ПДВ)'!R32/1.2/1.17</f>
        <v>0.58799999999999997</v>
      </c>
      <c r="S28" s="88">
        <f>'17% Управителю (З ПДВ)'!S32/1.2/1.17</f>
        <v>1.004</v>
      </c>
      <c r="T28" s="88">
        <f>'17% Управителю (З ПДВ)'!T32/1.2/1.17</f>
        <v>0.91200000000000003</v>
      </c>
      <c r="U28" s="88">
        <f>'17% Управителю (З ПДВ)'!U32/1.2/1.17</f>
        <v>0.94899999999999995</v>
      </c>
      <c r="V28" s="88">
        <f>'17% Управителю (З ПДВ)'!V32/1.2/1.17</f>
        <v>0.90500000000000003</v>
      </c>
      <c r="W28" s="88">
        <f>'17% Управителю (З ПДВ)'!W32/1.2/1.17</f>
        <v>0.82699999999999996</v>
      </c>
      <c r="X28" s="88">
        <f>'17% Управителю (З ПДВ)'!X32/1.2/1.17</f>
        <v>0.85699999999999998</v>
      </c>
      <c r="Y28" s="88">
        <f>'17% Управителю (З ПДВ)'!Y32/1.2/1.17</f>
        <v>0.754</v>
      </c>
      <c r="Z28" s="88">
        <f>'17% Управителю (З ПДВ)'!Z32/1.2/1.17</f>
        <v>0.6</v>
      </c>
      <c r="AA28" s="88">
        <f>'17% Управителю (З ПДВ)'!AA32/1.2/1.17</f>
        <v>0.65900000000000003</v>
      </c>
      <c r="AB28" s="88">
        <f>'17% Управителю (З ПДВ)'!AB32/1.2/1.17</f>
        <v>0.66200000000000003</v>
      </c>
      <c r="AC28" s="88">
        <f>'17% Управителю (З ПДВ)'!AC32/1.2/1.17</f>
        <v>0.61499999999999999</v>
      </c>
      <c r="AD28" s="88">
        <f>'17% Управителю (З ПДВ)'!AD32/1.2/1.17</f>
        <v>0.41699999999999998</v>
      </c>
      <c r="AE28" s="88">
        <f>'17% Управителю (З ПДВ)'!AE32/1.2/1.17</f>
        <v>0.36899999999999999</v>
      </c>
      <c r="AF28" s="88">
        <f>'17% Управителю (З ПДВ)'!AF32/1.2/1.17</f>
        <v>0.39400000000000002</v>
      </c>
      <c r="AG28" s="88">
        <f>'17% Управителю (З ПДВ)'!AG32/1.2/1.17</f>
        <v>0.371</v>
      </c>
      <c r="AH28" s="88">
        <f>'17% Управителю (З ПДВ)'!AH32/1.2/1.17</f>
        <v>0.66700000000000004</v>
      </c>
      <c r="AI28" s="88">
        <f>'17% Управителю (З ПДВ)'!AI32/1.2/1.17</f>
        <v>0.624</v>
      </c>
      <c r="AJ28" s="88">
        <f>'17% Управителю (З ПДВ)'!AJ32/1.2/1.17</f>
        <v>0.625</v>
      </c>
      <c r="AK28" s="88">
        <f>'17% Управителю (З ПДВ)'!AK32/1.2/1.17</f>
        <v>0.20399999999999999</v>
      </c>
      <c r="AL28" s="88">
        <f>'17% Управителю (З ПДВ)'!AL32/1.2/1.17</f>
        <v>0.60199999999999998</v>
      </c>
      <c r="AM28" s="88">
        <f>'17% Управителю (З ПДВ)'!AM32/1.2/1.17</f>
        <v>0.35699999999999998</v>
      </c>
      <c r="AN28" s="88">
        <f>'17% Управителю (З ПДВ)'!AN32/1.2/1.17</f>
        <v>0.504</v>
      </c>
      <c r="AO28" s="88">
        <f>'17% Управителю (З ПДВ)'!AO32/1.2/1.17</f>
        <v>0.77500000000000002</v>
      </c>
      <c r="AP28" s="88">
        <f>'17% Управителю (З ПДВ)'!AP32/1.2/1.17</f>
        <v>0.88</v>
      </c>
      <c r="AQ28" s="88">
        <f>'17% Управителю (З ПДВ)'!AQ32/1.2/1.17</f>
        <v>0.34699999999999998</v>
      </c>
      <c r="AR28" s="88">
        <f>'17% Управителю (З ПДВ)'!AR32/1.2/1.17</f>
        <v>0.35799999999999998</v>
      </c>
      <c r="AS28" s="88">
        <f>'17% Управителю (З ПДВ)'!AS32/1.2/1.17</f>
        <v>0.61499999999999999</v>
      </c>
      <c r="AT28" s="88">
        <f>'17% Управителю (З ПДВ)'!AT32/1.2/1.17</f>
        <v>0.36699999999999999</v>
      </c>
      <c r="AU28" s="88">
        <f>'17% Управителю (З ПДВ)'!AU32/1.2/1.17</f>
        <v>0.40699999999999997</v>
      </c>
      <c r="AV28" s="88">
        <f>'17% Управителю (З ПДВ)'!AV32/1.2/1.17</f>
        <v>0.39900000000000002</v>
      </c>
      <c r="AW28" s="88">
        <f>'17% Управителю (З ПДВ)'!AW32/1.2/1.17</f>
        <v>0.48899999999999999</v>
      </c>
      <c r="AX28" s="88">
        <f>'17% Управителю (З ПДВ)'!AX32/1.2/1.17</f>
        <v>0.55300000000000005</v>
      </c>
      <c r="AY28" s="88">
        <f>'17% Управителю (З ПДВ)'!AY32/1.2/1.17</f>
        <v>0.498</v>
      </c>
      <c r="AZ28" s="88">
        <f>'17% Управителю (З ПДВ)'!AZ32/1.2/1.17</f>
        <v>0.85099999999999998</v>
      </c>
      <c r="BA28" s="88">
        <f>'17% Управителю (З ПДВ)'!BA32/1.2/1.17</f>
        <v>0.32500000000000001</v>
      </c>
      <c r="BB28" s="88">
        <f>'17% Управителю (З ПДВ)'!BB32/1.2/1.17</f>
        <v>0.60799999999999998</v>
      </c>
      <c r="BC28" s="88">
        <f>'17% Управителю (З ПДВ)'!BC32/1.2/1.17</f>
        <v>0.36</v>
      </c>
      <c r="BD28" s="88">
        <f>'17% Управителю (З ПДВ)'!BD32/1.2/1.17</f>
        <v>0.61499999999999999</v>
      </c>
      <c r="BE28" s="88">
        <f>'17% Управителю (З ПДВ)'!BE32/1.2/1.17</f>
        <v>0.77700000000000002</v>
      </c>
      <c r="BF28" s="88">
        <f>'17% Управителю (З ПДВ)'!BF32/1.2/1.17</f>
        <v>0.81599999999999995</v>
      </c>
      <c r="BG28" s="88">
        <f>'17% Управителю (З ПДВ)'!BG32/1.2/1.17</f>
        <v>0.52600000000000002</v>
      </c>
      <c r="BH28" s="88">
        <f>'17% Управителю (З ПДВ)'!BH32/1.2/1.17</f>
        <v>0.53300000000000003</v>
      </c>
      <c r="BI28" s="88">
        <f>'17% Управителю (З ПДВ)'!BI32/1.2/1.17</f>
        <v>0.55300000000000005</v>
      </c>
      <c r="BJ28" s="88">
        <f>'17% Управителю (З ПДВ)'!BJ32/1.2/1.17</f>
        <v>0.70299999999999996</v>
      </c>
      <c r="BK28" s="88">
        <f>'17% Управителю (З ПДВ)'!BK32/1.2/1.17</f>
        <v>0.48899999999999999</v>
      </c>
      <c r="BL28" s="88">
        <f>'17% Управителю (З ПДВ)'!BL32/1.2/1.17</f>
        <v>0.86099999999999999</v>
      </c>
      <c r="BM28" s="88">
        <f>'17% Управителю (З ПДВ)'!BM32/1.2/1.17</f>
        <v>0.82499999999999996</v>
      </c>
      <c r="BN28" s="88">
        <f>'17% Управителю (З ПДВ)'!BN32/1.2/1.17</f>
        <v>1.113</v>
      </c>
      <c r="BO28" s="88">
        <f>'17% Управителю (З ПДВ)'!BO32/1.2/1.17</f>
        <v>0.70899999999999996</v>
      </c>
      <c r="BP28" s="88">
        <f>'17% Управителю (З ПДВ)'!BP32/1.2/1.17</f>
        <v>0.49399999999999999</v>
      </c>
      <c r="BQ28" s="88">
        <f>'17% Управителю (З ПДВ)'!BQ32/1.2/1.17</f>
        <v>0.46200000000000002</v>
      </c>
      <c r="BR28" s="88">
        <f>'17% Управителю (З ПДВ)'!BR32/1.2/1.17</f>
        <v>0.78600000000000003</v>
      </c>
      <c r="BS28" s="88">
        <f>'17% Управителю (З ПДВ)'!BS32/1.2/1.17</f>
        <v>0.69599999999999995</v>
      </c>
      <c r="BT28" s="88">
        <f>'17% Управителю (З ПДВ)'!BT32/1.2/1.17</f>
        <v>1.008</v>
      </c>
      <c r="BU28" s="88">
        <f>'17% Управителю (З ПДВ)'!BU32/1.2/1.17</f>
        <v>0.7</v>
      </c>
      <c r="BV28" s="88">
        <f>'17% Управителю (З ПДВ)'!BV32/1.2/1.17</f>
        <v>0.91</v>
      </c>
      <c r="BW28" s="88">
        <f>'17% Управителю (З ПДВ)'!BW32/1.2/1.17</f>
        <v>0.48799999999999999</v>
      </c>
      <c r="BX28" s="88">
        <f>'17% Управителю (З ПДВ)'!BX32/1.2/1.17</f>
        <v>0.66</v>
      </c>
      <c r="BY28" s="88">
        <f>'17% Управителю (З ПДВ)'!BY32/1.2/1.17</f>
        <v>0.58599999999999997</v>
      </c>
      <c r="BZ28" s="88">
        <f>'17% Управителю (З ПДВ)'!BZ32/1.2/1.17</f>
        <v>0.64600000000000002</v>
      </c>
      <c r="CA28" s="88">
        <f>'17% Управителю (З ПДВ)'!CA32/1.2/1.17</f>
        <v>0.68300000000000005</v>
      </c>
      <c r="CB28" s="88">
        <f>'17% Управителю (З ПДВ)'!CB32/1.2/1.17</f>
        <v>0.68</v>
      </c>
      <c r="CC28" s="88">
        <f>'17% Управителю (З ПДВ)'!CC32/1.2/1.17</f>
        <v>0.56799999999999995</v>
      </c>
      <c r="CD28" s="88">
        <f>'17% Управителю (З ПДВ)'!CD32/1.2/1.17</f>
        <v>0.58799999999999997</v>
      </c>
      <c r="CE28" s="88">
        <f>'17% Управителю (З ПДВ)'!CE32/1.2/1.17</f>
        <v>0.41799999999999998</v>
      </c>
      <c r="CF28" s="88">
        <f>'17% Управителю (З ПДВ)'!CF32/1.2/1.17</f>
        <v>0.995</v>
      </c>
      <c r="CG28" s="88">
        <f>'17% Управителю (З ПДВ)'!CG32/1.2/1.17</f>
        <v>0.222</v>
      </c>
      <c r="CH28" s="88">
        <f>'17% Управителю (З ПДВ)'!CH32/1.2/1.17</f>
        <v>0.222</v>
      </c>
      <c r="CI28" s="88">
        <f>'17% Управителю (З ПДВ)'!CI32/1.2/1.17</f>
        <v>0.60299999999999998</v>
      </c>
      <c r="CJ28" s="88">
        <f>'17% Управителю (З ПДВ)'!CJ32/1.2/1.17</f>
        <v>0.57799999999999996</v>
      </c>
      <c r="CK28" s="88">
        <f>'17% Управителю (З ПДВ)'!CK32/1.2/1.17</f>
        <v>0.25900000000000001</v>
      </c>
      <c r="CL28" s="88">
        <f>'17% Управителю (З ПДВ)'!CL32/1.2/1.17</f>
        <v>0.54200000000000004</v>
      </c>
      <c r="CM28" s="88">
        <f>'17% Управителю (З ПДВ)'!CM32/1.2/1.17</f>
        <v>6.6000000000000003E-2</v>
      </c>
      <c r="CN28" s="88">
        <f>'17% Управителю (З ПДВ)'!CN32/1.2/1.17</f>
        <v>0.36699999999999999</v>
      </c>
      <c r="CO28" s="88">
        <f>'17% Управителю (З ПДВ)'!CO32/1.2/1.17</f>
        <v>0.35899999999999999</v>
      </c>
      <c r="CP28" s="88">
        <f>'17% Управителю (З ПДВ)'!CP32/1.2/1.17</f>
        <v>0.40699999999999997</v>
      </c>
      <c r="CQ28" s="88">
        <f>'17% Управителю (З ПДВ)'!CQ32/1.2/1.17</f>
        <v>0.41199999999999998</v>
      </c>
      <c r="CR28" s="88">
        <f>'17% Управителю (З ПДВ)'!CR32/1.2/1.17</f>
        <v>0.38500000000000001</v>
      </c>
      <c r="CS28" s="88">
        <f>'17% Управителю (З ПДВ)'!CS32/1.2/1.17</f>
        <v>0.4</v>
      </c>
      <c r="CT28" s="89">
        <f>'17% Управителю (З ПДВ)'!CT32/1.2/1.17</f>
        <v>0.435</v>
      </c>
    </row>
    <row r="29" spans="1:98" ht="18.75">
      <c r="A29" s="90"/>
      <c r="B29" s="81" t="s">
        <v>41</v>
      </c>
      <c r="C29" s="9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3"/>
    </row>
    <row r="30" spans="1:98" ht="18.75">
      <c r="A30" s="90"/>
      <c r="B30" s="81" t="s">
        <v>42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3"/>
    </row>
    <row r="31" spans="1:98" ht="18.75">
      <c r="A31" s="90"/>
      <c r="B31" s="81" t="s">
        <v>43</v>
      </c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3"/>
    </row>
    <row r="32" spans="1:98" ht="18.75">
      <c r="A32" s="90"/>
      <c r="B32" s="81" t="s">
        <v>22</v>
      </c>
      <c r="C32" s="91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3"/>
    </row>
    <row r="33" spans="1:98" ht="18.75">
      <c r="A33" s="90"/>
      <c r="B33" s="81" t="s">
        <v>23</v>
      </c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3"/>
    </row>
    <row r="34" spans="1:98" ht="18.75">
      <c r="A34" s="90"/>
      <c r="B34" s="81" t="s">
        <v>24</v>
      </c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3"/>
    </row>
    <row r="35" spans="1:98" ht="18.75">
      <c r="A35" s="90"/>
      <c r="B35" s="81" t="s">
        <v>25</v>
      </c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3"/>
    </row>
    <row r="36" spans="1:98" ht="93.75">
      <c r="A36" s="94"/>
      <c r="B36" s="81" t="s">
        <v>44</v>
      </c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7"/>
    </row>
    <row r="37" spans="1:98" ht="37.5">
      <c r="A37" s="98" t="s">
        <v>45</v>
      </c>
      <c r="B37" s="103" t="s">
        <v>46</v>
      </c>
      <c r="C37" s="104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2"/>
    </row>
    <row r="38" spans="1:98" ht="18.75">
      <c r="A38" s="80" t="s">
        <v>47</v>
      </c>
      <c r="B38" s="81" t="s">
        <v>48</v>
      </c>
      <c r="C38" s="82"/>
      <c r="D38" s="83">
        <f>'17% Управителю (З ПДВ)'!D42/1.2/1.17</f>
        <v>1E-3</v>
      </c>
      <c r="E38" s="83">
        <f>'17% Управителю (З ПДВ)'!E42/1.2/1.17</f>
        <v>1E-3</v>
      </c>
      <c r="F38" s="83">
        <f>'17% Управителю (З ПДВ)'!F42/1.2/1.17</f>
        <v>1E-3</v>
      </c>
      <c r="G38" s="83">
        <f>'17% Управителю (З ПДВ)'!G42/1.2/1.17</f>
        <v>1E-3</v>
      </c>
      <c r="H38" s="83">
        <f>'17% Управителю (З ПДВ)'!H42/1.2/1.17</f>
        <v>1E-3</v>
      </c>
      <c r="I38" s="83">
        <f>'17% Управителю (З ПДВ)'!I42/1.2/1.17</f>
        <v>1E-3</v>
      </c>
      <c r="J38" s="83">
        <f>'17% Управителю (З ПДВ)'!J42/1.2/1.17</f>
        <v>1E-3</v>
      </c>
      <c r="K38" s="83">
        <f>'17% Управителю (З ПДВ)'!K42/1.2/1.17</f>
        <v>1E-3</v>
      </c>
      <c r="L38" s="83">
        <f>'17% Управителю (З ПДВ)'!L42/1.2/1.17</f>
        <v>1E-3</v>
      </c>
      <c r="M38" s="83">
        <f>'17% Управителю (З ПДВ)'!M42/1.2/1.17</f>
        <v>1E-3</v>
      </c>
      <c r="N38" s="83">
        <f>'17% Управителю (З ПДВ)'!N42/1.2/1.17</f>
        <v>1E-3</v>
      </c>
      <c r="O38" s="83">
        <f>'17% Управителю (З ПДВ)'!O42/1.2/1.17</f>
        <v>1E-3</v>
      </c>
      <c r="P38" s="83">
        <f>'17% Управителю (З ПДВ)'!P42/1.2/1.17</f>
        <v>1E-3</v>
      </c>
      <c r="Q38" s="83">
        <f>'17% Управителю (З ПДВ)'!Q42/1.2/1.17</f>
        <v>1E-3</v>
      </c>
      <c r="R38" s="83">
        <f>'17% Управителю (З ПДВ)'!R42/1.2/1.17</f>
        <v>1E-3</v>
      </c>
      <c r="S38" s="83">
        <f>'17% Управителю (З ПДВ)'!S42/1.2/1.17</f>
        <v>1E-3</v>
      </c>
      <c r="T38" s="83">
        <f>'17% Управителю (З ПДВ)'!T42/1.2/1.17</f>
        <v>1E-3</v>
      </c>
      <c r="U38" s="83">
        <f>'17% Управителю (З ПДВ)'!U42/1.2/1.17</f>
        <v>1E-3</v>
      </c>
      <c r="V38" s="83">
        <f>'17% Управителю (З ПДВ)'!V42/1.2/1.17</f>
        <v>1E-3</v>
      </c>
      <c r="W38" s="83">
        <f>'17% Управителю (З ПДВ)'!W42/1.2/1.17</f>
        <v>1E-3</v>
      </c>
      <c r="X38" s="83">
        <f>'17% Управителю (З ПДВ)'!X42/1.2/1.17</f>
        <v>1E-3</v>
      </c>
      <c r="Y38" s="83">
        <f>'17% Управителю (З ПДВ)'!Y42/1.2/1.17</f>
        <v>1E-3</v>
      </c>
      <c r="Z38" s="83">
        <f>'17% Управителю (З ПДВ)'!Z42/1.2/1.17</f>
        <v>1E-3</v>
      </c>
      <c r="AA38" s="83">
        <f>'17% Управителю (З ПДВ)'!AA42/1.2/1.17</f>
        <v>1E-3</v>
      </c>
      <c r="AB38" s="83">
        <f>'17% Управителю (З ПДВ)'!AB42/1.2/1.17</f>
        <v>1E-3</v>
      </c>
      <c r="AC38" s="83">
        <f>'17% Управителю (З ПДВ)'!AC42/1.2/1.17</f>
        <v>1E-3</v>
      </c>
      <c r="AD38" s="83">
        <f>'17% Управителю (З ПДВ)'!AD42/1.2/1.17</f>
        <v>0</v>
      </c>
      <c r="AE38" s="83">
        <f>'17% Управителю (З ПДВ)'!AE42/1.2/1.17</f>
        <v>0</v>
      </c>
      <c r="AF38" s="83">
        <f>'17% Управителю (З ПДВ)'!AF42/1.2/1.17</f>
        <v>0</v>
      </c>
      <c r="AG38" s="83">
        <f>'17% Управителю (З ПДВ)'!AG42/1.2/1.17</f>
        <v>0</v>
      </c>
      <c r="AH38" s="83">
        <f>'17% Управителю (З ПДВ)'!AH42/1.2/1.17</f>
        <v>1E-3</v>
      </c>
      <c r="AI38" s="83">
        <f>'17% Управителю (З ПДВ)'!AI42/1.2/1.17</f>
        <v>1E-3</v>
      </c>
      <c r="AJ38" s="83">
        <f>'17% Управителю (З ПДВ)'!AJ42/1.2/1.17</f>
        <v>1E-3</v>
      </c>
      <c r="AK38" s="83">
        <f>'17% Управителю (З ПДВ)'!AK42/1.2/1.17</f>
        <v>1E-3</v>
      </c>
      <c r="AL38" s="83">
        <f>'17% Управителю (З ПДВ)'!AL42/1.2/1.17</f>
        <v>1E-3</v>
      </c>
      <c r="AM38" s="83">
        <f>'17% Управителю (З ПДВ)'!AM42/1.2/1.17</f>
        <v>0</v>
      </c>
      <c r="AN38" s="83">
        <f>'17% Управителю (З ПДВ)'!AN42/1.2/1.17</f>
        <v>1E-3</v>
      </c>
      <c r="AO38" s="83">
        <f>'17% Управителю (З ПДВ)'!AO42/1.2/1.17</f>
        <v>1E-3</v>
      </c>
      <c r="AP38" s="83">
        <f>'17% Управителю (З ПДВ)'!AP42/1.2/1.17</f>
        <v>2E-3</v>
      </c>
      <c r="AQ38" s="83">
        <f>'17% Управителю (З ПДВ)'!AQ42/1.2/1.17</f>
        <v>0</v>
      </c>
      <c r="AR38" s="83">
        <f>'17% Управителю (З ПДВ)'!AR42/1.2/1.17</f>
        <v>0</v>
      </c>
      <c r="AS38" s="83">
        <f>'17% Управителю (З ПДВ)'!AS42/1.2/1.17</f>
        <v>1E-3</v>
      </c>
      <c r="AT38" s="83">
        <f>'17% Управителю (З ПДВ)'!AT42/1.2/1.17</f>
        <v>1E-3</v>
      </c>
      <c r="AU38" s="83">
        <f>'17% Управителю (З ПДВ)'!AU42/1.2/1.17</f>
        <v>1E-3</v>
      </c>
      <c r="AV38" s="83">
        <f>'17% Управителю (З ПДВ)'!AV42/1.2/1.17</f>
        <v>1E-3</v>
      </c>
      <c r="AW38" s="83">
        <f>'17% Управителю (З ПДВ)'!AW42/1.2/1.17</f>
        <v>1E-3</v>
      </c>
      <c r="AX38" s="83">
        <f>'17% Управителю (З ПДВ)'!AX42/1.2/1.17</f>
        <v>1E-3</v>
      </c>
      <c r="AY38" s="83">
        <f>'17% Управителю (З ПДВ)'!AY42/1.2/1.17</f>
        <v>1E-3</v>
      </c>
      <c r="AZ38" s="83">
        <f>'17% Управителю (З ПДВ)'!AZ42/1.2/1.17</f>
        <v>1E-3</v>
      </c>
      <c r="BA38" s="83">
        <f>'17% Управителю (З ПДВ)'!BA42/1.2/1.17</f>
        <v>1E-3</v>
      </c>
      <c r="BB38" s="83">
        <f>'17% Управителю (З ПДВ)'!BB42/1.2/1.17</f>
        <v>1E-3</v>
      </c>
      <c r="BC38" s="83">
        <f>'17% Управителю (З ПДВ)'!BC42/1.2/1.17</f>
        <v>1E-3</v>
      </c>
      <c r="BD38" s="83">
        <f>'17% Управителю (З ПДВ)'!BD42/1.2/1.17</f>
        <v>1E-3</v>
      </c>
      <c r="BE38" s="83">
        <f>'17% Управителю (З ПДВ)'!BE42/1.2/1.17</f>
        <v>1E-3</v>
      </c>
      <c r="BF38" s="83">
        <f>'17% Управителю (З ПДВ)'!BF42/1.2/1.17</f>
        <v>1E-3</v>
      </c>
      <c r="BG38" s="83">
        <f>'17% Управителю (З ПДВ)'!BG42/1.2/1.17</f>
        <v>2E-3</v>
      </c>
      <c r="BH38" s="83">
        <f>'17% Управителю (З ПДВ)'!BH42/1.2/1.17</f>
        <v>1E-3</v>
      </c>
      <c r="BI38" s="83">
        <f>'17% Управителю (З ПДВ)'!BI42/1.2/1.17</f>
        <v>2E-3</v>
      </c>
      <c r="BJ38" s="83">
        <f>'17% Управителю (З ПДВ)'!BJ42/1.2/1.17</f>
        <v>1E-3</v>
      </c>
      <c r="BK38" s="83">
        <f>'17% Управителю (З ПДВ)'!BK42/1.2/1.17</f>
        <v>1E-3</v>
      </c>
      <c r="BL38" s="83">
        <f>'17% Управителю (З ПДВ)'!BL42/1.2/1.17</f>
        <v>1E-3</v>
      </c>
      <c r="BM38" s="83">
        <f>'17% Управителю (З ПДВ)'!BM42/1.2/1.17</f>
        <v>1E-3</v>
      </c>
      <c r="BN38" s="83">
        <f>'17% Управителю (З ПДВ)'!BN42/1.2/1.17</f>
        <v>1E-3</v>
      </c>
      <c r="BO38" s="83">
        <f>'17% Управителю (З ПДВ)'!BO42/1.2/1.17</f>
        <v>1E-3</v>
      </c>
      <c r="BP38" s="83">
        <f>'17% Управителю (З ПДВ)'!BP42/1.2/1.17</f>
        <v>2E-3</v>
      </c>
      <c r="BQ38" s="83">
        <f>'17% Управителю (З ПДВ)'!BQ42/1.2/1.17</f>
        <v>2E-3</v>
      </c>
      <c r="BR38" s="83">
        <f>'17% Управителю (З ПДВ)'!BR42/1.2/1.17</f>
        <v>1E-3</v>
      </c>
      <c r="BS38" s="83">
        <f>'17% Управителю (З ПДВ)'!BS42/1.2/1.17</f>
        <v>1E-3</v>
      </c>
      <c r="BT38" s="83">
        <f>'17% Управителю (З ПДВ)'!BT42/1.2/1.17</f>
        <v>1E-3</v>
      </c>
      <c r="BU38" s="83">
        <f>'17% Управителю (З ПДВ)'!BU42/1.2/1.17</f>
        <v>1E-3</v>
      </c>
      <c r="BV38" s="83">
        <f>'17% Управителю (З ПДВ)'!BV42/1.2/1.17</f>
        <v>1E-3</v>
      </c>
      <c r="BW38" s="83">
        <f>'17% Управителю (З ПДВ)'!BW42/1.2/1.17</f>
        <v>1E-3</v>
      </c>
      <c r="BX38" s="83">
        <f>'17% Управителю (З ПДВ)'!BX42/1.2/1.17</f>
        <v>1E-3</v>
      </c>
      <c r="BY38" s="83">
        <f>'17% Управителю (З ПДВ)'!BY42/1.2/1.17</f>
        <v>1E-3</v>
      </c>
      <c r="BZ38" s="83">
        <f>'17% Управителю (З ПДВ)'!BZ42/1.2/1.17</f>
        <v>1E-3</v>
      </c>
      <c r="CA38" s="83">
        <f>'17% Управителю (З ПДВ)'!CA42/1.2/1.17</f>
        <v>1E-3</v>
      </c>
      <c r="CB38" s="83">
        <f>'17% Управителю (З ПДВ)'!CB42/1.2/1.17</f>
        <v>1E-3</v>
      </c>
      <c r="CC38" s="83">
        <f>'17% Управителю (З ПДВ)'!CC42/1.2/1.17</f>
        <v>1E-3</v>
      </c>
      <c r="CD38" s="83">
        <f>'17% Управителю (З ПДВ)'!CD42/1.2/1.17</f>
        <v>1E-3</v>
      </c>
      <c r="CE38" s="83">
        <f>'17% Управителю (З ПДВ)'!CE42/1.2/1.17</f>
        <v>0</v>
      </c>
      <c r="CF38" s="83">
        <f>'17% Управителю (З ПДВ)'!CF42/1.2/1.17</f>
        <v>1E-3</v>
      </c>
      <c r="CG38" s="83">
        <f>'17% Управителю (З ПДВ)'!CG42/1.2/1.17</f>
        <v>1E-3</v>
      </c>
      <c r="CH38" s="83">
        <f>'17% Управителю (З ПДВ)'!CH42/1.2/1.17</f>
        <v>1E-3</v>
      </c>
      <c r="CI38" s="83">
        <f>'17% Управителю (З ПДВ)'!CI42/1.2/1.17</f>
        <v>3.0000000000000001E-3</v>
      </c>
      <c r="CJ38" s="83">
        <f>'17% Управителю (З ПДВ)'!CJ42/1.2/1.17</f>
        <v>3.0000000000000001E-3</v>
      </c>
      <c r="CK38" s="83">
        <f>'17% Управителю (З ПДВ)'!CK42/1.2/1.17</f>
        <v>1E-3</v>
      </c>
      <c r="CL38" s="83">
        <f>'17% Управителю (З ПДВ)'!CL42/1.2/1.17</f>
        <v>1E-3</v>
      </c>
      <c r="CM38" s="83">
        <f>'17% Управителю (З ПДВ)'!CM42/1.2/1.17</f>
        <v>1E-3</v>
      </c>
      <c r="CN38" s="83">
        <f>'17% Управителю (З ПДВ)'!CN42/1.2/1.17</f>
        <v>0</v>
      </c>
      <c r="CO38" s="83">
        <f>'17% Управителю (З ПДВ)'!CO42/1.2/1.17</f>
        <v>0</v>
      </c>
      <c r="CP38" s="83">
        <f>'17% Управителю (З ПДВ)'!CP42/1.2/1.17</f>
        <v>0</v>
      </c>
      <c r="CQ38" s="83">
        <f>'17% Управителю (З ПДВ)'!CQ42/1.2/1.17</f>
        <v>0</v>
      </c>
      <c r="CR38" s="83">
        <f>'17% Управителю (З ПДВ)'!CR42/1.2/1.17</f>
        <v>0</v>
      </c>
      <c r="CS38" s="83">
        <f>'17% Управителю (З ПДВ)'!CS42/1.2/1.17</f>
        <v>0</v>
      </c>
      <c r="CT38" s="84">
        <f>'17% Управителю (З ПДВ)'!CT42/1.2/1.17</f>
        <v>0</v>
      </c>
    </row>
    <row r="39" spans="1:98" ht="37.5">
      <c r="A39" s="80" t="s">
        <v>49</v>
      </c>
      <c r="B39" s="81" t="s">
        <v>50</v>
      </c>
      <c r="C39" s="82"/>
      <c r="D39" s="83">
        <f>'17% Управителю (З ПДВ)'!D43/1.2/1.17</f>
        <v>0.23</v>
      </c>
      <c r="E39" s="83">
        <f>'17% Управителю (З ПДВ)'!E43/1.2/1.17</f>
        <v>0.23699999999999999</v>
      </c>
      <c r="F39" s="83">
        <f>'17% Управителю (З ПДВ)'!F43/1.2/1.17</f>
        <v>0.20100000000000001</v>
      </c>
      <c r="G39" s="83">
        <f>'17% Управителю (З ПДВ)'!G43/1.2/1.17</f>
        <v>0.20399999999999999</v>
      </c>
      <c r="H39" s="83">
        <f>'17% Управителю (З ПДВ)'!H43/1.2/1.17</f>
        <v>0.17799999999999999</v>
      </c>
      <c r="I39" s="83">
        <f>'17% Управителю (З ПДВ)'!I43/1.2/1.17</f>
        <v>0.20799999999999999</v>
      </c>
      <c r="J39" s="83">
        <f>'17% Управителю (З ПДВ)'!J43/1.2/1.17</f>
        <v>0.219</v>
      </c>
      <c r="K39" s="83">
        <f>'17% Управителю (З ПДВ)'!K43/1.2/1.17</f>
        <v>0.20899999999999999</v>
      </c>
      <c r="L39" s="83">
        <f>'17% Управителю (З ПДВ)'!L43/1.2/1.17</f>
        <v>0.18099999999999999</v>
      </c>
      <c r="M39" s="83">
        <f>'17% Управителю (З ПДВ)'!M43/1.2/1.17</f>
        <v>0.18099999999999999</v>
      </c>
      <c r="N39" s="83">
        <f>'17% Управителю (З ПДВ)'!N43/1.2/1.17</f>
        <v>0.187</v>
      </c>
      <c r="O39" s="83">
        <f>'17% Управителю (З ПДВ)'!O43/1.2/1.17</f>
        <v>0.23400000000000001</v>
      </c>
      <c r="P39" s="83">
        <f>'17% Управителю (З ПДВ)'!P43/1.2/1.17</f>
        <v>0.2</v>
      </c>
      <c r="Q39" s="83">
        <f>'17% Управителю (З ПДВ)'!Q43/1.2/1.17</f>
        <v>0.23899999999999999</v>
      </c>
      <c r="R39" s="83">
        <f>'17% Управителю (З ПДВ)'!R43/1.2/1.17</f>
        <v>0.23899999999999999</v>
      </c>
      <c r="S39" s="83">
        <f>'17% Управителю (З ПДВ)'!S43/1.2/1.17</f>
        <v>0.188</v>
      </c>
      <c r="T39" s="83">
        <f>'17% Управителю (З ПДВ)'!T43/1.2/1.17</f>
        <v>0.17699999999999999</v>
      </c>
      <c r="U39" s="83">
        <f>'17% Управителю (З ПДВ)'!U43/1.2/1.17</f>
        <v>0.17399999999999999</v>
      </c>
      <c r="V39" s="83">
        <f>'17% Управителю (З ПДВ)'!V43/1.2/1.17</f>
        <v>0.182</v>
      </c>
      <c r="W39" s="83">
        <f>'17% Управителю (З ПДВ)'!W43/1.2/1.17</f>
        <v>0.20899999999999999</v>
      </c>
      <c r="X39" s="83">
        <f>'17% Управителю (З ПДВ)'!X43/1.2/1.17</f>
        <v>0.20399999999999999</v>
      </c>
      <c r="Y39" s="83">
        <f>'17% Управителю (З ПДВ)'!Y43/1.2/1.17</f>
        <v>0.20100000000000001</v>
      </c>
      <c r="Z39" s="83">
        <f>'17% Управителю (З ПДВ)'!Z43/1.2/1.17</f>
        <v>0.2</v>
      </c>
      <c r="AA39" s="83">
        <f>'17% Управителю (З ПДВ)'!AA43/1.2/1.17</f>
        <v>0.20699999999999999</v>
      </c>
      <c r="AB39" s="83">
        <f>'17% Управителю (З ПДВ)'!AB43/1.2/1.17</f>
        <v>0.215</v>
      </c>
      <c r="AC39" s="83">
        <f>'17% Управителю (З ПДВ)'!AC43/1.2/1.17</f>
        <v>0.20599999999999999</v>
      </c>
      <c r="AD39" s="83">
        <f>'17% Управителю (З ПДВ)'!AD43/1.2/1.17</f>
        <v>0</v>
      </c>
      <c r="AE39" s="83">
        <f>'17% Управителю (З ПДВ)'!AE43/1.2/1.17</f>
        <v>0</v>
      </c>
      <c r="AF39" s="83">
        <f>'17% Управителю (З ПДВ)'!AF43/1.2/1.17</f>
        <v>0</v>
      </c>
      <c r="AG39" s="83">
        <f>'17% Управителю (З ПДВ)'!AG43/1.2/1.17</f>
        <v>0</v>
      </c>
      <c r="AH39" s="83">
        <f>'17% Управителю (З ПДВ)'!AH43/1.2/1.17</f>
        <v>0.25900000000000001</v>
      </c>
      <c r="AI39" s="83">
        <f>'17% Управителю (З ПДВ)'!AI43/1.2/1.17</f>
        <v>0.20399999999999999</v>
      </c>
      <c r="AJ39" s="83">
        <f>'17% Управителю (З ПДВ)'!AJ43/1.2/1.17</f>
        <v>0.21299999999999999</v>
      </c>
      <c r="AK39" s="83">
        <f>'17% Управителю (З ПДВ)'!AK43/1.2/1.17</f>
        <v>0.28299999999999997</v>
      </c>
      <c r="AL39" s="83">
        <f>'17% Управителю (З ПДВ)'!AL43/1.2/1.17</f>
        <v>0.24099999999999999</v>
      </c>
      <c r="AM39" s="83">
        <f>'17% Управителю (З ПДВ)'!AM43/1.2/1.17</f>
        <v>0</v>
      </c>
      <c r="AN39" s="83">
        <f>'17% Управителю (З ПДВ)'!AN43/1.2/1.17</f>
        <v>0.16</v>
      </c>
      <c r="AO39" s="83">
        <f>'17% Управителю (З ПДВ)'!AO43/1.2/1.17</f>
        <v>0.187</v>
      </c>
      <c r="AP39" s="83">
        <f>'17% Управителю (З ПДВ)'!AP43/1.2/1.17</f>
        <v>0.155</v>
      </c>
      <c r="AQ39" s="83">
        <f>'17% Управителю (З ПДВ)'!AQ43/1.2/1.17</f>
        <v>0</v>
      </c>
      <c r="AR39" s="83">
        <f>'17% Управителю (З ПДВ)'!AR43/1.2/1.17</f>
        <v>0</v>
      </c>
      <c r="AS39" s="83">
        <f>'17% Управителю (З ПДВ)'!AS43/1.2/1.17</f>
        <v>0.14000000000000001</v>
      </c>
      <c r="AT39" s="83">
        <f>'17% Управителю (З ПДВ)'!AT43/1.2/1.17</f>
        <v>0.33800000000000002</v>
      </c>
      <c r="AU39" s="83">
        <f>'17% Управителю (З ПДВ)'!AU43/1.2/1.17</f>
        <v>0.17599999999999999</v>
      </c>
      <c r="AV39" s="83">
        <f>'17% Управителю (З ПДВ)'!AV43/1.2/1.17</f>
        <v>0.3</v>
      </c>
      <c r="AW39" s="83">
        <f>'17% Управителю (З ПДВ)'!AW43/1.2/1.17</f>
        <v>0.23400000000000001</v>
      </c>
      <c r="AX39" s="83">
        <f>'17% Управителю (З ПДВ)'!AX43/1.2/1.17</f>
        <v>0.23799999999999999</v>
      </c>
      <c r="AY39" s="83">
        <f>'17% Управителю (З ПДВ)'!AY43/1.2/1.17</f>
        <v>0.157</v>
      </c>
      <c r="AZ39" s="83">
        <f>'17% Управителю (З ПДВ)'!AZ43/1.2/1.17</f>
        <v>0.2</v>
      </c>
      <c r="BA39" s="83">
        <f>'17% Управителю (З ПДВ)'!BA43/1.2/1.17</f>
        <v>0.20699999999999999</v>
      </c>
      <c r="BB39" s="83">
        <f>'17% Управителю (З ПДВ)'!BB43/1.2/1.17</f>
        <v>6.7000000000000004E-2</v>
      </c>
      <c r="BC39" s="83">
        <f>'17% Управителю (З ПДВ)'!BC43/1.2/1.17</f>
        <v>0.46200000000000002</v>
      </c>
      <c r="BD39" s="83">
        <f>'17% Управителю (З ПДВ)'!BD43/1.2/1.17</f>
        <v>0.19</v>
      </c>
      <c r="BE39" s="83">
        <f>'17% Управителю (З ПДВ)'!BE43/1.2/1.17</f>
        <v>0.214</v>
      </c>
      <c r="BF39" s="83">
        <f>'17% Управителю (З ПДВ)'!BF43/1.2/1.17</f>
        <v>0.183</v>
      </c>
      <c r="BG39" s="83">
        <f>'17% Управителю (З ПДВ)'!BG43/1.2/1.17</f>
        <v>0.28499999999999998</v>
      </c>
      <c r="BH39" s="83">
        <f>'17% Управителю (З ПДВ)'!BH43/1.2/1.17</f>
        <v>0.23100000000000001</v>
      </c>
      <c r="BI39" s="83">
        <f>'17% Управителю (З ПДВ)'!BI43/1.2/1.17</f>
        <v>0.28299999999999997</v>
      </c>
      <c r="BJ39" s="83">
        <f>'17% Управителю (З ПДВ)'!BJ43/1.2/1.17</f>
        <v>0.188</v>
      </c>
      <c r="BK39" s="83">
        <f>'17% Управителю (З ПДВ)'!BK43/1.2/1.17</f>
        <v>0.31</v>
      </c>
      <c r="BL39" s="83">
        <f>'17% Управителю (З ПДВ)'!BL43/1.2/1.17</f>
        <v>0.19700000000000001</v>
      </c>
      <c r="BM39" s="83">
        <f>'17% Управителю (З ПДВ)'!BM43/1.2/1.17</f>
        <v>0.23400000000000001</v>
      </c>
      <c r="BN39" s="83">
        <f>'17% Управителю (З ПДВ)'!BN43/1.2/1.17</f>
        <v>0.16400000000000001</v>
      </c>
      <c r="BO39" s="83">
        <f>'17% Управителю (З ПДВ)'!BO43/1.2/1.17</f>
        <v>0.27400000000000002</v>
      </c>
      <c r="BP39" s="83">
        <f>'17% Управителю (З ПДВ)'!BP43/1.2/1.17</f>
        <v>0.29099999999999998</v>
      </c>
      <c r="BQ39" s="83">
        <f>'17% Управителю (З ПДВ)'!BQ43/1.2/1.17</f>
        <v>0.29599999999999999</v>
      </c>
      <c r="BR39" s="83">
        <f>'17% Управителю (З ПДВ)'!BR43/1.2/1.17</f>
        <v>0.20899999999999999</v>
      </c>
      <c r="BS39" s="83">
        <f>'17% Управителю (З ПДВ)'!BS43/1.2/1.17</f>
        <v>0.17899999999999999</v>
      </c>
      <c r="BT39" s="83">
        <f>'17% Управителю (З ПДВ)'!BT43/1.2/1.17</f>
        <v>0.20100000000000001</v>
      </c>
      <c r="BU39" s="83">
        <f>'17% Управителю (З ПДВ)'!BU43/1.2/1.17</f>
        <v>0.14199999999999999</v>
      </c>
      <c r="BV39" s="83">
        <f>'17% Управителю (З ПДВ)'!BV43/1.2/1.17</f>
        <v>0.17</v>
      </c>
      <c r="BW39" s="83">
        <f>'17% Управителю (З ПДВ)'!BW43/1.2/1.17</f>
        <v>0.20399999999999999</v>
      </c>
      <c r="BX39" s="83">
        <f>'17% Управителю (З ПДВ)'!BX43/1.2/1.17</f>
        <v>0.24399999999999999</v>
      </c>
      <c r="BY39" s="83">
        <f>'17% Управителю (З ПДВ)'!BY43/1.2/1.17</f>
        <v>0.23799999999999999</v>
      </c>
      <c r="BZ39" s="83">
        <f>'17% Управителю (З ПДВ)'!BZ43/1.2/1.17</f>
        <v>0.219</v>
      </c>
      <c r="CA39" s="83">
        <f>'17% Управителю (З ПДВ)'!CA43/1.2/1.17</f>
        <v>0.20599999999999999</v>
      </c>
      <c r="CB39" s="83">
        <f>'17% Управителю (З ПДВ)'!CB43/1.2/1.17</f>
        <v>0.187</v>
      </c>
      <c r="CC39" s="83">
        <f>'17% Управителю (З ПДВ)'!CC43/1.2/1.17</f>
        <v>0.189</v>
      </c>
      <c r="CD39" s="83">
        <f>'17% Управителю (З ПДВ)'!CD43/1.2/1.17</f>
        <v>0.188</v>
      </c>
      <c r="CE39" s="83">
        <f>'17% Управителю (З ПДВ)'!CE43/1.2/1.17</f>
        <v>0</v>
      </c>
      <c r="CF39" s="83">
        <f>'17% Управителю (З ПДВ)'!CF43/1.2/1.17</f>
        <v>0.20899999999999999</v>
      </c>
      <c r="CG39" s="83">
        <f>'17% Управителю (З ПДВ)'!CG43/1.2/1.17</f>
        <v>0.214</v>
      </c>
      <c r="CH39" s="83">
        <f>'17% Управителю (З ПДВ)'!CH43/1.2/1.17</f>
        <v>0.21299999999999999</v>
      </c>
      <c r="CI39" s="83">
        <f>'17% Управителю (З ПДВ)'!CI43/1.2/1.17</f>
        <v>0.29199999999999998</v>
      </c>
      <c r="CJ39" s="83">
        <f>'17% Управителю (З ПДВ)'!CJ43/1.2/1.17</f>
        <v>0.30099999999999999</v>
      </c>
      <c r="CK39" s="83">
        <f>'17% Управителю (З ПДВ)'!CK43/1.2/1.17</f>
        <v>0.30299999999999999</v>
      </c>
      <c r="CL39" s="83">
        <f>'17% Управителю (З ПДВ)'!CL43/1.2/1.17</f>
        <v>0.312</v>
      </c>
      <c r="CM39" s="83">
        <f>'17% Управителю (З ПДВ)'!CM43/1.2/1.17</f>
        <v>0.188</v>
      </c>
      <c r="CN39" s="83">
        <f>'17% Управителю (З ПДВ)'!CN43/1.2/1.17</f>
        <v>0</v>
      </c>
      <c r="CO39" s="83">
        <f>'17% Управителю (З ПДВ)'!CO43/1.2/1.17</f>
        <v>0.97799999999999998</v>
      </c>
      <c r="CP39" s="83">
        <f>'17% Управителю (З ПДВ)'!CP43/1.2/1.17</f>
        <v>0.97799999999999998</v>
      </c>
      <c r="CQ39" s="83">
        <f>'17% Управителю (З ПДВ)'!CQ43/1.2/1.17</f>
        <v>0.97799999999999998</v>
      </c>
      <c r="CR39" s="83">
        <f>'17% Управителю (З ПДВ)'!CR43/1.2/1.17</f>
        <v>0.97799999999999998</v>
      </c>
      <c r="CS39" s="83">
        <f>'17% Управителю (З ПДВ)'!CS43/1.2/1.17</f>
        <v>0.97799999999999998</v>
      </c>
      <c r="CT39" s="84">
        <f>'17% Управителю (З ПДВ)'!CT43/1.2/1.17</f>
        <v>0.97799999999999998</v>
      </c>
    </row>
    <row r="40" spans="1:98" ht="18.75">
      <c r="A40" s="80" t="s">
        <v>51</v>
      </c>
      <c r="B40" s="81" t="s">
        <v>52</v>
      </c>
      <c r="C40" s="82"/>
      <c r="D40" s="83">
        <f>'17% Управителю (З ПДВ)'!D44/1.2/1.17</f>
        <v>0</v>
      </c>
      <c r="E40" s="83">
        <f>'17% Управителю (З ПДВ)'!E44/1.2/1.17</f>
        <v>0.22900000000000001</v>
      </c>
      <c r="F40" s="83">
        <f>'17% Управителю (З ПДВ)'!F44/1.2/1.17</f>
        <v>0</v>
      </c>
      <c r="G40" s="83">
        <f>'17% Управителю (З ПДВ)'!G44/1.2/1.17</f>
        <v>0</v>
      </c>
      <c r="H40" s="83">
        <f>'17% Управителю (З ПДВ)'!H44/1.2/1.17</f>
        <v>0</v>
      </c>
      <c r="I40" s="83">
        <f>'17% Управителю (З ПДВ)'!I44/1.2/1.17</f>
        <v>0</v>
      </c>
      <c r="J40" s="83">
        <f>'17% Управителю (З ПДВ)'!J44/1.2/1.17</f>
        <v>0</v>
      </c>
      <c r="K40" s="83">
        <f>'17% Управителю (З ПДВ)'!K44/1.2/1.17</f>
        <v>0</v>
      </c>
      <c r="L40" s="83">
        <f>'17% Управителю (З ПДВ)'!L44/1.2/1.17</f>
        <v>0</v>
      </c>
      <c r="M40" s="83">
        <f>'17% Управителю (З ПДВ)'!M44/1.2/1.17</f>
        <v>0</v>
      </c>
      <c r="N40" s="83">
        <f>'17% Управителю (З ПДВ)'!N44/1.2/1.17</f>
        <v>0</v>
      </c>
      <c r="O40" s="83">
        <f>'17% Управителю (З ПДВ)'!O44/1.2/1.17</f>
        <v>0</v>
      </c>
      <c r="P40" s="83">
        <f>'17% Управителю (З ПДВ)'!P44/1.2/1.17</f>
        <v>0</v>
      </c>
      <c r="Q40" s="83">
        <f>'17% Управителю (З ПДВ)'!Q44/1.2/1.17</f>
        <v>0</v>
      </c>
      <c r="R40" s="83">
        <f>'17% Управителю (З ПДВ)'!R44/1.2/1.17</f>
        <v>0.23200000000000001</v>
      </c>
      <c r="S40" s="83">
        <f>'17% Управителю (З ПДВ)'!S44/1.2/1.17</f>
        <v>0</v>
      </c>
      <c r="T40" s="83">
        <f>'17% Управителю (З ПДВ)'!T44/1.2/1.17</f>
        <v>0.17199999999999999</v>
      </c>
      <c r="U40" s="83">
        <f>'17% Управителю (З ПДВ)'!U44/1.2/1.17</f>
        <v>0</v>
      </c>
      <c r="V40" s="83">
        <f>'17% Управителю (З ПДВ)'!V44/1.2/1.17</f>
        <v>0.20100000000000001</v>
      </c>
      <c r="W40" s="83">
        <f>'17% Управителю (З ПДВ)'!W44/1.2/1.17</f>
        <v>0.23100000000000001</v>
      </c>
      <c r="X40" s="83">
        <f>'17% Управителю (З ПДВ)'!X44/1.2/1.17</f>
        <v>0.22500000000000001</v>
      </c>
      <c r="Y40" s="83">
        <f>'17% Управителю (З ПДВ)'!Y44/1.2/1.17</f>
        <v>0.222</v>
      </c>
      <c r="Z40" s="83">
        <f>'17% Управителю (З ПДВ)'!Z44/1.2/1.17</f>
        <v>0.218</v>
      </c>
      <c r="AA40" s="83">
        <f>'17% Управителю (З ПДВ)'!AA44/1.2/1.17</f>
        <v>0.224</v>
      </c>
      <c r="AB40" s="83">
        <f>'17% Управителю (З ПДВ)'!AB44/1.2/1.17</f>
        <v>0.33100000000000002</v>
      </c>
      <c r="AC40" s="83">
        <f>'17% Управителю (З ПДВ)'!AC44/1.2/1.17</f>
        <v>0.312</v>
      </c>
      <c r="AD40" s="83">
        <f>'17% Управителю (З ПДВ)'!AD44/1.2/1.17</f>
        <v>0</v>
      </c>
      <c r="AE40" s="83">
        <f>'17% Управителю (З ПДВ)'!AE44/1.2/1.17</f>
        <v>0</v>
      </c>
      <c r="AF40" s="83">
        <f>'17% Управителю (З ПДВ)'!AF44/1.2/1.17</f>
        <v>0</v>
      </c>
      <c r="AG40" s="83">
        <f>'17% Управителю (З ПДВ)'!AG44/1.2/1.17</f>
        <v>0</v>
      </c>
      <c r="AH40" s="83">
        <f>'17% Управителю (З ПДВ)'!AH44/1.2/1.17</f>
        <v>0</v>
      </c>
      <c r="AI40" s="83">
        <f>'17% Управителю (З ПДВ)'!AI44/1.2/1.17</f>
        <v>0</v>
      </c>
      <c r="AJ40" s="83">
        <f>'17% Управителю (З ПДВ)'!AJ44/1.2/1.17</f>
        <v>0</v>
      </c>
      <c r="AK40" s="83">
        <f>'17% Управителю (З ПДВ)'!AK44/1.2/1.17</f>
        <v>0.27100000000000002</v>
      </c>
      <c r="AL40" s="83">
        <f>'17% Управителю (З ПДВ)'!AL44/1.2/1.17</f>
        <v>0</v>
      </c>
      <c r="AM40" s="83">
        <f>'17% Управителю (З ПДВ)'!AM44/1.2/1.17</f>
        <v>0</v>
      </c>
      <c r="AN40" s="83">
        <f>'17% Управителю (З ПДВ)'!AN44/1.2/1.17</f>
        <v>0</v>
      </c>
      <c r="AO40" s="83">
        <f>'17% Управителю (З ПДВ)'!AO44/1.2/1.17</f>
        <v>0</v>
      </c>
      <c r="AP40" s="83">
        <f>'17% Управителю (З ПДВ)'!AP44/1.2/1.17</f>
        <v>0</v>
      </c>
      <c r="AQ40" s="83">
        <f>'17% Управителю (З ПДВ)'!AQ44/1.2/1.17</f>
        <v>0</v>
      </c>
      <c r="AR40" s="83">
        <f>'17% Управителю (З ПДВ)'!AR44/1.2/1.17</f>
        <v>0</v>
      </c>
      <c r="AS40" s="83">
        <f>'17% Управителю (З ПДВ)'!AS44/1.2/1.17</f>
        <v>0</v>
      </c>
      <c r="AT40" s="83">
        <f>'17% Управителю (З ПДВ)'!AT44/1.2/1.17</f>
        <v>0.33</v>
      </c>
      <c r="AU40" s="83">
        <f>'17% Управителю (З ПДВ)'!AU44/1.2/1.17</f>
        <v>0.29799999999999999</v>
      </c>
      <c r="AV40" s="83">
        <f>'17% Управителю (З ПДВ)'!AV44/1.2/1.17</f>
        <v>0.32300000000000001</v>
      </c>
      <c r="AW40" s="83">
        <f>'17% Управителю (З ПДВ)'!AW44/1.2/1.17</f>
        <v>0.22600000000000001</v>
      </c>
      <c r="AX40" s="83">
        <f>'17% Управителю (З ПДВ)'!AX44/1.2/1.17</f>
        <v>0.23100000000000001</v>
      </c>
      <c r="AY40" s="83">
        <f>'17% Управителю (З ПДВ)'!AY44/1.2/1.17</f>
        <v>0</v>
      </c>
      <c r="AZ40" s="83">
        <f>'17% Управителю (З ПДВ)'!AZ44/1.2/1.17</f>
        <v>0</v>
      </c>
      <c r="BA40" s="83">
        <f>'17% Управителю (З ПДВ)'!BA44/1.2/1.17</f>
        <v>0</v>
      </c>
      <c r="BB40" s="83">
        <f>'17% Управителю (З ПДВ)'!BB44/1.2/1.17</f>
        <v>0.182</v>
      </c>
      <c r="BC40" s="83">
        <f>'17% Управителю (З ПДВ)'!BC44/1.2/1.17</f>
        <v>0.41899999999999998</v>
      </c>
      <c r="BD40" s="83">
        <f>'17% Управителю (З ПДВ)'!BD44/1.2/1.17</f>
        <v>0</v>
      </c>
      <c r="BE40" s="83">
        <f>'17% Управителю (З ПДВ)'!BE44/1.2/1.17</f>
        <v>0</v>
      </c>
      <c r="BF40" s="83">
        <f>'17% Управителю (З ПДВ)'!BF44/1.2/1.17</f>
        <v>0</v>
      </c>
      <c r="BG40" s="83">
        <f>'17% Управителю (З ПДВ)'!BG44/1.2/1.17</f>
        <v>0</v>
      </c>
      <c r="BH40" s="83">
        <f>'17% Управителю (З ПДВ)'!BH44/1.2/1.17</f>
        <v>0</v>
      </c>
      <c r="BI40" s="83">
        <f>'17% Управителю (З ПДВ)'!BI44/1.2/1.17</f>
        <v>0</v>
      </c>
      <c r="BJ40" s="83">
        <f>'17% Управителю (З ПДВ)'!BJ44/1.2/1.17</f>
        <v>0</v>
      </c>
      <c r="BK40" s="83">
        <f>'17% Управителю (З ПДВ)'!BK44/1.2/1.17</f>
        <v>0</v>
      </c>
      <c r="BL40" s="83">
        <f>'17% Управителю (З ПДВ)'!BL44/1.2/1.17</f>
        <v>0</v>
      </c>
      <c r="BM40" s="83">
        <f>'17% Управителю (З ПДВ)'!BM44/1.2/1.17</f>
        <v>0.22500000000000001</v>
      </c>
      <c r="BN40" s="83">
        <f>'17% Управителю (З ПДВ)'!BN44/1.2/1.17</f>
        <v>0</v>
      </c>
      <c r="BO40" s="83">
        <f>'17% Управителю (З ПДВ)'!BO44/1.2/1.17</f>
        <v>0</v>
      </c>
      <c r="BP40" s="83">
        <f>'17% Управителю (З ПДВ)'!BP44/1.2/1.17</f>
        <v>0</v>
      </c>
      <c r="BQ40" s="83">
        <f>'17% Управителю (З ПДВ)'!BQ44/1.2/1.17</f>
        <v>0</v>
      </c>
      <c r="BR40" s="83">
        <f>'17% Управителю (З ПДВ)'!BR44/1.2/1.17</f>
        <v>0</v>
      </c>
      <c r="BS40" s="83">
        <f>'17% Управителю (З ПДВ)'!BS44/1.2/1.17</f>
        <v>0</v>
      </c>
      <c r="BT40" s="83">
        <f>'17% Управителю (З ПДВ)'!BT44/1.2/1.17</f>
        <v>0</v>
      </c>
      <c r="BU40" s="83">
        <f>'17% Управителю (З ПДВ)'!BU44/1.2/1.17</f>
        <v>0</v>
      </c>
      <c r="BV40" s="83">
        <f>'17% Управителю (З ПДВ)'!BV44/1.2/1.17</f>
        <v>0</v>
      </c>
      <c r="BW40" s="83">
        <f>'17% Управителю (З ПДВ)'!BW44/1.2/1.17</f>
        <v>0</v>
      </c>
      <c r="BX40" s="83">
        <f>'17% Управителю (З ПДВ)'!BX44/1.2/1.17</f>
        <v>0.23200000000000001</v>
      </c>
      <c r="BY40" s="83">
        <f>'17% Управителю (З ПДВ)'!BY44/1.2/1.17</f>
        <v>0.23100000000000001</v>
      </c>
      <c r="BZ40" s="83">
        <f>'17% Управителю (З ПДВ)'!BZ44/1.2/1.17</f>
        <v>0.35399999999999998</v>
      </c>
      <c r="CA40" s="83">
        <f>'17% Управителю (З ПДВ)'!CA44/1.2/1.17</f>
        <v>0.22600000000000001</v>
      </c>
      <c r="CB40" s="83">
        <f>'17% Управителю (З ПДВ)'!CB44/1.2/1.17</f>
        <v>0.19500000000000001</v>
      </c>
      <c r="CC40" s="83">
        <f>'17% Управителю (З ПДВ)'!CC44/1.2/1.17</f>
        <v>0.20799999999999999</v>
      </c>
      <c r="CD40" s="83">
        <f>'17% Управителю (З ПДВ)'!CD44/1.2/1.17</f>
        <v>0.20799999999999999</v>
      </c>
      <c r="CE40" s="83">
        <f>'17% Управителю (З ПДВ)'!CE44/1.2/1.17</f>
        <v>0</v>
      </c>
      <c r="CF40" s="83">
        <f>'17% Управителю (З ПДВ)'!CF44/1.2/1.17</f>
        <v>0</v>
      </c>
      <c r="CG40" s="83">
        <f>'17% Управителю (З ПДВ)'!CG44/1.2/1.17</f>
        <v>0.20699999999999999</v>
      </c>
      <c r="CH40" s="83">
        <f>'17% Управителю (З ПДВ)'!CH44/1.2/1.17</f>
        <v>0.20699999999999999</v>
      </c>
      <c r="CI40" s="83">
        <f>'17% Управителю (З ПДВ)'!CI44/1.2/1.17</f>
        <v>0</v>
      </c>
      <c r="CJ40" s="83">
        <f>'17% Управителю (З ПДВ)'!CJ44/1.2/1.17</f>
        <v>0</v>
      </c>
      <c r="CK40" s="83">
        <f>'17% Управителю (З ПДВ)'!CK44/1.2/1.17</f>
        <v>0</v>
      </c>
      <c r="CL40" s="83">
        <f>'17% Управителю (З ПДВ)'!CL44/1.2/1.17</f>
        <v>0</v>
      </c>
      <c r="CM40" s="83">
        <f>'17% Управителю (З ПДВ)'!CM44/1.2/1.17</f>
        <v>0</v>
      </c>
      <c r="CN40" s="83">
        <f>'17% Управителю (З ПДВ)'!CN44/1.2/1.17</f>
        <v>0</v>
      </c>
      <c r="CO40" s="83">
        <f>'17% Управителю (З ПДВ)'!CO44/1.2/1.17</f>
        <v>0</v>
      </c>
      <c r="CP40" s="83">
        <f>'17% Управителю (З ПДВ)'!CP44/1.2/1.17</f>
        <v>0</v>
      </c>
      <c r="CQ40" s="83">
        <f>'17% Управителю (З ПДВ)'!CQ44/1.2/1.17</f>
        <v>0</v>
      </c>
      <c r="CR40" s="83">
        <f>'17% Управителю (З ПДВ)'!CR44/1.2/1.17</f>
        <v>0</v>
      </c>
      <c r="CS40" s="83">
        <f>'17% Управителю (З ПДВ)'!CS44/1.2/1.17</f>
        <v>0</v>
      </c>
      <c r="CT40" s="84">
        <f>'17% Управителю (З ПДВ)'!CT44/1.2/1.17</f>
        <v>0</v>
      </c>
    </row>
    <row r="41" spans="1:98" ht="18.75">
      <c r="A41" s="98" t="s">
        <v>53</v>
      </c>
      <c r="B41" s="105" t="s">
        <v>54</v>
      </c>
      <c r="C41" s="106"/>
      <c r="D41" s="101">
        <f>SUM(D9:D40)*($D$3-1)</f>
        <v>0.48499999999999999</v>
      </c>
      <c r="E41" s="101">
        <f t="shared" ref="E41:BP41" si="0">SUM(E9:E40)*($D$3-1)</f>
        <v>0.55100000000000005</v>
      </c>
      <c r="F41" s="101">
        <f t="shared" si="0"/>
        <v>0.433</v>
      </c>
      <c r="G41" s="101">
        <f t="shared" si="0"/>
        <v>0.48799999999999999</v>
      </c>
      <c r="H41" s="101">
        <f t="shared" si="0"/>
        <v>0.44800000000000001</v>
      </c>
      <c r="I41" s="101">
        <f t="shared" si="0"/>
        <v>0.48399999999999999</v>
      </c>
      <c r="J41" s="101">
        <f t="shared" si="0"/>
        <v>0.44700000000000001</v>
      </c>
      <c r="K41" s="101">
        <f t="shared" si="0"/>
        <v>0.48599999999999999</v>
      </c>
      <c r="L41" s="101">
        <f t="shared" si="0"/>
        <v>0.47499999999999998</v>
      </c>
      <c r="M41" s="101">
        <f t="shared" si="0"/>
        <v>0.44700000000000001</v>
      </c>
      <c r="N41" s="101">
        <f t="shared" si="0"/>
        <v>0.46800000000000003</v>
      </c>
      <c r="O41" s="101">
        <f t="shared" si="0"/>
        <v>0.48599999999999999</v>
      </c>
      <c r="P41" s="101">
        <f t="shared" si="0"/>
        <v>0.48799999999999999</v>
      </c>
      <c r="Q41" s="101">
        <f t="shared" si="0"/>
        <v>0.48299999999999998</v>
      </c>
      <c r="R41" s="101">
        <f t="shared" si="0"/>
        <v>0.54</v>
      </c>
      <c r="S41" s="101">
        <f t="shared" si="0"/>
        <v>0.48699999999999999</v>
      </c>
      <c r="T41" s="101">
        <f t="shared" si="0"/>
        <v>0.52900000000000003</v>
      </c>
      <c r="U41" s="101">
        <f t="shared" si="0"/>
        <v>0.48899999999999999</v>
      </c>
      <c r="V41" s="101">
        <f t="shared" si="0"/>
        <v>0.52200000000000002</v>
      </c>
      <c r="W41" s="101">
        <f t="shared" si="0"/>
        <v>0.53400000000000003</v>
      </c>
      <c r="X41" s="101">
        <f t="shared" si="0"/>
        <v>0.55600000000000005</v>
      </c>
      <c r="Y41" s="101">
        <f t="shared" si="0"/>
        <v>0.52500000000000002</v>
      </c>
      <c r="Z41" s="101">
        <f t="shared" si="0"/>
        <v>0.51900000000000002</v>
      </c>
      <c r="AA41" s="101">
        <f t="shared" si="0"/>
        <v>0.504</v>
      </c>
      <c r="AB41" s="101">
        <f t="shared" si="0"/>
        <v>0.53500000000000003</v>
      </c>
      <c r="AC41" s="101">
        <f t="shared" si="0"/>
        <v>0.53600000000000003</v>
      </c>
      <c r="AD41" s="101">
        <f t="shared" si="0"/>
        <v>0.19700000000000001</v>
      </c>
      <c r="AE41" s="101">
        <f t="shared" si="0"/>
        <v>0.14899999999999999</v>
      </c>
      <c r="AF41" s="101">
        <f t="shared" si="0"/>
        <v>0.13</v>
      </c>
      <c r="AG41" s="101">
        <f t="shared" si="0"/>
        <v>0.14099999999999999</v>
      </c>
      <c r="AH41" s="101">
        <f t="shared" si="0"/>
        <v>0.42399999999999999</v>
      </c>
      <c r="AI41" s="101">
        <f t="shared" si="0"/>
        <v>0.432</v>
      </c>
      <c r="AJ41" s="101">
        <f t="shared" si="0"/>
        <v>0.41099999999999998</v>
      </c>
      <c r="AK41" s="101">
        <f t="shared" si="0"/>
        <v>0.55000000000000004</v>
      </c>
      <c r="AL41" s="101">
        <f t="shared" si="0"/>
        <v>0.48399999999999999</v>
      </c>
      <c r="AM41" s="101">
        <f t="shared" si="0"/>
        <v>0.151</v>
      </c>
      <c r="AN41" s="101">
        <f t="shared" si="0"/>
        <v>0.47399999999999998</v>
      </c>
      <c r="AO41" s="101">
        <f t="shared" si="0"/>
        <v>0.501</v>
      </c>
      <c r="AP41" s="101">
        <f t="shared" si="0"/>
        <v>0.4</v>
      </c>
      <c r="AQ41" s="101">
        <f t="shared" si="0"/>
        <v>0.125</v>
      </c>
      <c r="AR41" s="101">
        <f t="shared" si="0"/>
        <v>0.14899999999999999</v>
      </c>
      <c r="AS41" s="101">
        <f t="shared" si="0"/>
        <v>0.432</v>
      </c>
      <c r="AT41" s="101">
        <f t="shared" si="0"/>
        <v>0.40100000000000002</v>
      </c>
      <c r="AU41" s="101">
        <f t="shared" si="0"/>
        <v>0.39600000000000002</v>
      </c>
      <c r="AV41" s="101">
        <f t="shared" si="0"/>
        <v>0.40600000000000003</v>
      </c>
      <c r="AW41" s="101">
        <f t="shared" si="0"/>
        <v>0.56899999999999995</v>
      </c>
      <c r="AX41" s="101">
        <f t="shared" si="0"/>
        <v>0.55900000000000005</v>
      </c>
      <c r="AY41" s="101">
        <f t="shared" si="0"/>
        <v>0.42499999999999999</v>
      </c>
      <c r="AZ41" s="101">
        <f t="shared" si="0"/>
        <v>0.45100000000000001</v>
      </c>
      <c r="BA41" s="101">
        <f t="shared" si="0"/>
        <v>0.47399999999999998</v>
      </c>
      <c r="BB41" s="101">
        <f t="shared" si="0"/>
        <v>0.51300000000000001</v>
      </c>
      <c r="BC41" s="101">
        <f t="shared" si="0"/>
        <v>0.56200000000000006</v>
      </c>
      <c r="BD41" s="101">
        <f t="shared" si="0"/>
        <v>0.442</v>
      </c>
      <c r="BE41" s="101">
        <f t="shared" si="0"/>
        <v>0.46200000000000002</v>
      </c>
      <c r="BF41" s="101">
        <f t="shared" si="0"/>
        <v>0.41899999999999998</v>
      </c>
      <c r="BG41" s="101">
        <f t="shared" si="0"/>
        <v>0.46899999999999997</v>
      </c>
      <c r="BH41" s="101">
        <f t="shared" si="0"/>
        <v>0.48</v>
      </c>
      <c r="BI41" s="101">
        <f t="shared" si="0"/>
        <v>0.47599999999999998</v>
      </c>
      <c r="BJ41" s="101">
        <f t="shared" si="0"/>
        <v>0.436</v>
      </c>
      <c r="BK41" s="101">
        <f t="shared" si="0"/>
        <v>0.47799999999999998</v>
      </c>
      <c r="BL41" s="101">
        <f t="shared" si="0"/>
        <v>0.47399999999999998</v>
      </c>
      <c r="BM41" s="101">
        <f t="shared" si="0"/>
        <v>0.54300000000000004</v>
      </c>
      <c r="BN41" s="101">
        <f t="shared" si="0"/>
        <v>0.47299999999999998</v>
      </c>
      <c r="BO41" s="101">
        <f t="shared" si="0"/>
        <v>0.38100000000000001</v>
      </c>
      <c r="BP41" s="101">
        <f t="shared" si="0"/>
        <v>0.47099999999999997</v>
      </c>
      <c r="BQ41" s="101">
        <f t="shared" ref="BQ41:CT41" si="1">SUM(BQ9:BQ40)*($D$3-1)</f>
        <v>0.47199999999999998</v>
      </c>
      <c r="BR41" s="101">
        <f t="shared" si="1"/>
        <v>0.46200000000000002</v>
      </c>
      <c r="BS41" s="101">
        <f t="shared" si="1"/>
        <v>0.41099999999999998</v>
      </c>
      <c r="BT41" s="101">
        <f t="shared" si="1"/>
        <v>0.48</v>
      </c>
      <c r="BU41" s="101">
        <f t="shared" si="1"/>
        <v>0.38500000000000001</v>
      </c>
      <c r="BV41" s="101">
        <f t="shared" si="1"/>
        <v>0.434</v>
      </c>
      <c r="BW41" s="101">
        <f t="shared" si="1"/>
        <v>0.43099999999999999</v>
      </c>
      <c r="BX41" s="101">
        <f t="shared" si="1"/>
        <v>0.52900000000000003</v>
      </c>
      <c r="BY41" s="101">
        <f t="shared" si="1"/>
        <v>0.52600000000000002</v>
      </c>
      <c r="BZ41" s="101">
        <f t="shared" si="1"/>
        <v>0.52500000000000002</v>
      </c>
      <c r="CA41" s="101">
        <f t="shared" si="1"/>
        <v>0.52</v>
      </c>
      <c r="CB41" s="101">
        <f t="shared" si="1"/>
        <v>0.50600000000000001</v>
      </c>
      <c r="CC41" s="101">
        <f t="shared" si="1"/>
        <v>0.55300000000000005</v>
      </c>
      <c r="CD41" s="101">
        <f t="shared" si="1"/>
        <v>0.55300000000000005</v>
      </c>
      <c r="CE41" s="101">
        <f t="shared" si="1"/>
        <v>0.21199999999999999</v>
      </c>
      <c r="CF41" s="101">
        <f t="shared" si="1"/>
        <v>0.48499999999999999</v>
      </c>
      <c r="CG41" s="101">
        <f t="shared" si="1"/>
        <v>0.50800000000000001</v>
      </c>
      <c r="CH41" s="101">
        <f t="shared" si="1"/>
        <v>0.505</v>
      </c>
      <c r="CI41" s="101">
        <f t="shared" si="1"/>
        <v>0.48299999999999998</v>
      </c>
      <c r="CJ41" s="101">
        <f t="shared" si="1"/>
        <v>0.48099999999999998</v>
      </c>
      <c r="CK41" s="101">
        <f t="shared" si="1"/>
        <v>0.47099999999999997</v>
      </c>
      <c r="CL41" s="101">
        <f t="shared" si="1"/>
        <v>0.48799999999999999</v>
      </c>
      <c r="CM41" s="101">
        <f t="shared" si="1"/>
        <v>0.46300000000000002</v>
      </c>
      <c r="CN41" s="101">
        <f t="shared" si="1"/>
        <v>0.15</v>
      </c>
      <c r="CO41" s="101">
        <f t="shared" si="1"/>
        <v>0.34399999999999997</v>
      </c>
      <c r="CP41" s="101">
        <f t="shared" si="1"/>
        <v>0.38800000000000001</v>
      </c>
      <c r="CQ41" s="101">
        <f t="shared" si="1"/>
        <v>0.39100000000000001</v>
      </c>
      <c r="CR41" s="101">
        <f t="shared" si="1"/>
        <v>0.40400000000000003</v>
      </c>
      <c r="CS41" s="101">
        <f t="shared" si="1"/>
        <v>0.36299999999999999</v>
      </c>
      <c r="CT41" s="102">
        <f t="shared" si="1"/>
        <v>0.371</v>
      </c>
    </row>
    <row r="42" spans="1:98" ht="18.75">
      <c r="A42" s="98" t="s">
        <v>55</v>
      </c>
      <c r="B42" s="105" t="s">
        <v>56</v>
      </c>
      <c r="C42" s="106"/>
      <c r="D42" s="101">
        <f>SUM(D9:D41)*0.2</f>
        <v>0.66800000000000004</v>
      </c>
      <c r="E42" s="101">
        <f t="shared" ref="E42:BP42" si="2">SUM(E9:E41)*0.2</f>
        <v>0.75900000000000001</v>
      </c>
      <c r="F42" s="101">
        <f t="shared" si="2"/>
        <v>0.59599999999999997</v>
      </c>
      <c r="G42" s="101">
        <f t="shared" si="2"/>
        <v>0.67100000000000004</v>
      </c>
      <c r="H42" s="101">
        <f t="shared" si="2"/>
        <v>0.61599999999999999</v>
      </c>
      <c r="I42" s="101">
        <f t="shared" si="2"/>
        <v>0.66600000000000004</v>
      </c>
      <c r="J42" s="101">
        <f t="shared" si="2"/>
        <v>0.61599999999999999</v>
      </c>
      <c r="K42" s="101">
        <f t="shared" si="2"/>
        <v>0.66800000000000004</v>
      </c>
      <c r="L42" s="101">
        <f t="shared" si="2"/>
        <v>0.65400000000000003</v>
      </c>
      <c r="M42" s="101">
        <f t="shared" si="2"/>
        <v>0.61499999999999999</v>
      </c>
      <c r="N42" s="101">
        <f t="shared" si="2"/>
        <v>0.64400000000000002</v>
      </c>
      <c r="O42" s="101">
        <f t="shared" si="2"/>
        <v>0.66900000000000004</v>
      </c>
      <c r="P42" s="101">
        <f t="shared" si="2"/>
        <v>0.67100000000000004</v>
      </c>
      <c r="Q42" s="101">
        <f t="shared" si="2"/>
        <v>0.66500000000000004</v>
      </c>
      <c r="R42" s="101">
        <f t="shared" si="2"/>
        <v>0.74299999999999999</v>
      </c>
      <c r="S42" s="101">
        <f t="shared" si="2"/>
        <v>0.67</v>
      </c>
      <c r="T42" s="101">
        <f t="shared" si="2"/>
        <v>0.72799999999999998</v>
      </c>
      <c r="U42" s="101">
        <f t="shared" si="2"/>
        <v>0.67300000000000004</v>
      </c>
      <c r="V42" s="101">
        <f t="shared" si="2"/>
        <v>0.71799999999999997</v>
      </c>
      <c r="W42" s="101">
        <f t="shared" si="2"/>
        <v>0.73499999999999999</v>
      </c>
      <c r="X42" s="101">
        <f t="shared" si="2"/>
        <v>0.76600000000000001</v>
      </c>
      <c r="Y42" s="101">
        <f t="shared" si="2"/>
        <v>0.72299999999999998</v>
      </c>
      <c r="Z42" s="101">
        <f t="shared" si="2"/>
        <v>0.71499999999999997</v>
      </c>
      <c r="AA42" s="101">
        <f t="shared" si="2"/>
        <v>0.69299999999999995</v>
      </c>
      <c r="AB42" s="101">
        <f t="shared" si="2"/>
        <v>0.73599999999999999</v>
      </c>
      <c r="AC42" s="101">
        <f t="shared" si="2"/>
        <v>0.73699999999999999</v>
      </c>
      <c r="AD42" s="101">
        <f t="shared" si="2"/>
        <v>0.27100000000000002</v>
      </c>
      <c r="AE42" s="101">
        <f t="shared" si="2"/>
        <v>0.20599999999999999</v>
      </c>
      <c r="AF42" s="101">
        <f t="shared" si="2"/>
        <v>0.17899999999999999</v>
      </c>
      <c r="AG42" s="101">
        <f t="shared" si="2"/>
        <v>0.19400000000000001</v>
      </c>
      <c r="AH42" s="101">
        <f t="shared" si="2"/>
        <v>0.58399999999999996</v>
      </c>
      <c r="AI42" s="101">
        <f t="shared" si="2"/>
        <v>0.59499999999999997</v>
      </c>
      <c r="AJ42" s="101">
        <f t="shared" si="2"/>
        <v>0.56599999999999995</v>
      </c>
      <c r="AK42" s="101">
        <f t="shared" si="2"/>
        <v>0.75700000000000001</v>
      </c>
      <c r="AL42" s="101">
        <f t="shared" si="2"/>
        <v>0.66600000000000004</v>
      </c>
      <c r="AM42" s="101">
        <f t="shared" si="2"/>
        <v>0.20699999999999999</v>
      </c>
      <c r="AN42" s="101">
        <f t="shared" si="2"/>
        <v>0.65200000000000002</v>
      </c>
      <c r="AO42" s="101">
        <f t="shared" si="2"/>
        <v>0.69</v>
      </c>
      <c r="AP42" s="101">
        <f t="shared" si="2"/>
        <v>0.55100000000000005</v>
      </c>
      <c r="AQ42" s="101">
        <f t="shared" si="2"/>
        <v>0.17199999999999999</v>
      </c>
      <c r="AR42" s="101">
        <f t="shared" si="2"/>
        <v>0.20499999999999999</v>
      </c>
      <c r="AS42" s="101">
        <f t="shared" si="2"/>
        <v>0.59499999999999997</v>
      </c>
      <c r="AT42" s="101">
        <f t="shared" si="2"/>
        <v>0.55200000000000005</v>
      </c>
      <c r="AU42" s="101">
        <f t="shared" si="2"/>
        <v>0.54600000000000004</v>
      </c>
      <c r="AV42" s="101">
        <f t="shared" si="2"/>
        <v>0.55800000000000005</v>
      </c>
      <c r="AW42" s="101">
        <f t="shared" si="2"/>
        <v>0.78300000000000003</v>
      </c>
      <c r="AX42" s="101">
        <f t="shared" si="2"/>
        <v>0.77</v>
      </c>
      <c r="AY42" s="101">
        <f t="shared" si="2"/>
        <v>0.58499999999999996</v>
      </c>
      <c r="AZ42" s="101">
        <f t="shared" si="2"/>
        <v>0.621</v>
      </c>
      <c r="BA42" s="101">
        <f t="shared" si="2"/>
        <v>0.65300000000000002</v>
      </c>
      <c r="BB42" s="101">
        <f t="shared" si="2"/>
        <v>0.70599999999999996</v>
      </c>
      <c r="BC42" s="101">
        <f t="shared" si="2"/>
        <v>0.77400000000000002</v>
      </c>
      <c r="BD42" s="101">
        <f t="shared" si="2"/>
        <v>0.60899999999999999</v>
      </c>
      <c r="BE42" s="101">
        <f t="shared" si="2"/>
        <v>0.63500000000000001</v>
      </c>
      <c r="BF42" s="101">
        <f t="shared" si="2"/>
        <v>0.57699999999999996</v>
      </c>
      <c r="BG42" s="101">
        <f t="shared" si="2"/>
        <v>0.64500000000000002</v>
      </c>
      <c r="BH42" s="101">
        <f t="shared" si="2"/>
        <v>0.66100000000000003</v>
      </c>
      <c r="BI42" s="101">
        <f t="shared" si="2"/>
        <v>0.65500000000000003</v>
      </c>
      <c r="BJ42" s="101">
        <f t="shared" si="2"/>
        <v>0.6</v>
      </c>
      <c r="BK42" s="101">
        <f t="shared" si="2"/>
        <v>0.65800000000000003</v>
      </c>
      <c r="BL42" s="101">
        <f t="shared" si="2"/>
        <v>0.65300000000000002</v>
      </c>
      <c r="BM42" s="101">
        <f t="shared" si="2"/>
        <v>0.747</v>
      </c>
      <c r="BN42" s="101">
        <f t="shared" si="2"/>
        <v>0.65200000000000002</v>
      </c>
      <c r="BO42" s="101">
        <f t="shared" si="2"/>
        <v>0.52500000000000002</v>
      </c>
      <c r="BP42" s="101">
        <f t="shared" si="2"/>
        <v>0.64800000000000002</v>
      </c>
      <c r="BQ42" s="101">
        <f t="shared" ref="BQ42:CT42" si="3">SUM(BQ9:BQ41)*0.2</f>
        <v>0.65</v>
      </c>
      <c r="BR42" s="101">
        <f t="shared" si="3"/>
        <v>0.63600000000000001</v>
      </c>
      <c r="BS42" s="101">
        <f t="shared" si="3"/>
        <v>0.56599999999999995</v>
      </c>
      <c r="BT42" s="101">
        <f t="shared" si="3"/>
        <v>0.66100000000000003</v>
      </c>
      <c r="BU42" s="101">
        <f t="shared" si="3"/>
        <v>0.52900000000000003</v>
      </c>
      <c r="BV42" s="101">
        <f t="shared" si="3"/>
        <v>0.59699999999999998</v>
      </c>
      <c r="BW42" s="101">
        <f t="shared" si="3"/>
        <v>0.59399999999999997</v>
      </c>
      <c r="BX42" s="101">
        <f t="shared" si="3"/>
        <v>0.72799999999999998</v>
      </c>
      <c r="BY42" s="101">
        <f t="shared" si="3"/>
        <v>0.72499999999999998</v>
      </c>
      <c r="BZ42" s="101">
        <f t="shared" si="3"/>
        <v>0.72299999999999998</v>
      </c>
      <c r="CA42" s="101">
        <f t="shared" si="3"/>
        <v>0.71599999999999997</v>
      </c>
      <c r="CB42" s="101">
        <f t="shared" si="3"/>
        <v>0.69699999999999995</v>
      </c>
      <c r="CC42" s="101">
        <f t="shared" si="3"/>
        <v>0.76100000000000001</v>
      </c>
      <c r="CD42" s="101">
        <f t="shared" si="3"/>
        <v>0.76100000000000001</v>
      </c>
      <c r="CE42" s="101">
        <f t="shared" si="3"/>
        <v>0.29199999999999998</v>
      </c>
      <c r="CF42" s="101">
        <f t="shared" si="3"/>
        <v>0.66800000000000004</v>
      </c>
      <c r="CG42" s="101">
        <f t="shared" si="3"/>
        <v>0.69899999999999995</v>
      </c>
      <c r="CH42" s="101">
        <f t="shared" si="3"/>
        <v>0.69499999999999995</v>
      </c>
      <c r="CI42" s="101">
        <f t="shared" si="3"/>
        <v>0.66500000000000004</v>
      </c>
      <c r="CJ42" s="101">
        <f t="shared" si="3"/>
        <v>0.66300000000000003</v>
      </c>
      <c r="CK42" s="101">
        <f t="shared" si="3"/>
        <v>0.64800000000000002</v>
      </c>
      <c r="CL42" s="101">
        <f t="shared" si="3"/>
        <v>0.67200000000000004</v>
      </c>
      <c r="CM42" s="101">
        <f t="shared" si="3"/>
        <v>0.63700000000000001</v>
      </c>
      <c r="CN42" s="101">
        <f t="shared" si="3"/>
        <v>0.20699999999999999</v>
      </c>
      <c r="CO42" s="101">
        <f t="shared" si="3"/>
        <v>0.47399999999999998</v>
      </c>
      <c r="CP42" s="101">
        <f t="shared" si="3"/>
        <v>0.53400000000000003</v>
      </c>
      <c r="CQ42" s="101">
        <f t="shared" si="3"/>
        <v>0.53800000000000003</v>
      </c>
      <c r="CR42" s="101">
        <f t="shared" si="3"/>
        <v>0.55700000000000005</v>
      </c>
      <c r="CS42" s="101">
        <f t="shared" si="3"/>
        <v>0.499</v>
      </c>
      <c r="CT42" s="102">
        <f t="shared" si="3"/>
        <v>0.51100000000000001</v>
      </c>
    </row>
    <row r="43" spans="1:98" ht="19.5" thickBot="1">
      <c r="A43" s="107" t="s">
        <v>57</v>
      </c>
      <c r="B43" s="108" t="s">
        <v>249</v>
      </c>
      <c r="C43" s="109"/>
      <c r="D43" s="110">
        <f>SUM(D9:D42)</f>
        <v>4.008</v>
      </c>
      <c r="E43" s="110">
        <f t="shared" ref="E43:BP43" si="4">SUM(E9:E42)</f>
        <v>4.5529999999999999</v>
      </c>
      <c r="F43" s="110">
        <f t="shared" si="4"/>
        <v>3.5779999999999998</v>
      </c>
      <c r="G43" s="110">
        <f t="shared" si="4"/>
        <v>4.0279999999999996</v>
      </c>
      <c r="H43" s="110">
        <f t="shared" si="4"/>
        <v>3.698</v>
      </c>
      <c r="I43" s="110">
        <f t="shared" si="4"/>
        <v>3.996</v>
      </c>
      <c r="J43" s="110">
        <f t="shared" si="4"/>
        <v>3.694</v>
      </c>
      <c r="K43" s="110">
        <f t="shared" si="4"/>
        <v>4.01</v>
      </c>
      <c r="L43" s="110">
        <f t="shared" si="4"/>
        <v>3.9220000000000002</v>
      </c>
      <c r="M43" s="110">
        <f t="shared" si="4"/>
        <v>3.6909999999999998</v>
      </c>
      <c r="N43" s="110">
        <f t="shared" si="4"/>
        <v>3.8620000000000001</v>
      </c>
      <c r="O43" s="110">
        <f t="shared" si="4"/>
        <v>4.016</v>
      </c>
      <c r="P43" s="110">
        <f t="shared" si="4"/>
        <v>4.0270000000000001</v>
      </c>
      <c r="Q43" s="110">
        <f t="shared" si="4"/>
        <v>3.99</v>
      </c>
      <c r="R43" s="110">
        <f t="shared" si="4"/>
        <v>4.4580000000000002</v>
      </c>
      <c r="S43" s="110">
        <f t="shared" si="4"/>
        <v>4.0199999999999996</v>
      </c>
      <c r="T43" s="110">
        <f t="shared" si="4"/>
        <v>4.3659999999999997</v>
      </c>
      <c r="U43" s="110">
        <f t="shared" si="4"/>
        <v>4.0380000000000003</v>
      </c>
      <c r="V43" s="110">
        <f t="shared" si="4"/>
        <v>4.3090000000000002</v>
      </c>
      <c r="W43" s="110">
        <f t="shared" si="4"/>
        <v>4.4119999999999999</v>
      </c>
      <c r="X43" s="110">
        <f t="shared" si="4"/>
        <v>4.5940000000000003</v>
      </c>
      <c r="Y43" s="110">
        <f t="shared" si="4"/>
        <v>4.3390000000000004</v>
      </c>
      <c r="Z43" s="110">
        <f t="shared" si="4"/>
        <v>4.2880000000000003</v>
      </c>
      <c r="AA43" s="110">
        <f t="shared" si="4"/>
        <v>4.16</v>
      </c>
      <c r="AB43" s="110">
        <f t="shared" si="4"/>
        <v>4.4160000000000004</v>
      </c>
      <c r="AC43" s="110">
        <f t="shared" si="4"/>
        <v>4.423</v>
      </c>
      <c r="AD43" s="110">
        <f t="shared" si="4"/>
        <v>1.6279999999999999</v>
      </c>
      <c r="AE43" s="110">
        <f t="shared" si="4"/>
        <v>1.234</v>
      </c>
      <c r="AF43" s="110">
        <f t="shared" si="4"/>
        <v>1.0760000000000001</v>
      </c>
      <c r="AG43" s="110">
        <f t="shared" si="4"/>
        <v>1.1659999999999999</v>
      </c>
      <c r="AH43" s="110">
        <f t="shared" si="4"/>
        <v>3.504</v>
      </c>
      <c r="AI43" s="110">
        <f t="shared" si="4"/>
        <v>3.569</v>
      </c>
      <c r="AJ43" s="110">
        <f t="shared" si="4"/>
        <v>3.3940000000000001</v>
      </c>
      <c r="AK43" s="110">
        <f t="shared" si="4"/>
        <v>4.5439999999999996</v>
      </c>
      <c r="AL43" s="110">
        <f t="shared" si="4"/>
        <v>3.9969999999999999</v>
      </c>
      <c r="AM43" s="110">
        <f t="shared" si="4"/>
        <v>1.244</v>
      </c>
      <c r="AN43" s="110">
        <f t="shared" si="4"/>
        <v>3.9119999999999999</v>
      </c>
      <c r="AO43" s="110">
        <f t="shared" si="4"/>
        <v>4.1379999999999999</v>
      </c>
      <c r="AP43" s="110">
        <f t="shared" si="4"/>
        <v>3.3039999999999998</v>
      </c>
      <c r="AQ43" s="110">
        <f t="shared" si="4"/>
        <v>1.034</v>
      </c>
      <c r="AR43" s="110">
        <f t="shared" si="4"/>
        <v>1.2310000000000001</v>
      </c>
      <c r="AS43" s="110">
        <f t="shared" si="4"/>
        <v>3.5710000000000002</v>
      </c>
      <c r="AT43" s="110">
        <f t="shared" si="4"/>
        <v>3.3140000000000001</v>
      </c>
      <c r="AU43" s="110">
        <f t="shared" si="4"/>
        <v>3.274</v>
      </c>
      <c r="AV43" s="110">
        <f t="shared" si="4"/>
        <v>3.35</v>
      </c>
      <c r="AW43" s="110">
        <f t="shared" si="4"/>
        <v>4.6980000000000004</v>
      </c>
      <c r="AX43" s="110">
        <f t="shared" si="4"/>
        <v>4.6189999999999998</v>
      </c>
      <c r="AY43" s="110">
        <f t="shared" si="4"/>
        <v>3.5089999999999999</v>
      </c>
      <c r="AZ43" s="110">
        <f t="shared" si="4"/>
        <v>3.7250000000000001</v>
      </c>
      <c r="BA43" s="110">
        <f t="shared" si="4"/>
        <v>3.9169999999999998</v>
      </c>
      <c r="BB43" s="110">
        <f t="shared" si="4"/>
        <v>4.234</v>
      </c>
      <c r="BC43" s="110">
        <f t="shared" si="4"/>
        <v>4.6429999999999998</v>
      </c>
      <c r="BD43" s="110">
        <f t="shared" si="4"/>
        <v>3.653</v>
      </c>
      <c r="BE43" s="110">
        <f t="shared" si="4"/>
        <v>3.8119999999999998</v>
      </c>
      <c r="BF43" s="110">
        <f t="shared" si="4"/>
        <v>3.4630000000000001</v>
      </c>
      <c r="BG43" s="110">
        <f t="shared" si="4"/>
        <v>3.871</v>
      </c>
      <c r="BH43" s="110">
        <f t="shared" si="4"/>
        <v>3.9649999999999999</v>
      </c>
      <c r="BI43" s="110">
        <f t="shared" si="4"/>
        <v>3.9289999999999998</v>
      </c>
      <c r="BJ43" s="110">
        <f t="shared" si="4"/>
        <v>3.6</v>
      </c>
      <c r="BK43" s="110">
        <f t="shared" si="4"/>
        <v>3.9489999999999998</v>
      </c>
      <c r="BL43" s="110">
        <f t="shared" si="4"/>
        <v>3.9169999999999998</v>
      </c>
      <c r="BM43" s="110">
        <f t="shared" si="4"/>
        <v>4.484</v>
      </c>
      <c r="BN43" s="110">
        <f t="shared" si="4"/>
        <v>3.91</v>
      </c>
      <c r="BO43" s="110">
        <f t="shared" si="4"/>
        <v>3.1480000000000001</v>
      </c>
      <c r="BP43" s="110">
        <f t="shared" si="4"/>
        <v>3.887</v>
      </c>
      <c r="BQ43" s="110">
        <f t="shared" ref="BQ43:CT43" si="5">SUM(BQ9:BQ42)</f>
        <v>3.8980000000000001</v>
      </c>
      <c r="BR43" s="110">
        <f t="shared" si="5"/>
        <v>3.8149999999999999</v>
      </c>
      <c r="BS43" s="110">
        <f t="shared" si="5"/>
        <v>3.3940000000000001</v>
      </c>
      <c r="BT43" s="110">
        <f t="shared" si="5"/>
        <v>3.9649999999999999</v>
      </c>
      <c r="BU43" s="110">
        <f t="shared" si="5"/>
        <v>3.1760000000000002</v>
      </c>
      <c r="BV43" s="110">
        <f t="shared" si="5"/>
        <v>3.581</v>
      </c>
      <c r="BW43" s="110">
        <f t="shared" si="5"/>
        <v>3.5630000000000002</v>
      </c>
      <c r="BX43" s="110">
        <f t="shared" si="5"/>
        <v>4.37</v>
      </c>
      <c r="BY43" s="110">
        <f t="shared" si="5"/>
        <v>4.3479999999999999</v>
      </c>
      <c r="BZ43" s="110">
        <f t="shared" si="5"/>
        <v>4.3369999999999997</v>
      </c>
      <c r="CA43" s="110">
        <f t="shared" si="5"/>
        <v>4.2969999999999997</v>
      </c>
      <c r="CB43" s="110">
        <f t="shared" si="5"/>
        <v>4.18</v>
      </c>
      <c r="CC43" s="110">
        <f t="shared" si="5"/>
        <v>4.5679999999999996</v>
      </c>
      <c r="CD43" s="110">
        <f t="shared" si="5"/>
        <v>4.5640000000000001</v>
      </c>
      <c r="CE43" s="110">
        <f t="shared" si="5"/>
        <v>1.752</v>
      </c>
      <c r="CF43" s="110">
        <f t="shared" si="5"/>
        <v>4.0069999999999997</v>
      </c>
      <c r="CG43" s="110">
        <f t="shared" si="5"/>
        <v>4.194</v>
      </c>
      <c r="CH43" s="110">
        <f t="shared" si="5"/>
        <v>4.1710000000000003</v>
      </c>
      <c r="CI43" s="110">
        <f t="shared" si="5"/>
        <v>3.992</v>
      </c>
      <c r="CJ43" s="110">
        <f t="shared" si="5"/>
        <v>3.976</v>
      </c>
      <c r="CK43" s="110">
        <f t="shared" si="5"/>
        <v>3.887</v>
      </c>
      <c r="CL43" s="110">
        <f t="shared" si="5"/>
        <v>4.03</v>
      </c>
      <c r="CM43" s="110">
        <f t="shared" si="5"/>
        <v>3.8220000000000001</v>
      </c>
      <c r="CN43" s="110">
        <f t="shared" si="5"/>
        <v>1.24</v>
      </c>
      <c r="CO43" s="110">
        <f t="shared" si="5"/>
        <v>2.8420000000000001</v>
      </c>
      <c r="CP43" s="110">
        <f t="shared" si="5"/>
        <v>3.206</v>
      </c>
      <c r="CQ43" s="110">
        <f t="shared" si="5"/>
        <v>3.2280000000000002</v>
      </c>
      <c r="CR43" s="110">
        <f t="shared" si="5"/>
        <v>3.34</v>
      </c>
      <c r="CS43" s="110">
        <f t="shared" si="5"/>
        <v>2.996</v>
      </c>
      <c r="CT43" s="111">
        <f t="shared" si="5"/>
        <v>3.0659999999999998</v>
      </c>
    </row>
    <row r="44" spans="1:98" ht="19.5" thickBot="1">
      <c r="A44" s="112"/>
      <c r="B44" s="113" t="s">
        <v>248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4"/>
    </row>
    <row r="45" spans="1:98" ht="18.75">
      <c r="A45" s="115"/>
      <c r="B45" s="116" t="s">
        <v>122</v>
      </c>
      <c r="C45" s="117"/>
      <c r="D45" s="118">
        <f>D46+D47+D48</f>
        <v>4.008</v>
      </c>
      <c r="E45" s="118">
        <f t="shared" ref="E45:BP45" si="6">E46+E47+E48</f>
        <v>3.4089999999999998</v>
      </c>
      <c r="F45" s="118">
        <f t="shared" si="6"/>
        <v>3.5779999999999998</v>
      </c>
      <c r="G45" s="118">
        <f t="shared" si="6"/>
        <v>4.0279999999999996</v>
      </c>
      <c r="H45" s="118">
        <f t="shared" si="6"/>
        <v>3.698</v>
      </c>
      <c r="I45" s="118">
        <f t="shared" si="6"/>
        <v>3.996</v>
      </c>
      <c r="J45" s="118">
        <f t="shared" si="6"/>
        <v>3.694</v>
      </c>
      <c r="K45" s="118">
        <f t="shared" si="6"/>
        <v>4.01</v>
      </c>
      <c r="L45" s="118">
        <f t="shared" si="6"/>
        <v>3.9220000000000002</v>
      </c>
      <c r="M45" s="118">
        <f t="shared" si="6"/>
        <v>3.6909999999999998</v>
      </c>
      <c r="N45" s="118">
        <f t="shared" si="6"/>
        <v>3.8620000000000001</v>
      </c>
      <c r="O45" s="118">
        <f t="shared" si="6"/>
        <v>4.016</v>
      </c>
      <c r="P45" s="118">
        <f t="shared" si="6"/>
        <v>4.0270000000000001</v>
      </c>
      <c r="Q45" s="118">
        <f t="shared" si="6"/>
        <v>3.99</v>
      </c>
      <c r="R45" s="118">
        <f t="shared" si="6"/>
        <v>3.6080000000000001</v>
      </c>
      <c r="S45" s="118">
        <f t="shared" si="6"/>
        <v>4.0199999999999996</v>
      </c>
      <c r="T45" s="118">
        <f t="shared" si="6"/>
        <v>3.8580000000000001</v>
      </c>
      <c r="U45" s="118">
        <f t="shared" si="6"/>
        <v>4.0380000000000003</v>
      </c>
      <c r="V45" s="118">
        <f t="shared" si="6"/>
        <v>3.7189999999999999</v>
      </c>
      <c r="W45" s="118">
        <f t="shared" si="6"/>
        <v>3.6419999999999999</v>
      </c>
      <c r="X45" s="118">
        <f t="shared" si="6"/>
        <v>3.7610000000000001</v>
      </c>
      <c r="Y45" s="118">
        <f t="shared" si="6"/>
        <v>3.7149999999999999</v>
      </c>
      <c r="Z45" s="118">
        <f t="shared" si="6"/>
        <v>3.5150000000000001</v>
      </c>
      <c r="AA45" s="118">
        <f t="shared" si="6"/>
        <v>3.488</v>
      </c>
      <c r="AB45" s="118">
        <f t="shared" si="6"/>
        <v>3.403</v>
      </c>
      <c r="AC45" s="118">
        <f t="shared" si="6"/>
        <v>3.548</v>
      </c>
      <c r="AD45" s="118">
        <f t="shared" si="6"/>
        <v>1.6279999999999999</v>
      </c>
      <c r="AE45" s="118">
        <f t="shared" si="6"/>
        <v>1.234</v>
      </c>
      <c r="AF45" s="118">
        <f t="shared" si="6"/>
        <v>1.0760000000000001</v>
      </c>
      <c r="AG45" s="118">
        <f t="shared" si="6"/>
        <v>1.1659999999999999</v>
      </c>
      <c r="AH45" s="118">
        <f t="shared" si="6"/>
        <v>3.504</v>
      </c>
      <c r="AI45" s="118">
        <f t="shared" si="6"/>
        <v>3.569</v>
      </c>
      <c r="AJ45" s="118">
        <f t="shared" si="6"/>
        <v>3.3940000000000001</v>
      </c>
      <c r="AK45" s="118">
        <f t="shared" si="6"/>
        <v>3.4140000000000001</v>
      </c>
      <c r="AL45" s="118">
        <f t="shared" si="6"/>
        <v>3.9969999999999999</v>
      </c>
      <c r="AM45" s="118">
        <f t="shared" si="6"/>
        <v>1.244</v>
      </c>
      <c r="AN45" s="118">
        <f t="shared" si="6"/>
        <v>3.9119999999999999</v>
      </c>
      <c r="AO45" s="118">
        <f t="shared" si="6"/>
        <v>4.1379999999999999</v>
      </c>
      <c r="AP45" s="118">
        <f t="shared" si="6"/>
        <v>3.3039999999999998</v>
      </c>
      <c r="AQ45" s="118">
        <f t="shared" si="6"/>
        <v>1.034</v>
      </c>
      <c r="AR45" s="118">
        <f t="shared" si="6"/>
        <v>1.2310000000000001</v>
      </c>
      <c r="AS45" s="118">
        <f t="shared" si="6"/>
        <v>3.5710000000000002</v>
      </c>
      <c r="AT45" s="118">
        <f t="shared" si="6"/>
        <v>2.544</v>
      </c>
      <c r="AU45" s="118">
        <f t="shared" si="6"/>
        <v>2.4529999999999998</v>
      </c>
      <c r="AV45" s="118">
        <f t="shared" si="6"/>
        <v>2.5449999999999999</v>
      </c>
      <c r="AW45" s="118">
        <f t="shared" si="6"/>
        <v>3.5659999999999998</v>
      </c>
      <c r="AX45" s="118">
        <f t="shared" si="6"/>
        <v>3.5739999999999998</v>
      </c>
      <c r="AY45" s="118">
        <f t="shared" si="6"/>
        <v>3.5089999999999999</v>
      </c>
      <c r="AZ45" s="118">
        <f t="shared" si="6"/>
        <v>3.7250000000000001</v>
      </c>
      <c r="BA45" s="118">
        <f t="shared" si="6"/>
        <v>3.9169999999999998</v>
      </c>
      <c r="BB45" s="118">
        <f t="shared" si="6"/>
        <v>3.569</v>
      </c>
      <c r="BC45" s="118">
        <f t="shared" si="6"/>
        <v>3.4180000000000001</v>
      </c>
      <c r="BD45" s="118">
        <f t="shared" si="6"/>
        <v>3.653</v>
      </c>
      <c r="BE45" s="118">
        <f t="shared" si="6"/>
        <v>3.8119999999999998</v>
      </c>
      <c r="BF45" s="118">
        <f t="shared" si="6"/>
        <v>3.4630000000000001</v>
      </c>
      <c r="BG45" s="118">
        <f t="shared" si="6"/>
        <v>3.871</v>
      </c>
      <c r="BH45" s="118">
        <f t="shared" si="6"/>
        <v>3.9649999999999999</v>
      </c>
      <c r="BI45" s="118">
        <f t="shared" si="6"/>
        <v>3.9289999999999998</v>
      </c>
      <c r="BJ45" s="118">
        <f t="shared" si="6"/>
        <v>3.6</v>
      </c>
      <c r="BK45" s="118">
        <f t="shared" si="6"/>
        <v>3.9489999999999998</v>
      </c>
      <c r="BL45" s="118">
        <f t="shared" si="6"/>
        <v>3.9169999999999998</v>
      </c>
      <c r="BM45" s="118">
        <f t="shared" si="6"/>
        <v>3.8090000000000002</v>
      </c>
      <c r="BN45" s="118">
        <f t="shared" si="6"/>
        <v>3.91</v>
      </c>
      <c r="BO45" s="118">
        <f t="shared" si="6"/>
        <v>3.1480000000000001</v>
      </c>
      <c r="BP45" s="118">
        <f t="shared" si="6"/>
        <v>3.887</v>
      </c>
      <c r="BQ45" s="118">
        <f t="shared" ref="BQ45:CT45" si="7">BQ46+BQ47+BQ48</f>
        <v>3.8980000000000001</v>
      </c>
      <c r="BR45" s="118">
        <f t="shared" si="7"/>
        <v>3.8149999999999999</v>
      </c>
      <c r="BS45" s="118">
        <f t="shared" si="7"/>
        <v>3.3940000000000001</v>
      </c>
      <c r="BT45" s="118">
        <f t="shared" si="7"/>
        <v>3.9649999999999999</v>
      </c>
      <c r="BU45" s="118">
        <f t="shared" si="7"/>
        <v>3.1760000000000002</v>
      </c>
      <c r="BV45" s="118">
        <f t="shared" si="7"/>
        <v>3.581</v>
      </c>
      <c r="BW45" s="118">
        <f t="shared" si="7"/>
        <v>3.5630000000000002</v>
      </c>
      <c r="BX45" s="118">
        <f t="shared" si="7"/>
        <v>3.508</v>
      </c>
      <c r="BY45" s="118">
        <f t="shared" si="7"/>
        <v>3.66</v>
      </c>
      <c r="BZ45" s="118">
        <f t="shared" si="7"/>
        <v>3.4940000000000002</v>
      </c>
      <c r="CA45" s="118">
        <f t="shared" si="7"/>
        <v>3.577</v>
      </c>
      <c r="CB45" s="118">
        <f t="shared" si="7"/>
        <v>3.5150000000000001</v>
      </c>
      <c r="CC45" s="118">
        <f t="shared" si="7"/>
        <v>3.774</v>
      </c>
      <c r="CD45" s="118">
        <f t="shared" si="7"/>
        <v>3.7679999999999998</v>
      </c>
      <c r="CE45" s="118">
        <f t="shared" si="7"/>
        <v>1.752</v>
      </c>
      <c r="CF45" s="118">
        <f t="shared" si="7"/>
        <v>4.0069999999999997</v>
      </c>
      <c r="CG45" s="118">
        <f t="shared" si="7"/>
        <v>3.4009999999999998</v>
      </c>
      <c r="CH45" s="118">
        <f t="shared" si="7"/>
        <v>3.3780000000000001</v>
      </c>
      <c r="CI45" s="118">
        <f t="shared" si="7"/>
        <v>3.992</v>
      </c>
      <c r="CJ45" s="118">
        <f t="shared" si="7"/>
        <v>3.976</v>
      </c>
      <c r="CK45" s="118">
        <f t="shared" si="7"/>
        <v>3.887</v>
      </c>
      <c r="CL45" s="118">
        <f t="shared" si="7"/>
        <v>4.03</v>
      </c>
      <c r="CM45" s="118">
        <f t="shared" si="7"/>
        <v>3.8220000000000001</v>
      </c>
      <c r="CN45" s="118">
        <f t="shared" si="7"/>
        <v>1.24</v>
      </c>
      <c r="CO45" s="118">
        <f t="shared" si="7"/>
        <v>2.8420000000000001</v>
      </c>
      <c r="CP45" s="118">
        <f t="shared" si="7"/>
        <v>3.206</v>
      </c>
      <c r="CQ45" s="118">
        <f t="shared" si="7"/>
        <v>3.2280000000000002</v>
      </c>
      <c r="CR45" s="118">
        <f t="shared" si="7"/>
        <v>3.34</v>
      </c>
      <c r="CS45" s="118">
        <f t="shared" si="7"/>
        <v>2.996</v>
      </c>
      <c r="CT45" s="119">
        <f t="shared" si="7"/>
        <v>3.0659999999999998</v>
      </c>
    </row>
    <row r="46" spans="1:98" ht="18.75">
      <c r="A46" s="120"/>
      <c r="B46" s="121"/>
      <c r="C46" s="121"/>
      <c r="D46" s="122">
        <f>SUM(D9:D12,D15:D39)</f>
        <v>2.855</v>
      </c>
      <c r="E46" s="122">
        <f t="shared" ref="E46:BP46" si="8">SUM(E9:E12,E15:E39)</f>
        <v>2.4279999999999999</v>
      </c>
      <c r="F46" s="122">
        <f t="shared" si="8"/>
        <v>2.5489999999999999</v>
      </c>
      <c r="G46" s="122">
        <f t="shared" si="8"/>
        <v>2.8690000000000002</v>
      </c>
      <c r="H46" s="122">
        <f t="shared" si="8"/>
        <v>2.6339999999999999</v>
      </c>
      <c r="I46" s="122">
        <f t="shared" si="8"/>
        <v>2.8460000000000001</v>
      </c>
      <c r="J46" s="122">
        <f t="shared" si="8"/>
        <v>2.6309999999999998</v>
      </c>
      <c r="K46" s="122">
        <f t="shared" si="8"/>
        <v>2.8559999999999999</v>
      </c>
      <c r="L46" s="122">
        <f t="shared" si="8"/>
        <v>2.7930000000000001</v>
      </c>
      <c r="M46" s="122">
        <f t="shared" si="8"/>
        <v>2.629</v>
      </c>
      <c r="N46" s="122">
        <f t="shared" si="8"/>
        <v>2.75</v>
      </c>
      <c r="O46" s="122">
        <f t="shared" si="8"/>
        <v>2.8610000000000002</v>
      </c>
      <c r="P46" s="122">
        <f t="shared" si="8"/>
        <v>2.8679999999999999</v>
      </c>
      <c r="Q46" s="122">
        <f t="shared" si="8"/>
        <v>2.8420000000000001</v>
      </c>
      <c r="R46" s="122">
        <f t="shared" si="8"/>
        <v>2.57</v>
      </c>
      <c r="S46" s="122">
        <f t="shared" si="8"/>
        <v>2.863</v>
      </c>
      <c r="T46" s="122">
        <f t="shared" si="8"/>
        <v>2.7480000000000002</v>
      </c>
      <c r="U46" s="122">
        <f t="shared" si="8"/>
        <v>2.8759999999999999</v>
      </c>
      <c r="V46" s="122">
        <f t="shared" si="8"/>
        <v>2.649</v>
      </c>
      <c r="W46" s="122">
        <f t="shared" si="8"/>
        <v>2.5939999999999999</v>
      </c>
      <c r="X46" s="122">
        <f t="shared" si="8"/>
        <v>2.6789999999999998</v>
      </c>
      <c r="Y46" s="122">
        <f t="shared" si="8"/>
        <v>2.6459999999999999</v>
      </c>
      <c r="Z46" s="122">
        <f t="shared" si="8"/>
        <v>2.5030000000000001</v>
      </c>
      <c r="AA46" s="122">
        <f t="shared" si="8"/>
        <v>2.4849999999999999</v>
      </c>
      <c r="AB46" s="122">
        <f t="shared" si="8"/>
        <v>2.4239999999999999</v>
      </c>
      <c r="AC46" s="122">
        <f t="shared" si="8"/>
        <v>2.5270000000000001</v>
      </c>
      <c r="AD46" s="122">
        <f t="shared" si="8"/>
        <v>1.1599999999999999</v>
      </c>
      <c r="AE46" s="122">
        <f t="shared" si="8"/>
        <v>0.879</v>
      </c>
      <c r="AF46" s="122">
        <f t="shared" si="8"/>
        <v>0.76700000000000002</v>
      </c>
      <c r="AG46" s="122">
        <f t="shared" si="8"/>
        <v>0.83099999999999996</v>
      </c>
      <c r="AH46" s="122">
        <f t="shared" si="8"/>
        <v>2.496</v>
      </c>
      <c r="AI46" s="122">
        <f t="shared" si="8"/>
        <v>2.5419999999999998</v>
      </c>
      <c r="AJ46" s="122">
        <f t="shared" si="8"/>
        <v>2.4169999999999998</v>
      </c>
      <c r="AK46" s="122">
        <f t="shared" si="8"/>
        <v>2.4319999999999999</v>
      </c>
      <c r="AL46" s="122">
        <f t="shared" si="8"/>
        <v>2.847</v>
      </c>
      <c r="AM46" s="122">
        <f t="shared" si="8"/>
        <v>0.88600000000000001</v>
      </c>
      <c r="AN46" s="122">
        <f t="shared" si="8"/>
        <v>2.786</v>
      </c>
      <c r="AO46" s="122">
        <f t="shared" si="8"/>
        <v>2.9470000000000001</v>
      </c>
      <c r="AP46" s="122">
        <f t="shared" si="8"/>
        <v>2.3530000000000002</v>
      </c>
      <c r="AQ46" s="122">
        <f t="shared" si="8"/>
        <v>0.73699999999999999</v>
      </c>
      <c r="AR46" s="122">
        <f t="shared" si="8"/>
        <v>0.877</v>
      </c>
      <c r="AS46" s="122">
        <f t="shared" si="8"/>
        <v>2.544</v>
      </c>
      <c r="AT46" s="122">
        <f t="shared" si="8"/>
        <v>1.8120000000000001</v>
      </c>
      <c r="AU46" s="122">
        <f t="shared" si="8"/>
        <v>1.7470000000000001</v>
      </c>
      <c r="AV46" s="122">
        <f t="shared" si="8"/>
        <v>1.8129999999999999</v>
      </c>
      <c r="AW46" s="122">
        <f t="shared" si="8"/>
        <v>2.54</v>
      </c>
      <c r="AX46" s="122">
        <f t="shared" si="8"/>
        <v>2.5449999999999999</v>
      </c>
      <c r="AY46" s="122">
        <f t="shared" si="8"/>
        <v>2.4990000000000001</v>
      </c>
      <c r="AZ46" s="122">
        <f t="shared" si="8"/>
        <v>2.653</v>
      </c>
      <c r="BA46" s="122">
        <f t="shared" si="8"/>
        <v>2.79</v>
      </c>
      <c r="BB46" s="122">
        <f t="shared" si="8"/>
        <v>2.5419999999999998</v>
      </c>
      <c r="BC46" s="122">
        <f t="shared" si="8"/>
        <v>2.4340000000000002</v>
      </c>
      <c r="BD46" s="122">
        <f t="shared" si="8"/>
        <v>2.6019999999999999</v>
      </c>
      <c r="BE46" s="122">
        <f t="shared" si="8"/>
        <v>2.7149999999999999</v>
      </c>
      <c r="BF46" s="122">
        <f t="shared" si="8"/>
        <v>2.4670000000000001</v>
      </c>
      <c r="BG46" s="122">
        <f t="shared" si="8"/>
        <v>2.7570000000000001</v>
      </c>
      <c r="BH46" s="122">
        <f t="shared" si="8"/>
        <v>2.8239999999999998</v>
      </c>
      <c r="BI46" s="122">
        <f t="shared" si="8"/>
        <v>2.798</v>
      </c>
      <c r="BJ46" s="122">
        <f t="shared" si="8"/>
        <v>2.5640000000000001</v>
      </c>
      <c r="BK46" s="122">
        <f t="shared" si="8"/>
        <v>2.8130000000000002</v>
      </c>
      <c r="BL46" s="122">
        <f t="shared" si="8"/>
        <v>2.79</v>
      </c>
      <c r="BM46" s="122">
        <f t="shared" si="8"/>
        <v>2.7130000000000001</v>
      </c>
      <c r="BN46" s="122">
        <f t="shared" si="8"/>
        <v>2.7850000000000001</v>
      </c>
      <c r="BO46" s="122">
        <f t="shared" si="8"/>
        <v>2.242</v>
      </c>
      <c r="BP46" s="122">
        <f t="shared" si="8"/>
        <v>2.7679999999999998</v>
      </c>
      <c r="BQ46" s="122">
        <f t="shared" ref="BQ46:CT46" si="9">SUM(BQ9:BQ12,BQ15:BQ39)</f>
        <v>2.7759999999999998</v>
      </c>
      <c r="BR46" s="122">
        <f t="shared" si="9"/>
        <v>2.7170000000000001</v>
      </c>
      <c r="BS46" s="122">
        <f t="shared" si="9"/>
        <v>2.4169999999999998</v>
      </c>
      <c r="BT46" s="122">
        <f t="shared" si="9"/>
        <v>2.8239999999999998</v>
      </c>
      <c r="BU46" s="122">
        <f t="shared" si="9"/>
        <v>2.262</v>
      </c>
      <c r="BV46" s="122">
        <f t="shared" si="9"/>
        <v>2.5499999999999998</v>
      </c>
      <c r="BW46" s="122">
        <f t="shared" si="9"/>
        <v>2.5379999999999998</v>
      </c>
      <c r="BX46" s="122">
        <f t="shared" si="9"/>
        <v>2.4980000000000002</v>
      </c>
      <c r="BY46" s="122">
        <f t="shared" si="9"/>
        <v>2.6070000000000002</v>
      </c>
      <c r="BZ46" s="122">
        <f t="shared" si="9"/>
        <v>2.4889999999999999</v>
      </c>
      <c r="CA46" s="122">
        <f t="shared" si="9"/>
        <v>2.548</v>
      </c>
      <c r="CB46" s="122">
        <f t="shared" si="9"/>
        <v>2.5030000000000001</v>
      </c>
      <c r="CC46" s="122">
        <f t="shared" si="9"/>
        <v>2.6880000000000002</v>
      </c>
      <c r="CD46" s="122">
        <f t="shared" si="9"/>
        <v>2.6840000000000002</v>
      </c>
      <c r="CE46" s="122">
        <f t="shared" si="9"/>
        <v>1.248</v>
      </c>
      <c r="CF46" s="122">
        <f t="shared" si="9"/>
        <v>2.8540000000000001</v>
      </c>
      <c r="CG46" s="122">
        <f t="shared" si="9"/>
        <v>2.4220000000000002</v>
      </c>
      <c r="CH46" s="122">
        <f t="shared" si="9"/>
        <v>2.4060000000000001</v>
      </c>
      <c r="CI46" s="122">
        <f t="shared" si="9"/>
        <v>2.8439999999999999</v>
      </c>
      <c r="CJ46" s="122">
        <f t="shared" si="9"/>
        <v>2.8319999999999999</v>
      </c>
      <c r="CK46" s="122">
        <f t="shared" si="9"/>
        <v>2.7679999999999998</v>
      </c>
      <c r="CL46" s="122">
        <f t="shared" si="9"/>
        <v>2.87</v>
      </c>
      <c r="CM46" s="122">
        <f t="shared" si="9"/>
        <v>2.722</v>
      </c>
      <c r="CN46" s="122">
        <f t="shared" si="9"/>
        <v>0.88300000000000001</v>
      </c>
      <c r="CO46" s="122">
        <f t="shared" si="9"/>
        <v>2.024</v>
      </c>
      <c r="CP46" s="122">
        <f t="shared" si="9"/>
        <v>2.2839999999999998</v>
      </c>
      <c r="CQ46" s="122">
        <f t="shared" si="9"/>
        <v>2.2989999999999999</v>
      </c>
      <c r="CR46" s="122">
        <f t="shared" si="9"/>
        <v>2.379</v>
      </c>
      <c r="CS46" s="122">
        <f t="shared" si="9"/>
        <v>2.1339999999999999</v>
      </c>
      <c r="CT46" s="123">
        <f t="shared" si="9"/>
        <v>2.1840000000000002</v>
      </c>
    </row>
    <row r="47" spans="1:98" ht="18.75">
      <c r="A47" s="120"/>
      <c r="B47" s="121"/>
      <c r="C47" s="121"/>
      <c r="D47" s="122">
        <f>D46*($D$3-1)</f>
        <v>0.48499999999999999</v>
      </c>
      <c r="E47" s="122">
        <f t="shared" ref="E47:BP47" si="10">E46*($D$3-1)</f>
        <v>0.41299999999999998</v>
      </c>
      <c r="F47" s="122">
        <f t="shared" si="10"/>
        <v>0.433</v>
      </c>
      <c r="G47" s="122">
        <f t="shared" si="10"/>
        <v>0.48799999999999999</v>
      </c>
      <c r="H47" s="122">
        <f t="shared" si="10"/>
        <v>0.44800000000000001</v>
      </c>
      <c r="I47" s="122">
        <f t="shared" si="10"/>
        <v>0.48399999999999999</v>
      </c>
      <c r="J47" s="122">
        <f t="shared" si="10"/>
        <v>0.44700000000000001</v>
      </c>
      <c r="K47" s="122">
        <f t="shared" si="10"/>
        <v>0.48599999999999999</v>
      </c>
      <c r="L47" s="122">
        <f t="shared" si="10"/>
        <v>0.47499999999999998</v>
      </c>
      <c r="M47" s="122">
        <f t="shared" si="10"/>
        <v>0.44700000000000001</v>
      </c>
      <c r="N47" s="122">
        <f t="shared" si="10"/>
        <v>0.46800000000000003</v>
      </c>
      <c r="O47" s="122">
        <f t="shared" si="10"/>
        <v>0.48599999999999999</v>
      </c>
      <c r="P47" s="122">
        <f t="shared" si="10"/>
        <v>0.48799999999999999</v>
      </c>
      <c r="Q47" s="122">
        <f t="shared" si="10"/>
        <v>0.48299999999999998</v>
      </c>
      <c r="R47" s="122">
        <f t="shared" si="10"/>
        <v>0.437</v>
      </c>
      <c r="S47" s="122">
        <f t="shared" si="10"/>
        <v>0.48699999999999999</v>
      </c>
      <c r="T47" s="122">
        <f t="shared" si="10"/>
        <v>0.46700000000000003</v>
      </c>
      <c r="U47" s="122">
        <f t="shared" si="10"/>
        <v>0.48899999999999999</v>
      </c>
      <c r="V47" s="122">
        <f t="shared" si="10"/>
        <v>0.45</v>
      </c>
      <c r="W47" s="122">
        <f t="shared" si="10"/>
        <v>0.441</v>
      </c>
      <c r="X47" s="122">
        <f t="shared" si="10"/>
        <v>0.45500000000000002</v>
      </c>
      <c r="Y47" s="122">
        <f t="shared" si="10"/>
        <v>0.45</v>
      </c>
      <c r="Z47" s="122">
        <f t="shared" si="10"/>
        <v>0.42599999999999999</v>
      </c>
      <c r="AA47" s="122">
        <f t="shared" si="10"/>
        <v>0.42199999999999999</v>
      </c>
      <c r="AB47" s="122">
        <f t="shared" si="10"/>
        <v>0.41199999999999998</v>
      </c>
      <c r="AC47" s="122">
        <f t="shared" si="10"/>
        <v>0.43</v>
      </c>
      <c r="AD47" s="122">
        <f t="shared" si="10"/>
        <v>0.19700000000000001</v>
      </c>
      <c r="AE47" s="122">
        <f t="shared" si="10"/>
        <v>0.14899999999999999</v>
      </c>
      <c r="AF47" s="122">
        <f t="shared" si="10"/>
        <v>0.13</v>
      </c>
      <c r="AG47" s="122">
        <f t="shared" si="10"/>
        <v>0.14099999999999999</v>
      </c>
      <c r="AH47" s="122">
        <f t="shared" si="10"/>
        <v>0.42399999999999999</v>
      </c>
      <c r="AI47" s="122">
        <f t="shared" si="10"/>
        <v>0.432</v>
      </c>
      <c r="AJ47" s="122">
        <f t="shared" si="10"/>
        <v>0.41099999999999998</v>
      </c>
      <c r="AK47" s="122">
        <f t="shared" si="10"/>
        <v>0.41299999999999998</v>
      </c>
      <c r="AL47" s="122">
        <f t="shared" si="10"/>
        <v>0.48399999999999999</v>
      </c>
      <c r="AM47" s="122">
        <f t="shared" si="10"/>
        <v>0.151</v>
      </c>
      <c r="AN47" s="122">
        <f t="shared" si="10"/>
        <v>0.47399999999999998</v>
      </c>
      <c r="AO47" s="122">
        <f t="shared" si="10"/>
        <v>0.501</v>
      </c>
      <c r="AP47" s="122">
        <f t="shared" si="10"/>
        <v>0.4</v>
      </c>
      <c r="AQ47" s="122">
        <f t="shared" si="10"/>
        <v>0.125</v>
      </c>
      <c r="AR47" s="122">
        <f t="shared" si="10"/>
        <v>0.14899999999999999</v>
      </c>
      <c r="AS47" s="122">
        <f t="shared" si="10"/>
        <v>0.432</v>
      </c>
      <c r="AT47" s="122">
        <f t="shared" si="10"/>
        <v>0.308</v>
      </c>
      <c r="AU47" s="122">
        <f t="shared" si="10"/>
        <v>0.29699999999999999</v>
      </c>
      <c r="AV47" s="122">
        <f t="shared" si="10"/>
        <v>0.308</v>
      </c>
      <c r="AW47" s="122">
        <f t="shared" si="10"/>
        <v>0.432</v>
      </c>
      <c r="AX47" s="122">
        <f t="shared" si="10"/>
        <v>0.433</v>
      </c>
      <c r="AY47" s="122">
        <f t="shared" si="10"/>
        <v>0.42499999999999999</v>
      </c>
      <c r="AZ47" s="122">
        <f t="shared" si="10"/>
        <v>0.45100000000000001</v>
      </c>
      <c r="BA47" s="122">
        <f t="shared" si="10"/>
        <v>0.47399999999999998</v>
      </c>
      <c r="BB47" s="122">
        <f t="shared" si="10"/>
        <v>0.432</v>
      </c>
      <c r="BC47" s="122">
        <f t="shared" si="10"/>
        <v>0.41399999999999998</v>
      </c>
      <c r="BD47" s="122">
        <f t="shared" si="10"/>
        <v>0.442</v>
      </c>
      <c r="BE47" s="122">
        <f t="shared" si="10"/>
        <v>0.46200000000000002</v>
      </c>
      <c r="BF47" s="122">
        <f t="shared" si="10"/>
        <v>0.41899999999999998</v>
      </c>
      <c r="BG47" s="122">
        <f t="shared" si="10"/>
        <v>0.46899999999999997</v>
      </c>
      <c r="BH47" s="122">
        <f t="shared" si="10"/>
        <v>0.48</v>
      </c>
      <c r="BI47" s="122">
        <f t="shared" si="10"/>
        <v>0.47599999999999998</v>
      </c>
      <c r="BJ47" s="122">
        <f t="shared" si="10"/>
        <v>0.436</v>
      </c>
      <c r="BK47" s="122">
        <f t="shared" si="10"/>
        <v>0.47799999999999998</v>
      </c>
      <c r="BL47" s="122">
        <f t="shared" si="10"/>
        <v>0.47399999999999998</v>
      </c>
      <c r="BM47" s="122">
        <f t="shared" si="10"/>
        <v>0.46100000000000002</v>
      </c>
      <c r="BN47" s="122">
        <f t="shared" si="10"/>
        <v>0.47299999999999998</v>
      </c>
      <c r="BO47" s="122">
        <f t="shared" si="10"/>
        <v>0.38100000000000001</v>
      </c>
      <c r="BP47" s="122">
        <f t="shared" si="10"/>
        <v>0.47099999999999997</v>
      </c>
      <c r="BQ47" s="122">
        <f t="shared" ref="BQ47:CT47" si="11">BQ46*($D$3-1)</f>
        <v>0.47199999999999998</v>
      </c>
      <c r="BR47" s="122">
        <f t="shared" si="11"/>
        <v>0.46200000000000002</v>
      </c>
      <c r="BS47" s="122">
        <f t="shared" si="11"/>
        <v>0.41099999999999998</v>
      </c>
      <c r="BT47" s="122">
        <f t="shared" si="11"/>
        <v>0.48</v>
      </c>
      <c r="BU47" s="122">
        <f t="shared" si="11"/>
        <v>0.38500000000000001</v>
      </c>
      <c r="BV47" s="122">
        <f t="shared" si="11"/>
        <v>0.434</v>
      </c>
      <c r="BW47" s="122">
        <f t="shared" si="11"/>
        <v>0.43099999999999999</v>
      </c>
      <c r="BX47" s="122">
        <f t="shared" si="11"/>
        <v>0.42499999999999999</v>
      </c>
      <c r="BY47" s="122">
        <f t="shared" si="11"/>
        <v>0.443</v>
      </c>
      <c r="BZ47" s="122">
        <f t="shared" si="11"/>
        <v>0.42299999999999999</v>
      </c>
      <c r="CA47" s="122">
        <f t="shared" si="11"/>
        <v>0.433</v>
      </c>
      <c r="CB47" s="122">
        <f t="shared" si="11"/>
        <v>0.42599999999999999</v>
      </c>
      <c r="CC47" s="122">
        <f t="shared" si="11"/>
        <v>0.45700000000000002</v>
      </c>
      <c r="CD47" s="122">
        <f t="shared" si="11"/>
        <v>0.45600000000000002</v>
      </c>
      <c r="CE47" s="122">
        <f t="shared" si="11"/>
        <v>0.21199999999999999</v>
      </c>
      <c r="CF47" s="122">
        <f t="shared" si="11"/>
        <v>0.48499999999999999</v>
      </c>
      <c r="CG47" s="122">
        <f t="shared" si="11"/>
        <v>0.41199999999999998</v>
      </c>
      <c r="CH47" s="122">
        <f t="shared" si="11"/>
        <v>0.40899999999999997</v>
      </c>
      <c r="CI47" s="122">
        <f t="shared" si="11"/>
        <v>0.48299999999999998</v>
      </c>
      <c r="CJ47" s="122">
        <f t="shared" si="11"/>
        <v>0.48099999999999998</v>
      </c>
      <c r="CK47" s="122">
        <f t="shared" si="11"/>
        <v>0.47099999999999997</v>
      </c>
      <c r="CL47" s="122">
        <f t="shared" si="11"/>
        <v>0.48799999999999999</v>
      </c>
      <c r="CM47" s="122">
        <f t="shared" si="11"/>
        <v>0.46300000000000002</v>
      </c>
      <c r="CN47" s="122">
        <f t="shared" si="11"/>
        <v>0.15</v>
      </c>
      <c r="CO47" s="122">
        <f t="shared" si="11"/>
        <v>0.34399999999999997</v>
      </c>
      <c r="CP47" s="122">
        <f t="shared" si="11"/>
        <v>0.38800000000000001</v>
      </c>
      <c r="CQ47" s="122">
        <f t="shared" si="11"/>
        <v>0.39100000000000001</v>
      </c>
      <c r="CR47" s="122">
        <f t="shared" si="11"/>
        <v>0.40400000000000003</v>
      </c>
      <c r="CS47" s="122">
        <f t="shared" si="11"/>
        <v>0.36299999999999999</v>
      </c>
      <c r="CT47" s="123">
        <f t="shared" si="11"/>
        <v>0.371</v>
      </c>
    </row>
    <row r="48" spans="1:98" ht="18.75">
      <c r="A48" s="120"/>
      <c r="B48" s="121"/>
      <c r="C48" s="121"/>
      <c r="D48" s="122">
        <f>D47*0.2+D46*0.2</f>
        <v>0.66800000000000004</v>
      </c>
      <c r="E48" s="122">
        <f t="shared" ref="E48:BP48" si="12">E47*0.2+E46*0.2</f>
        <v>0.56799999999999995</v>
      </c>
      <c r="F48" s="122">
        <f t="shared" si="12"/>
        <v>0.59599999999999997</v>
      </c>
      <c r="G48" s="122">
        <f t="shared" si="12"/>
        <v>0.67100000000000004</v>
      </c>
      <c r="H48" s="122">
        <f t="shared" si="12"/>
        <v>0.61599999999999999</v>
      </c>
      <c r="I48" s="122">
        <f t="shared" si="12"/>
        <v>0.66600000000000004</v>
      </c>
      <c r="J48" s="122">
        <f t="shared" si="12"/>
        <v>0.61599999999999999</v>
      </c>
      <c r="K48" s="122">
        <f t="shared" si="12"/>
        <v>0.66800000000000004</v>
      </c>
      <c r="L48" s="122">
        <f t="shared" si="12"/>
        <v>0.65400000000000003</v>
      </c>
      <c r="M48" s="122">
        <f t="shared" si="12"/>
        <v>0.61499999999999999</v>
      </c>
      <c r="N48" s="122">
        <f t="shared" si="12"/>
        <v>0.64400000000000002</v>
      </c>
      <c r="O48" s="122">
        <f t="shared" si="12"/>
        <v>0.66900000000000004</v>
      </c>
      <c r="P48" s="122">
        <f t="shared" si="12"/>
        <v>0.67100000000000004</v>
      </c>
      <c r="Q48" s="122">
        <f t="shared" si="12"/>
        <v>0.66500000000000004</v>
      </c>
      <c r="R48" s="122">
        <f t="shared" si="12"/>
        <v>0.60099999999999998</v>
      </c>
      <c r="S48" s="122">
        <f t="shared" si="12"/>
        <v>0.67</v>
      </c>
      <c r="T48" s="122">
        <f t="shared" si="12"/>
        <v>0.64300000000000002</v>
      </c>
      <c r="U48" s="122">
        <f t="shared" si="12"/>
        <v>0.67300000000000004</v>
      </c>
      <c r="V48" s="122">
        <f t="shared" si="12"/>
        <v>0.62</v>
      </c>
      <c r="W48" s="122">
        <f t="shared" si="12"/>
        <v>0.60699999999999998</v>
      </c>
      <c r="X48" s="122">
        <f t="shared" si="12"/>
        <v>0.627</v>
      </c>
      <c r="Y48" s="122">
        <f t="shared" si="12"/>
        <v>0.61899999999999999</v>
      </c>
      <c r="Z48" s="122">
        <f t="shared" si="12"/>
        <v>0.58599999999999997</v>
      </c>
      <c r="AA48" s="122">
        <f t="shared" si="12"/>
        <v>0.58099999999999996</v>
      </c>
      <c r="AB48" s="122">
        <f t="shared" si="12"/>
        <v>0.56699999999999995</v>
      </c>
      <c r="AC48" s="122">
        <f t="shared" si="12"/>
        <v>0.59099999999999997</v>
      </c>
      <c r="AD48" s="122">
        <f t="shared" si="12"/>
        <v>0.27100000000000002</v>
      </c>
      <c r="AE48" s="122">
        <f t="shared" si="12"/>
        <v>0.20599999999999999</v>
      </c>
      <c r="AF48" s="122">
        <f t="shared" si="12"/>
        <v>0.17899999999999999</v>
      </c>
      <c r="AG48" s="122">
        <f t="shared" si="12"/>
        <v>0.19400000000000001</v>
      </c>
      <c r="AH48" s="122">
        <f t="shared" si="12"/>
        <v>0.58399999999999996</v>
      </c>
      <c r="AI48" s="122">
        <f t="shared" si="12"/>
        <v>0.59499999999999997</v>
      </c>
      <c r="AJ48" s="122">
        <f t="shared" si="12"/>
        <v>0.56599999999999995</v>
      </c>
      <c r="AK48" s="122">
        <f t="shared" si="12"/>
        <v>0.56899999999999995</v>
      </c>
      <c r="AL48" s="122">
        <f t="shared" si="12"/>
        <v>0.66600000000000004</v>
      </c>
      <c r="AM48" s="122">
        <f t="shared" si="12"/>
        <v>0.20699999999999999</v>
      </c>
      <c r="AN48" s="122">
        <f t="shared" si="12"/>
        <v>0.65200000000000002</v>
      </c>
      <c r="AO48" s="122">
        <f t="shared" si="12"/>
        <v>0.69</v>
      </c>
      <c r="AP48" s="122">
        <f t="shared" si="12"/>
        <v>0.55100000000000005</v>
      </c>
      <c r="AQ48" s="122">
        <f t="shared" si="12"/>
        <v>0.17199999999999999</v>
      </c>
      <c r="AR48" s="122">
        <f t="shared" si="12"/>
        <v>0.20499999999999999</v>
      </c>
      <c r="AS48" s="122">
        <f t="shared" si="12"/>
        <v>0.59499999999999997</v>
      </c>
      <c r="AT48" s="122">
        <f t="shared" si="12"/>
        <v>0.42399999999999999</v>
      </c>
      <c r="AU48" s="122">
        <f t="shared" si="12"/>
        <v>0.40899999999999997</v>
      </c>
      <c r="AV48" s="122">
        <f t="shared" si="12"/>
        <v>0.42399999999999999</v>
      </c>
      <c r="AW48" s="122">
        <f t="shared" si="12"/>
        <v>0.59399999999999997</v>
      </c>
      <c r="AX48" s="122">
        <f t="shared" si="12"/>
        <v>0.59599999999999997</v>
      </c>
      <c r="AY48" s="122">
        <f t="shared" si="12"/>
        <v>0.58499999999999996</v>
      </c>
      <c r="AZ48" s="122">
        <f t="shared" si="12"/>
        <v>0.621</v>
      </c>
      <c r="BA48" s="122">
        <f t="shared" si="12"/>
        <v>0.65300000000000002</v>
      </c>
      <c r="BB48" s="122">
        <f t="shared" si="12"/>
        <v>0.59499999999999997</v>
      </c>
      <c r="BC48" s="122">
        <f t="shared" si="12"/>
        <v>0.56999999999999995</v>
      </c>
      <c r="BD48" s="122">
        <f t="shared" si="12"/>
        <v>0.60899999999999999</v>
      </c>
      <c r="BE48" s="122">
        <f t="shared" si="12"/>
        <v>0.63500000000000001</v>
      </c>
      <c r="BF48" s="122">
        <f t="shared" si="12"/>
        <v>0.57699999999999996</v>
      </c>
      <c r="BG48" s="122">
        <f t="shared" si="12"/>
        <v>0.64500000000000002</v>
      </c>
      <c r="BH48" s="122">
        <f t="shared" si="12"/>
        <v>0.66100000000000003</v>
      </c>
      <c r="BI48" s="122">
        <f t="shared" si="12"/>
        <v>0.65500000000000003</v>
      </c>
      <c r="BJ48" s="122">
        <f t="shared" si="12"/>
        <v>0.6</v>
      </c>
      <c r="BK48" s="122">
        <f t="shared" si="12"/>
        <v>0.65800000000000003</v>
      </c>
      <c r="BL48" s="122">
        <f t="shared" si="12"/>
        <v>0.65300000000000002</v>
      </c>
      <c r="BM48" s="122">
        <f t="shared" si="12"/>
        <v>0.63500000000000001</v>
      </c>
      <c r="BN48" s="122">
        <f t="shared" si="12"/>
        <v>0.65200000000000002</v>
      </c>
      <c r="BO48" s="122">
        <f t="shared" si="12"/>
        <v>0.52500000000000002</v>
      </c>
      <c r="BP48" s="122">
        <f t="shared" si="12"/>
        <v>0.64800000000000002</v>
      </c>
      <c r="BQ48" s="122">
        <f t="shared" ref="BQ48:CT48" si="13">BQ47*0.2+BQ46*0.2</f>
        <v>0.65</v>
      </c>
      <c r="BR48" s="122">
        <f t="shared" si="13"/>
        <v>0.63600000000000001</v>
      </c>
      <c r="BS48" s="122">
        <f t="shared" si="13"/>
        <v>0.56599999999999995</v>
      </c>
      <c r="BT48" s="122">
        <f t="shared" si="13"/>
        <v>0.66100000000000003</v>
      </c>
      <c r="BU48" s="122">
        <f t="shared" si="13"/>
        <v>0.52900000000000003</v>
      </c>
      <c r="BV48" s="122">
        <f t="shared" si="13"/>
        <v>0.59699999999999998</v>
      </c>
      <c r="BW48" s="122">
        <f t="shared" si="13"/>
        <v>0.59399999999999997</v>
      </c>
      <c r="BX48" s="122">
        <f t="shared" si="13"/>
        <v>0.58499999999999996</v>
      </c>
      <c r="BY48" s="122">
        <f t="shared" si="13"/>
        <v>0.61</v>
      </c>
      <c r="BZ48" s="122">
        <f t="shared" si="13"/>
        <v>0.58199999999999996</v>
      </c>
      <c r="CA48" s="122">
        <f t="shared" si="13"/>
        <v>0.59599999999999997</v>
      </c>
      <c r="CB48" s="122">
        <f t="shared" si="13"/>
        <v>0.58599999999999997</v>
      </c>
      <c r="CC48" s="122">
        <f t="shared" si="13"/>
        <v>0.629</v>
      </c>
      <c r="CD48" s="122">
        <f t="shared" si="13"/>
        <v>0.628</v>
      </c>
      <c r="CE48" s="122">
        <f t="shared" si="13"/>
        <v>0.29199999999999998</v>
      </c>
      <c r="CF48" s="122">
        <f t="shared" si="13"/>
        <v>0.66800000000000004</v>
      </c>
      <c r="CG48" s="122">
        <f t="shared" si="13"/>
        <v>0.56699999999999995</v>
      </c>
      <c r="CH48" s="122">
        <f t="shared" si="13"/>
        <v>0.56299999999999994</v>
      </c>
      <c r="CI48" s="122">
        <f t="shared" si="13"/>
        <v>0.66500000000000004</v>
      </c>
      <c r="CJ48" s="122">
        <f t="shared" si="13"/>
        <v>0.66300000000000003</v>
      </c>
      <c r="CK48" s="122">
        <f t="shared" si="13"/>
        <v>0.64800000000000002</v>
      </c>
      <c r="CL48" s="122">
        <f t="shared" si="13"/>
        <v>0.67200000000000004</v>
      </c>
      <c r="CM48" s="122">
        <f t="shared" si="13"/>
        <v>0.63700000000000001</v>
      </c>
      <c r="CN48" s="122">
        <f t="shared" si="13"/>
        <v>0.20699999999999999</v>
      </c>
      <c r="CO48" s="122">
        <f t="shared" si="13"/>
        <v>0.47399999999999998</v>
      </c>
      <c r="CP48" s="122">
        <f t="shared" si="13"/>
        <v>0.53400000000000003</v>
      </c>
      <c r="CQ48" s="122">
        <f t="shared" si="13"/>
        <v>0.53800000000000003</v>
      </c>
      <c r="CR48" s="122">
        <f t="shared" si="13"/>
        <v>0.55700000000000005</v>
      </c>
      <c r="CS48" s="122">
        <f t="shared" si="13"/>
        <v>0.499</v>
      </c>
      <c r="CT48" s="123">
        <f t="shared" si="13"/>
        <v>0.51100000000000001</v>
      </c>
    </row>
    <row r="49" spans="1:98" ht="18.75">
      <c r="A49" s="120"/>
      <c r="B49" s="124" t="s">
        <v>123</v>
      </c>
      <c r="C49" s="125"/>
      <c r="D49" s="122">
        <f>D43</f>
        <v>4.008</v>
      </c>
      <c r="E49" s="122">
        <f t="shared" ref="E49:BP49" si="14">E43</f>
        <v>4.5529999999999999</v>
      </c>
      <c r="F49" s="122">
        <f t="shared" si="14"/>
        <v>3.5779999999999998</v>
      </c>
      <c r="G49" s="122">
        <f t="shared" si="14"/>
        <v>4.0279999999999996</v>
      </c>
      <c r="H49" s="122">
        <f t="shared" si="14"/>
        <v>3.698</v>
      </c>
      <c r="I49" s="122">
        <f t="shared" si="14"/>
        <v>3.996</v>
      </c>
      <c r="J49" s="122">
        <f t="shared" si="14"/>
        <v>3.694</v>
      </c>
      <c r="K49" s="122">
        <f t="shared" si="14"/>
        <v>4.01</v>
      </c>
      <c r="L49" s="122">
        <f t="shared" si="14"/>
        <v>3.9220000000000002</v>
      </c>
      <c r="M49" s="122">
        <f t="shared" si="14"/>
        <v>3.6909999999999998</v>
      </c>
      <c r="N49" s="122">
        <f t="shared" si="14"/>
        <v>3.8620000000000001</v>
      </c>
      <c r="O49" s="122">
        <f t="shared" si="14"/>
        <v>4.016</v>
      </c>
      <c r="P49" s="122">
        <f t="shared" si="14"/>
        <v>4.0270000000000001</v>
      </c>
      <c r="Q49" s="122">
        <f t="shared" si="14"/>
        <v>3.99</v>
      </c>
      <c r="R49" s="122">
        <f t="shared" si="14"/>
        <v>4.4580000000000002</v>
      </c>
      <c r="S49" s="122">
        <f t="shared" si="14"/>
        <v>4.0199999999999996</v>
      </c>
      <c r="T49" s="122">
        <f t="shared" si="14"/>
        <v>4.3659999999999997</v>
      </c>
      <c r="U49" s="122">
        <f t="shared" si="14"/>
        <v>4.0380000000000003</v>
      </c>
      <c r="V49" s="122">
        <f t="shared" si="14"/>
        <v>4.3090000000000002</v>
      </c>
      <c r="W49" s="122">
        <f t="shared" si="14"/>
        <v>4.4119999999999999</v>
      </c>
      <c r="X49" s="122">
        <f t="shared" si="14"/>
        <v>4.5940000000000003</v>
      </c>
      <c r="Y49" s="122">
        <f t="shared" si="14"/>
        <v>4.3390000000000004</v>
      </c>
      <c r="Z49" s="122">
        <f t="shared" si="14"/>
        <v>4.2880000000000003</v>
      </c>
      <c r="AA49" s="122">
        <f t="shared" si="14"/>
        <v>4.16</v>
      </c>
      <c r="AB49" s="122">
        <f t="shared" si="14"/>
        <v>4.4160000000000004</v>
      </c>
      <c r="AC49" s="122">
        <f t="shared" si="14"/>
        <v>4.423</v>
      </c>
      <c r="AD49" s="122">
        <f t="shared" si="14"/>
        <v>1.6279999999999999</v>
      </c>
      <c r="AE49" s="122">
        <f t="shared" si="14"/>
        <v>1.234</v>
      </c>
      <c r="AF49" s="122">
        <f t="shared" si="14"/>
        <v>1.0760000000000001</v>
      </c>
      <c r="AG49" s="122">
        <f t="shared" si="14"/>
        <v>1.1659999999999999</v>
      </c>
      <c r="AH49" s="122">
        <f t="shared" si="14"/>
        <v>3.504</v>
      </c>
      <c r="AI49" s="122">
        <f t="shared" si="14"/>
        <v>3.569</v>
      </c>
      <c r="AJ49" s="122">
        <f t="shared" si="14"/>
        <v>3.3940000000000001</v>
      </c>
      <c r="AK49" s="122">
        <f t="shared" si="14"/>
        <v>4.5439999999999996</v>
      </c>
      <c r="AL49" s="122">
        <f t="shared" si="14"/>
        <v>3.9969999999999999</v>
      </c>
      <c r="AM49" s="122">
        <f t="shared" si="14"/>
        <v>1.244</v>
      </c>
      <c r="AN49" s="122">
        <f t="shared" si="14"/>
        <v>3.9119999999999999</v>
      </c>
      <c r="AO49" s="122">
        <f t="shared" si="14"/>
        <v>4.1379999999999999</v>
      </c>
      <c r="AP49" s="122">
        <f t="shared" si="14"/>
        <v>3.3039999999999998</v>
      </c>
      <c r="AQ49" s="122">
        <f t="shared" si="14"/>
        <v>1.034</v>
      </c>
      <c r="AR49" s="122">
        <f t="shared" si="14"/>
        <v>1.2310000000000001</v>
      </c>
      <c r="AS49" s="122">
        <f t="shared" si="14"/>
        <v>3.5710000000000002</v>
      </c>
      <c r="AT49" s="122">
        <f t="shared" si="14"/>
        <v>3.3140000000000001</v>
      </c>
      <c r="AU49" s="122">
        <f t="shared" si="14"/>
        <v>3.274</v>
      </c>
      <c r="AV49" s="122">
        <f t="shared" si="14"/>
        <v>3.35</v>
      </c>
      <c r="AW49" s="122">
        <f t="shared" si="14"/>
        <v>4.6980000000000004</v>
      </c>
      <c r="AX49" s="122">
        <f t="shared" si="14"/>
        <v>4.6189999999999998</v>
      </c>
      <c r="AY49" s="122">
        <f t="shared" si="14"/>
        <v>3.5089999999999999</v>
      </c>
      <c r="AZ49" s="122">
        <f t="shared" si="14"/>
        <v>3.7250000000000001</v>
      </c>
      <c r="BA49" s="122">
        <f t="shared" si="14"/>
        <v>3.9169999999999998</v>
      </c>
      <c r="BB49" s="122">
        <f t="shared" si="14"/>
        <v>4.234</v>
      </c>
      <c r="BC49" s="122">
        <f t="shared" si="14"/>
        <v>4.6429999999999998</v>
      </c>
      <c r="BD49" s="122">
        <f t="shared" si="14"/>
        <v>3.653</v>
      </c>
      <c r="BE49" s="122">
        <f t="shared" si="14"/>
        <v>3.8119999999999998</v>
      </c>
      <c r="BF49" s="122">
        <f t="shared" si="14"/>
        <v>3.4630000000000001</v>
      </c>
      <c r="BG49" s="122">
        <f t="shared" si="14"/>
        <v>3.871</v>
      </c>
      <c r="BH49" s="122">
        <f t="shared" si="14"/>
        <v>3.9649999999999999</v>
      </c>
      <c r="BI49" s="122">
        <f t="shared" si="14"/>
        <v>3.9289999999999998</v>
      </c>
      <c r="BJ49" s="122">
        <f t="shared" si="14"/>
        <v>3.6</v>
      </c>
      <c r="BK49" s="122">
        <f t="shared" si="14"/>
        <v>3.9489999999999998</v>
      </c>
      <c r="BL49" s="122">
        <f t="shared" si="14"/>
        <v>3.9169999999999998</v>
      </c>
      <c r="BM49" s="122">
        <f t="shared" si="14"/>
        <v>4.484</v>
      </c>
      <c r="BN49" s="122">
        <f t="shared" si="14"/>
        <v>3.91</v>
      </c>
      <c r="BO49" s="122">
        <f t="shared" si="14"/>
        <v>3.1480000000000001</v>
      </c>
      <c r="BP49" s="122">
        <f t="shared" si="14"/>
        <v>3.887</v>
      </c>
      <c r="BQ49" s="122">
        <f t="shared" ref="BQ49:CT49" si="15">BQ43</f>
        <v>3.8980000000000001</v>
      </c>
      <c r="BR49" s="122">
        <f t="shared" si="15"/>
        <v>3.8149999999999999</v>
      </c>
      <c r="BS49" s="122">
        <f t="shared" si="15"/>
        <v>3.3940000000000001</v>
      </c>
      <c r="BT49" s="122">
        <f t="shared" si="15"/>
        <v>3.9649999999999999</v>
      </c>
      <c r="BU49" s="122">
        <f t="shared" si="15"/>
        <v>3.1760000000000002</v>
      </c>
      <c r="BV49" s="122">
        <f t="shared" si="15"/>
        <v>3.581</v>
      </c>
      <c r="BW49" s="122">
        <f t="shared" si="15"/>
        <v>3.5630000000000002</v>
      </c>
      <c r="BX49" s="122">
        <f t="shared" si="15"/>
        <v>4.37</v>
      </c>
      <c r="BY49" s="122">
        <f t="shared" si="15"/>
        <v>4.3479999999999999</v>
      </c>
      <c r="BZ49" s="122">
        <f t="shared" si="15"/>
        <v>4.3369999999999997</v>
      </c>
      <c r="CA49" s="122">
        <f t="shared" si="15"/>
        <v>4.2969999999999997</v>
      </c>
      <c r="CB49" s="122">
        <f t="shared" si="15"/>
        <v>4.18</v>
      </c>
      <c r="CC49" s="122">
        <f t="shared" si="15"/>
        <v>4.5679999999999996</v>
      </c>
      <c r="CD49" s="122">
        <f t="shared" si="15"/>
        <v>4.5640000000000001</v>
      </c>
      <c r="CE49" s="122">
        <f t="shared" si="15"/>
        <v>1.752</v>
      </c>
      <c r="CF49" s="122">
        <f t="shared" si="15"/>
        <v>4.0069999999999997</v>
      </c>
      <c r="CG49" s="122">
        <f t="shared" si="15"/>
        <v>4.194</v>
      </c>
      <c r="CH49" s="122">
        <f t="shared" si="15"/>
        <v>4.1710000000000003</v>
      </c>
      <c r="CI49" s="122">
        <f t="shared" si="15"/>
        <v>3.992</v>
      </c>
      <c r="CJ49" s="122">
        <f t="shared" si="15"/>
        <v>3.976</v>
      </c>
      <c r="CK49" s="122">
        <f t="shared" si="15"/>
        <v>3.887</v>
      </c>
      <c r="CL49" s="122">
        <f t="shared" si="15"/>
        <v>4.03</v>
      </c>
      <c r="CM49" s="122">
        <f t="shared" si="15"/>
        <v>3.8220000000000001</v>
      </c>
      <c r="CN49" s="122">
        <f t="shared" si="15"/>
        <v>1.24</v>
      </c>
      <c r="CO49" s="122">
        <f t="shared" si="15"/>
        <v>2.8420000000000001</v>
      </c>
      <c r="CP49" s="122">
        <f t="shared" si="15"/>
        <v>3.206</v>
      </c>
      <c r="CQ49" s="122">
        <f t="shared" si="15"/>
        <v>3.2280000000000002</v>
      </c>
      <c r="CR49" s="122">
        <f t="shared" si="15"/>
        <v>3.34</v>
      </c>
      <c r="CS49" s="122">
        <f t="shared" si="15"/>
        <v>2.996</v>
      </c>
      <c r="CT49" s="123">
        <f t="shared" si="15"/>
        <v>3.0659999999999998</v>
      </c>
    </row>
    <row r="50" spans="1:98" ht="37.5">
      <c r="A50" s="120"/>
      <c r="B50" s="124" t="s">
        <v>124</v>
      </c>
      <c r="C50" s="125"/>
      <c r="D50" s="122">
        <f>D51+D52+D53</f>
        <v>2.8610000000000002</v>
      </c>
      <c r="E50" s="122">
        <f t="shared" ref="E50:BP50" si="16">E51+E52+E53</f>
        <v>2.484</v>
      </c>
      <c r="F50" s="122">
        <f t="shared" si="16"/>
        <v>2.95</v>
      </c>
      <c r="G50" s="122">
        <f t="shared" si="16"/>
        <v>3.302</v>
      </c>
      <c r="H50" s="122">
        <f t="shared" si="16"/>
        <v>2.8079999999999998</v>
      </c>
      <c r="I50" s="122">
        <f t="shared" si="16"/>
        <v>3.1789999999999998</v>
      </c>
      <c r="J50" s="122">
        <f t="shared" si="16"/>
        <v>2.4359999999999999</v>
      </c>
      <c r="K50" s="122">
        <f t="shared" si="16"/>
        <v>3.2770000000000001</v>
      </c>
      <c r="L50" s="122">
        <f t="shared" si="16"/>
        <v>3.11</v>
      </c>
      <c r="M50" s="122">
        <f t="shared" si="16"/>
        <v>2.9630000000000001</v>
      </c>
      <c r="N50" s="122">
        <f t="shared" si="16"/>
        <v>3.0529999999999999</v>
      </c>
      <c r="O50" s="122">
        <f t="shared" si="16"/>
        <v>2.7759999999999998</v>
      </c>
      <c r="P50" s="122">
        <f t="shared" si="16"/>
        <v>3.26</v>
      </c>
      <c r="Q50" s="122">
        <f t="shared" si="16"/>
        <v>2.617</v>
      </c>
      <c r="R50" s="122">
        <f t="shared" si="16"/>
        <v>2.65</v>
      </c>
      <c r="S50" s="122">
        <f t="shared" si="16"/>
        <v>3.1680000000000001</v>
      </c>
      <c r="T50" s="122">
        <f t="shared" si="16"/>
        <v>2.9889999999999999</v>
      </c>
      <c r="U50" s="122">
        <f t="shared" si="16"/>
        <v>3.1779999999999999</v>
      </c>
      <c r="V50" s="122">
        <v>1.8180000000000001</v>
      </c>
      <c r="W50" s="122">
        <v>1.696</v>
      </c>
      <c r="X50" s="122">
        <v>1.792</v>
      </c>
      <c r="Y50" s="122">
        <v>1.7330000000000001</v>
      </c>
      <c r="Z50" s="122">
        <v>1.603</v>
      </c>
      <c r="AA50" s="122">
        <v>1.5669999999999999</v>
      </c>
      <c r="AB50" s="122">
        <v>1.488</v>
      </c>
      <c r="AC50" s="122">
        <v>1.579</v>
      </c>
      <c r="AD50" s="122">
        <f t="shared" si="16"/>
        <v>1.1619999999999999</v>
      </c>
      <c r="AE50" s="122">
        <f t="shared" si="16"/>
        <v>0.60799999999999998</v>
      </c>
      <c r="AF50" s="122">
        <f t="shared" si="16"/>
        <v>0.63200000000000001</v>
      </c>
      <c r="AG50" s="122">
        <f t="shared" si="16"/>
        <v>0.61899999999999999</v>
      </c>
      <c r="AH50" s="122">
        <f t="shared" si="16"/>
        <v>2.1970000000000001</v>
      </c>
      <c r="AI50" s="122">
        <f t="shared" si="16"/>
        <v>2.4969999999999999</v>
      </c>
      <c r="AJ50" s="122">
        <f t="shared" si="16"/>
        <v>2.2810000000000001</v>
      </c>
      <c r="AK50" s="122">
        <f t="shared" si="16"/>
        <v>2.2389999999999999</v>
      </c>
      <c r="AL50" s="122">
        <f t="shared" si="16"/>
        <v>2.5840000000000001</v>
      </c>
      <c r="AM50" s="122">
        <f t="shared" si="16"/>
        <v>0.54400000000000004</v>
      </c>
      <c r="AN50" s="122">
        <v>1.9319999999999999</v>
      </c>
      <c r="AO50" s="122">
        <v>2.0619999999999998</v>
      </c>
      <c r="AP50" s="122">
        <v>1.7569999999999999</v>
      </c>
      <c r="AQ50" s="122">
        <f t="shared" si="16"/>
        <v>0.70199999999999996</v>
      </c>
      <c r="AR50" s="122">
        <f t="shared" si="16"/>
        <v>0.53800000000000003</v>
      </c>
      <c r="AS50" s="122">
        <v>1.768</v>
      </c>
      <c r="AT50" s="122">
        <f t="shared" si="16"/>
        <v>1.9019999999999999</v>
      </c>
      <c r="AU50" s="122">
        <f t="shared" si="16"/>
        <v>1.778</v>
      </c>
      <c r="AV50" s="122">
        <f t="shared" si="16"/>
        <v>1.897</v>
      </c>
      <c r="AW50" s="122">
        <f t="shared" si="16"/>
        <v>2.4500000000000002</v>
      </c>
      <c r="AX50" s="122">
        <f t="shared" si="16"/>
        <v>2.66</v>
      </c>
      <c r="AY50" s="122">
        <f t="shared" si="16"/>
        <v>2.0569999999999999</v>
      </c>
      <c r="AZ50" s="122">
        <f t="shared" si="16"/>
        <v>2.956</v>
      </c>
      <c r="BA50" s="122">
        <f t="shared" si="16"/>
        <v>3.0379999999999998</v>
      </c>
      <c r="BB50" s="122">
        <f t="shared" si="16"/>
        <v>2.5009999999999999</v>
      </c>
      <c r="BC50" s="122">
        <f t="shared" si="16"/>
        <v>2.2480000000000002</v>
      </c>
      <c r="BD50" s="122">
        <f t="shared" si="16"/>
        <v>2.8919999999999999</v>
      </c>
      <c r="BE50" s="122">
        <f t="shared" si="16"/>
        <v>2.9820000000000002</v>
      </c>
      <c r="BF50" s="122">
        <f t="shared" si="16"/>
        <v>2.665</v>
      </c>
      <c r="BG50" s="122">
        <f t="shared" si="16"/>
        <v>3.0790000000000002</v>
      </c>
      <c r="BH50" s="122">
        <f t="shared" si="16"/>
        <v>2.9660000000000002</v>
      </c>
      <c r="BI50" s="122">
        <f t="shared" si="16"/>
        <v>3.145</v>
      </c>
      <c r="BJ50" s="122">
        <f t="shared" si="16"/>
        <v>2.7679999999999998</v>
      </c>
      <c r="BK50" s="122">
        <f t="shared" si="16"/>
        <v>2.9950000000000001</v>
      </c>
      <c r="BL50" s="122">
        <f t="shared" si="16"/>
        <v>3.0670000000000002</v>
      </c>
      <c r="BM50" s="122">
        <f t="shared" si="16"/>
        <v>2.94</v>
      </c>
      <c r="BN50" s="122">
        <f t="shared" si="16"/>
        <v>3.2949999999999999</v>
      </c>
      <c r="BO50" s="122">
        <f t="shared" si="16"/>
        <v>2.3210000000000002</v>
      </c>
      <c r="BP50" s="122">
        <f t="shared" si="16"/>
        <v>3.1970000000000001</v>
      </c>
      <c r="BQ50" s="122">
        <f t="shared" ref="BQ50:CT50" si="17">BQ51+BQ52+BQ53</f>
        <v>3.0840000000000001</v>
      </c>
      <c r="BR50" s="122">
        <f t="shared" si="17"/>
        <v>2.6230000000000002</v>
      </c>
      <c r="BS50" s="122">
        <f t="shared" si="17"/>
        <v>2.6150000000000002</v>
      </c>
      <c r="BT50" s="122">
        <f t="shared" si="17"/>
        <v>3.1760000000000002</v>
      </c>
      <c r="BU50" s="122">
        <f t="shared" si="17"/>
        <v>2.552</v>
      </c>
      <c r="BV50" s="122">
        <f t="shared" si="17"/>
        <v>2.9140000000000001</v>
      </c>
      <c r="BW50" s="122">
        <f t="shared" si="17"/>
        <v>2.1379999999999999</v>
      </c>
      <c r="BX50" s="122">
        <f t="shared" si="17"/>
        <v>2.6150000000000002</v>
      </c>
      <c r="BY50" s="122">
        <f t="shared" si="17"/>
        <v>2.718</v>
      </c>
      <c r="BZ50" s="122">
        <v>1.528</v>
      </c>
      <c r="CA50" s="122">
        <v>1.6579999999999999</v>
      </c>
      <c r="CB50" s="122">
        <v>1.6990000000000001</v>
      </c>
      <c r="CC50" s="122">
        <v>1.5640000000000001</v>
      </c>
      <c r="CD50" s="122">
        <v>1.64</v>
      </c>
      <c r="CE50" s="122">
        <f t="shared" si="17"/>
        <v>0.97699999999999998</v>
      </c>
      <c r="CF50" s="122">
        <f t="shared" si="17"/>
        <v>3.1880000000000002</v>
      </c>
      <c r="CG50" s="122">
        <f t="shared" si="17"/>
        <v>2.1560000000000001</v>
      </c>
      <c r="CH50" s="122">
        <f t="shared" si="17"/>
        <v>2.137</v>
      </c>
      <c r="CI50" s="122">
        <f t="shared" si="17"/>
        <v>2.93</v>
      </c>
      <c r="CJ50" s="122">
        <f t="shared" si="17"/>
        <v>3.0779999999999998</v>
      </c>
      <c r="CK50" s="122">
        <f t="shared" si="17"/>
        <v>3.1480000000000001</v>
      </c>
      <c r="CL50" s="122">
        <f t="shared" si="17"/>
        <v>3.2229999999999999</v>
      </c>
      <c r="CM50" s="122">
        <f t="shared" si="17"/>
        <v>3.0009999999999999</v>
      </c>
      <c r="CN50" s="122">
        <f t="shared" si="17"/>
        <v>0.65</v>
      </c>
      <c r="CO50" s="122">
        <f t="shared" si="17"/>
        <v>2.3820000000000001</v>
      </c>
      <c r="CP50" s="122">
        <f t="shared" si="17"/>
        <v>2.4580000000000002</v>
      </c>
      <c r="CQ50" s="122">
        <f t="shared" si="17"/>
        <v>2.4590000000000001</v>
      </c>
      <c r="CR50" s="122">
        <f t="shared" si="17"/>
        <v>2.419</v>
      </c>
      <c r="CS50" s="122">
        <f t="shared" si="17"/>
        <v>2.4609999999999999</v>
      </c>
      <c r="CT50" s="123">
        <f t="shared" si="17"/>
        <v>2.262</v>
      </c>
    </row>
    <row r="51" spans="1:98" ht="18.75">
      <c r="A51" s="120"/>
      <c r="B51" s="121"/>
      <c r="C51" s="121"/>
      <c r="D51" s="122">
        <f>SUM(D9:D12,D15:D39)-D11-D10</f>
        <v>2.0379999999999998</v>
      </c>
      <c r="E51" s="122">
        <f t="shared" ref="E51:BP51" si="18">SUM(E9:E12,E15:E39)-E11-E10</f>
        <v>1.7689999999999999</v>
      </c>
      <c r="F51" s="122">
        <f t="shared" si="18"/>
        <v>2.101</v>
      </c>
      <c r="G51" s="122">
        <f t="shared" si="18"/>
        <v>2.3519999999999999</v>
      </c>
      <c r="H51" s="122">
        <f t="shared" si="18"/>
        <v>2</v>
      </c>
      <c r="I51" s="122">
        <f t="shared" si="18"/>
        <v>2.2639999999999998</v>
      </c>
      <c r="J51" s="122">
        <f t="shared" si="18"/>
        <v>1.7350000000000001</v>
      </c>
      <c r="K51" s="122">
        <f t="shared" si="18"/>
        <v>2.3340000000000001</v>
      </c>
      <c r="L51" s="122">
        <f t="shared" si="18"/>
        <v>2.2149999999999999</v>
      </c>
      <c r="M51" s="122">
        <f t="shared" si="18"/>
        <v>2.11</v>
      </c>
      <c r="N51" s="122">
        <f t="shared" si="18"/>
        <v>2.1739999999999999</v>
      </c>
      <c r="O51" s="122">
        <f t="shared" si="18"/>
        <v>1.9770000000000001</v>
      </c>
      <c r="P51" s="122">
        <f t="shared" si="18"/>
        <v>2.3220000000000001</v>
      </c>
      <c r="Q51" s="122">
        <f t="shared" si="18"/>
        <v>1.8640000000000001</v>
      </c>
      <c r="R51" s="122">
        <f t="shared" si="18"/>
        <v>1.887</v>
      </c>
      <c r="S51" s="122">
        <f t="shared" si="18"/>
        <v>2.2559999999999998</v>
      </c>
      <c r="T51" s="122">
        <f t="shared" si="18"/>
        <v>2.129</v>
      </c>
      <c r="U51" s="122">
        <f t="shared" si="18"/>
        <v>2.2629999999999999</v>
      </c>
      <c r="V51" s="122">
        <f t="shared" si="18"/>
        <v>2.1040000000000001</v>
      </c>
      <c r="W51" s="122">
        <f t="shared" si="18"/>
        <v>1.9970000000000001</v>
      </c>
      <c r="X51" s="122">
        <f t="shared" si="18"/>
        <v>2.0910000000000002</v>
      </c>
      <c r="Y51" s="122">
        <f t="shared" si="18"/>
        <v>2.024</v>
      </c>
      <c r="Z51" s="122">
        <f t="shared" si="18"/>
        <v>1.869</v>
      </c>
      <c r="AA51" s="122">
        <f t="shared" si="18"/>
        <v>1.8560000000000001</v>
      </c>
      <c r="AB51" s="122">
        <f t="shared" si="18"/>
        <v>1.786</v>
      </c>
      <c r="AC51" s="122">
        <f t="shared" si="18"/>
        <v>1.857</v>
      </c>
      <c r="AD51" s="122">
        <f t="shared" si="18"/>
        <v>0.82699999999999996</v>
      </c>
      <c r="AE51" s="122">
        <f t="shared" si="18"/>
        <v>0.433</v>
      </c>
      <c r="AF51" s="122">
        <f t="shared" si="18"/>
        <v>0.45</v>
      </c>
      <c r="AG51" s="122">
        <f t="shared" si="18"/>
        <v>0.441</v>
      </c>
      <c r="AH51" s="122">
        <f t="shared" si="18"/>
        <v>1.5649999999999999</v>
      </c>
      <c r="AI51" s="122">
        <f t="shared" si="18"/>
        <v>1.7789999999999999</v>
      </c>
      <c r="AJ51" s="122">
        <f t="shared" si="18"/>
        <v>1.625</v>
      </c>
      <c r="AK51" s="122">
        <f t="shared" si="18"/>
        <v>1.595</v>
      </c>
      <c r="AL51" s="122">
        <f t="shared" si="18"/>
        <v>1.84</v>
      </c>
      <c r="AM51" s="122">
        <f t="shared" si="18"/>
        <v>0.38700000000000001</v>
      </c>
      <c r="AN51" s="122">
        <f t="shared" si="18"/>
        <v>2.1309999999999998</v>
      </c>
      <c r="AO51" s="122">
        <f t="shared" si="18"/>
        <v>2.3010000000000002</v>
      </c>
      <c r="AP51" s="122">
        <f t="shared" si="18"/>
        <v>2.0059999999999998</v>
      </c>
      <c r="AQ51" s="122">
        <f t="shared" si="18"/>
        <v>0.5</v>
      </c>
      <c r="AR51" s="122">
        <f t="shared" si="18"/>
        <v>0.38300000000000001</v>
      </c>
      <c r="AS51" s="122">
        <f t="shared" si="18"/>
        <v>1.911</v>
      </c>
      <c r="AT51" s="122">
        <f t="shared" si="18"/>
        <v>1.355</v>
      </c>
      <c r="AU51" s="122">
        <f t="shared" si="18"/>
        <v>1.2669999999999999</v>
      </c>
      <c r="AV51" s="122">
        <f t="shared" si="18"/>
        <v>1.351</v>
      </c>
      <c r="AW51" s="122">
        <f t="shared" si="18"/>
        <v>1.7450000000000001</v>
      </c>
      <c r="AX51" s="122">
        <f t="shared" si="18"/>
        <v>1.895</v>
      </c>
      <c r="AY51" s="122">
        <f t="shared" si="18"/>
        <v>1.4650000000000001</v>
      </c>
      <c r="AZ51" s="122">
        <f t="shared" si="18"/>
        <v>2.105</v>
      </c>
      <c r="BA51" s="122">
        <f t="shared" si="18"/>
        <v>2.1640000000000001</v>
      </c>
      <c r="BB51" s="122">
        <f t="shared" si="18"/>
        <v>1.7809999999999999</v>
      </c>
      <c r="BC51" s="122">
        <f t="shared" si="18"/>
        <v>1.601</v>
      </c>
      <c r="BD51" s="122">
        <f t="shared" si="18"/>
        <v>2.06</v>
      </c>
      <c r="BE51" s="122">
        <f t="shared" si="18"/>
        <v>2.1240000000000001</v>
      </c>
      <c r="BF51" s="122">
        <f t="shared" si="18"/>
        <v>1.8979999999999999</v>
      </c>
      <c r="BG51" s="122">
        <f t="shared" si="18"/>
        <v>2.1930000000000001</v>
      </c>
      <c r="BH51" s="122">
        <f t="shared" si="18"/>
        <v>2.113</v>
      </c>
      <c r="BI51" s="122">
        <f t="shared" si="18"/>
        <v>2.2400000000000002</v>
      </c>
      <c r="BJ51" s="122">
        <f t="shared" si="18"/>
        <v>1.972</v>
      </c>
      <c r="BK51" s="122">
        <f t="shared" si="18"/>
        <v>2.133</v>
      </c>
      <c r="BL51" s="122">
        <f t="shared" si="18"/>
        <v>2.1850000000000001</v>
      </c>
      <c r="BM51" s="122">
        <f t="shared" si="18"/>
        <v>2.0939999999999999</v>
      </c>
      <c r="BN51" s="122">
        <f t="shared" si="18"/>
        <v>2.347</v>
      </c>
      <c r="BO51" s="122">
        <f t="shared" si="18"/>
        <v>1.653</v>
      </c>
      <c r="BP51" s="122">
        <f t="shared" si="18"/>
        <v>2.2770000000000001</v>
      </c>
      <c r="BQ51" s="122">
        <f t="shared" ref="BQ51:CT51" si="19">SUM(BQ9:BQ12,BQ15:BQ39)-BQ11-BQ10</f>
        <v>2.1970000000000001</v>
      </c>
      <c r="BR51" s="122">
        <f t="shared" si="19"/>
        <v>1.8680000000000001</v>
      </c>
      <c r="BS51" s="122">
        <f t="shared" si="19"/>
        <v>1.8620000000000001</v>
      </c>
      <c r="BT51" s="122">
        <f t="shared" si="19"/>
        <v>2.262</v>
      </c>
      <c r="BU51" s="122">
        <f t="shared" si="19"/>
        <v>1.8180000000000001</v>
      </c>
      <c r="BV51" s="122">
        <f t="shared" si="19"/>
        <v>2.0750000000000002</v>
      </c>
      <c r="BW51" s="122">
        <f t="shared" si="19"/>
        <v>1.5229999999999999</v>
      </c>
      <c r="BX51" s="122">
        <f t="shared" si="19"/>
        <v>1.8620000000000001</v>
      </c>
      <c r="BY51" s="122">
        <f t="shared" si="19"/>
        <v>1.9359999999999999</v>
      </c>
      <c r="BZ51" s="122">
        <f t="shared" si="19"/>
        <v>1.8240000000000001</v>
      </c>
      <c r="CA51" s="122">
        <f t="shared" si="19"/>
        <v>1.9490000000000001</v>
      </c>
      <c r="CB51" s="122">
        <f t="shared" si="19"/>
        <v>1.964</v>
      </c>
      <c r="CC51" s="122">
        <f t="shared" si="19"/>
        <v>1.8160000000000001</v>
      </c>
      <c r="CD51" s="122">
        <f t="shared" si="19"/>
        <v>1.8919999999999999</v>
      </c>
      <c r="CE51" s="122">
        <f t="shared" si="19"/>
        <v>0.69599999999999995</v>
      </c>
      <c r="CF51" s="122">
        <f t="shared" si="19"/>
        <v>2.2709999999999999</v>
      </c>
      <c r="CG51" s="122">
        <f t="shared" si="19"/>
        <v>1.536</v>
      </c>
      <c r="CH51" s="122">
        <f t="shared" si="19"/>
        <v>1.522</v>
      </c>
      <c r="CI51" s="122">
        <f t="shared" si="19"/>
        <v>2.0870000000000002</v>
      </c>
      <c r="CJ51" s="122">
        <f t="shared" si="19"/>
        <v>2.1920000000000002</v>
      </c>
      <c r="CK51" s="122">
        <f t="shared" si="19"/>
        <v>2.242</v>
      </c>
      <c r="CL51" s="122">
        <f t="shared" si="19"/>
        <v>2.2959999999999998</v>
      </c>
      <c r="CM51" s="122">
        <f t="shared" si="19"/>
        <v>2.1379999999999999</v>
      </c>
      <c r="CN51" s="122">
        <f t="shared" si="19"/>
        <v>0.46300000000000002</v>
      </c>
      <c r="CO51" s="122">
        <f t="shared" si="19"/>
        <v>1.6970000000000001</v>
      </c>
      <c r="CP51" s="122">
        <f t="shared" si="19"/>
        <v>1.75</v>
      </c>
      <c r="CQ51" s="122">
        <f t="shared" si="19"/>
        <v>1.7509999999999999</v>
      </c>
      <c r="CR51" s="122">
        <f t="shared" si="19"/>
        <v>1.7230000000000001</v>
      </c>
      <c r="CS51" s="122">
        <f t="shared" si="19"/>
        <v>1.7529999999999999</v>
      </c>
      <c r="CT51" s="123">
        <f t="shared" si="19"/>
        <v>1.611</v>
      </c>
    </row>
    <row r="52" spans="1:98" ht="18.75">
      <c r="A52" s="120"/>
      <c r="B52" s="121"/>
      <c r="C52" s="121"/>
      <c r="D52" s="122">
        <f>D51*($D$3-1)</f>
        <v>0.34599999999999997</v>
      </c>
      <c r="E52" s="122">
        <f t="shared" ref="E52:BP52" si="20">E51*($D$3-1)</f>
        <v>0.30099999999999999</v>
      </c>
      <c r="F52" s="122">
        <f t="shared" si="20"/>
        <v>0.35699999999999998</v>
      </c>
      <c r="G52" s="122">
        <f t="shared" si="20"/>
        <v>0.4</v>
      </c>
      <c r="H52" s="122">
        <f t="shared" si="20"/>
        <v>0.34</v>
      </c>
      <c r="I52" s="122">
        <f t="shared" si="20"/>
        <v>0.38500000000000001</v>
      </c>
      <c r="J52" s="122">
        <f t="shared" si="20"/>
        <v>0.29499999999999998</v>
      </c>
      <c r="K52" s="122">
        <f t="shared" si="20"/>
        <v>0.39700000000000002</v>
      </c>
      <c r="L52" s="122">
        <f t="shared" si="20"/>
        <v>0.377</v>
      </c>
      <c r="M52" s="122">
        <f t="shared" si="20"/>
        <v>0.35899999999999999</v>
      </c>
      <c r="N52" s="122">
        <f t="shared" si="20"/>
        <v>0.37</v>
      </c>
      <c r="O52" s="122">
        <f t="shared" si="20"/>
        <v>0.33600000000000002</v>
      </c>
      <c r="P52" s="122">
        <f t="shared" si="20"/>
        <v>0.39500000000000002</v>
      </c>
      <c r="Q52" s="122">
        <f t="shared" si="20"/>
        <v>0.317</v>
      </c>
      <c r="R52" s="122">
        <f t="shared" si="20"/>
        <v>0.32100000000000001</v>
      </c>
      <c r="S52" s="122">
        <f t="shared" si="20"/>
        <v>0.38400000000000001</v>
      </c>
      <c r="T52" s="122">
        <f t="shared" si="20"/>
        <v>0.36199999999999999</v>
      </c>
      <c r="U52" s="122">
        <f t="shared" si="20"/>
        <v>0.38500000000000001</v>
      </c>
      <c r="V52" s="122">
        <f t="shared" si="20"/>
        <v>0.35799999999999998</v>
      </c>
      <c r="W52" s="122">
        <f t="shared" si="20"/>
        <v>0.33900000000000002</v>
      </c>
      <c r="X52" s="122">
        <f t="shared" si="20"/>
        <v>0.35499999999999998</v>
      </c>
      <c r="Y52" s="122">
        <f t="shared" si="20"/>
        <v>0.34399999999999997</v>
      </c>
      <c r="Z52" s="122">
        <f t="shared" si="20"/>
        <v>0.318</v>
      </c>
      <c r="AA52" s="122">
        <f t="shared" si="20"/>
        <v>0.316</v>
      </c>
      <c r="AB52" s="122">
        <f t="shared" si="20"/>
        <v>0.30399999999999999</v>
      </c>
      <c r="AC52" s="122">
        <f t="shared" si="20"/>
        <v>0.316</v>
      </c>
      <c r="AD52" s="122">
        <f t="shared" si="20"/>
        <v>0.14099999999999999</v>
      </c>
      <c r="AE52" s="122">
        <f t="shared" si="20"/>
        <v>7.3999999999999996E-2</v>
      </c>
      <c r="AF52" s="122">
        <f t="shared" si="20"/>
        <v>7.6999999999999999E-2</v>
      </c>
      <c r="AG52" s="122">
        <f t="shared" si="20"/>
        <v>7.4999999999999997E-2</v>
      </c>
      <c r="AH52" s="122">
        <f t="shared" si="20"/>
        <v>0.26600000000000001</v>
      </c>
      <c r="AI52" s="122">
        <f t="shared" si="20"/>
        <v>0.30199999999999999</v>
      </c>
      <c r="AJ52" s="122">
        <f t="shared" si="20"/>
        <v>0.27600000000000002</v>
      </c>
      <c r="AK52" s="122">
        <f t="shared" si="20"/>
        <v>0.27100000000000002</v>
      </c>
      <c r="AL52" s="122">
        <f t="shared" si="20"/>
        <v>0.313</v>
      </c>
      <c r="AM52" s="122">
        <f t="shared" si="20"/>
        <v>6.6000000000000003E-2</v>
      </c>
      <c r="AN52" s="122">
        <f t="shared" si="20"/>
        <v>0.36199999999999999</v>
      </c>
      <c r="AO52" s="122">
        <f t="shared" si="20"/>
        <v>0.39100000000000001</v>
      </c>
      <c r="AP52" s="122">
        <f t="shared" si="20"/>
        <v>0.34100000000000003</v>
      </c>
      <c r="AQ52" s="122">
        <f t="shared" si="20"/>
        <v>8.5000000000000006E-2</v>
      </c>
      <c r="AR52" s="122">
        <f t="shared" si="20"/>
        <v>6.5000000000000002E-2</v>
      </c>
      <c r="AS52" s="122">
        <f t="shared" si="20"/>
        <v>0.32500000000000001</v>
      </c>
      <c r="AT52" s="122">
        <f t="shared" si="20"/>
        <v>0.23</v>
      </c>
      <c r="AU52" s="122">
        <f t="shared" si="20"/>
        <v>0.215</v>
      </c>
      <c r="AV52" s="122">
        <f t="shared" si="20"/>
        <v>0.23</v>
      </c>
      <c r="AW52" s="122">
        <f t="shared" si="20"/>
        <v>0.29699999999999999</v>
      </c>
      <c r="AX52" s="122">
        <f t="shared" si="20"/>
        <v>0.32200000000000001</v>
      </c>
      <c r="AY52" s="122">
        <f t="shared" si="20"/>
        <v>0.249</v>
      </c>
      <c r="AZ52" s="122">
        <f t="shared" si="20"/>
        <v>0.35799999999999998</v>
      </c>
      <c r="BA52" s="122">
        <f t="shared" si="20"/>
        <v>0.36799999999999999</v>
      </c>
      <c r="BB52" s="122">
        <f t="shared" si="20"/>
        <v>0.30299999999999999</v>
      </c>
      <c r="BC52" s="122">
        <f t="shared" si="20"/>
        <v>0.27200000000000002</v>
      </c>
      <c r="BD52" s="122">
        <f t="shared" si="20"/>
        <v>0.35</v>
      </c>
      <c r="BE52" s="122">
        <f t="shared" si="20"/>
        <v>0.36099999999999999</v>
      </c>
      <c r="BF52" s="122">
        <f t="shared" si="20"/>
        <v>0.32300000000000001</v>
      </c>
      <c r="BG52" s="122">
        <f t="shared" si="20"/>
        <v>0.373</v>
      </c>
      <c r="BH52" s="122">
        <f t="shared" si="20"/>
        <v>0.35899999999999999</v>
      </c>
      <c r="BI52" s="122">
        <f t="shared" si="20"/>
        <v>0.38100000000000001</v>
      </c>
      <c r="BJ52" s="122">
        <f t="shared" si="20"/>
        <v>0.33500000000000002</v>
      </c>
      <c r="BK52" s="122">
        <f t="shared" si="20"/>
        <v>0.36299999999999999</v>
      </c>
      <c r="BL52" s="122">
        <f t="shared" si="20"/>
        <v>0.371</v>
      </c>
      <c r="BM52" s="122">
        <f t="shared" si="20"/>
        <v>0.35599999999999998</v>
      </c>
      <c r="BN52" s="122">
        <f t="shared" si="20"/>
        <v>0.39900000000000002</v>
      </c>
      <c r="BO52" s="122">
        <f t="shared" si="20"/>
        <v>0.28100000000000003</v>
      </c>
      <c r="BP52" s="122">
        <f t="shared" si="20"/>
        <v>0.38700000000000001</v>
      </c>
      <c r="BQ52" s="122">
        <f t="shared" ref="BQ52:CT52" si="21">BQ51*($D$3-1)</f>
        <v>0.373</v>
      </c>
      <c r="BR52" s="122">
        <f t="shared" si="21"/>
        <v>0.318</v>
      </c>
      <c r="BS52" s="122">
        <f t="shared" si="21"/>
        <v>0.317</v>
      </c>
      <c r="BT52" s="122">
        <f t="shared" si="21"/>
        <v>0.38500000000000001</v>
      </c>
      <c r="BU52" s="122">
        <f t="shared" si="21"/>
        <v>0.309</v>
      </c>
      <c r="BV52" s="122">
        <f t="shared" si="21"/>
        <v>0.35299999999999998</v>
      </c>
      <c r="BW52" s="122">
        <f t="shared" si="21"/>
        <v>0.25900000000000001</v>
      </c>
      <c r="BX52" s="122">
        <f t="shared" si="21"/>
        <v>0.317</v>
      </c>
      <c r="BY52" s="122">
        <f t="shared" si="21"/>
        <v>0.32900000000000001</v>
      </c>
      <c r="BZ52" s="122">
        <f t="shared" si="21"/>
        <v>0.31</v>
      </c>
      <c r="CA52" s="122">
        <f t="shared" si="21"/>
        <v>0.33100000000000002</v>
      </c>
      <c r="CB52" s="122">
        <f t="shared" si="21"/>
        <v>0.33400000000000002</v>
      </c>
      <c r="CC52" s="122">
        <f t="shared" si="21"/>
        <v>0.309</v>
      </c>
      <c r="CD52" s="122">
        <f t="shared" si="21"/>
        <v>0.32200000000000001</v>
      </c>
      <c r="CE52" s="122">
        <f t="shared" si="21"/>
        <v>0.11799999999999999</v>
      </c>
      <c r="CF52" s="122">
        <f t="shared" si="21"/>
        <v>0.38600000000000001</v>
      </c>
      <c r="CG52" s="122">
        <f t="shared" si="21"/>
        <v>0.26100000000000001</v>
      </c>
      <c r="CH52" s="122">
        <f t="shared" si="21"/>
        <v>0.25900000000000001</v>
      </c>
      <c r="CI52" s="122">
        <f t="shared" si="21"/>
        <v>0.35499999999999998</v>
      </c>
      <c r="CJ52" s="122">
        <f t="shared" si="21"/>
        <v>0.373</v>
      </c>
      <c r="CK52" s="122">
        <f t="shared" si="21"/>
        <v>0.38100000000000001</v>
      </c>
      <c r="CL52" s="122">
        <f t="shared" si="21"/>
        <v>0.39</v>
      </c>
      <c r="CM52" s="122">
        <f t="shared" si="21"/>
        <v>0.36299999999999999</v>
      </c>
      <c r="CN52" s="122">
        <f t="shared" si="21"/>
        <v>7.9000000000000001E-2</v>
      </c>
      <c r="CO52" s="122">
        <f t="shared" si="21"/>
        <v>0.28799999999999998</v>
      </c>
      <c r="CP52" s="122">
        <f t="shared" si="21"/>
        <v>0.29799999999999999</v>
      </c>
      <c r="CQ52" s="122">
        <f t="shared" si="21"/>
        <v>0.29799999999999999</v>
      </c>
      <c r="CR52" s="122">
        <f t="shared" si="21"/>
        <v>0.29299999999999998</v>
      </c>
      <c r="CS52" s="122">
        <f t="shared" si="21"/>
        <v>0.29799999999999999</v>
      </c>
      <c r="CT52" s="123">
        <f t="shared" si="21"/>
        <v>0.27400000000000002</v>
      </c>
    </row>
    <row r="53" spans="1:98" ht="18.75">
      <c r="A53" s="120"/>
      <c r="B53" s="121"/>
      <c r="C53" s="121"/>
      <c r="D53" s="122">
        <f>D52*0.2+D51*0.2</f>
        <v>0.47699999999999998</v>
      </c>
      <c r="E53" s="122">
        <f t="shared" ref="E53:BP53" si="22">E52*0.2+E51*0.2</f>
        <v>0.41399999999999998</v>
      </c>
      <c r="F53" s="122">
        <f t="shared" si="22"/>
        <v>0.49199999999999999</v>
      </c>
      <c r="G53" s="122">
        <f t="shared" si="22"/>
        <v>0.55000000000000004</v>
      </c>
      <c r="H53" s="122">
        <f t="shared" si="22"/>
        <v>0.46800000000000003</v>
      </c>
      <c r="I53" s="122">
        <f t="shared" si="22"/>
        <v>0.53</v>
      </c>
      <c r="J53" s="122">
        <f t="shared" si="22"/>
        <v>0.40600000000000003</v>
      </c>
      <c r="K53" s="122">
        <f t="shared" si="22"/>
        <v>0.54600000000000004</v>
      </c>
      <c r="L53" s="122">
        <f t="shared" si="22"/>
        <v>0.51800000000000002</v>
      </c>
      <c r="M53" s="122">
        <f t="shared" si="22"/>
        <v>0.49399999999999999</v>
      </c>
      <c r="N53" s="122">
        <f t="shared" si="22"/>
        <v>0.50900000000000001</v>
      </c>
      <c r="O53" s="122">
        <f t="shared" si="22"/>
        <v>0.46300000000000002</v>
      </c>
      <c r="P53" s="122">
        <f t="shared" si="22"/>
        <v>0.54300000000000004</v>
      </c>
      <c r="Q53" s="122">
        <f t="shared" si="22"/>
        <v>0.436</v>
      </c>
      <c r="R53" s="122">
        <f t="shared" si="22"/>
        <v>0.442</v>
      </c>
      <c r="S53" s="122">
        <f t="shared" si="22"/>
        <v>0.52800000000000002</v>
      </c>
      <c r="T53" s="122">
        <f t="shared" si="22"/>
        <v>0.498</v>
      </c>
      <c r="U53" s="122">
        <f t="shared" si="22"/>
        <v>0.53</v>
      </c>
      <c r="V53" s="122">
        <f t="shared" si="22"/>
        <v>0.49199999999999999</v>
      </c>
      <c r="W53" s="122">
        <f t="shared" si="22"/>
        <v>0.46700000000000003</v>
      </c>
      <c r="X53" s="122">
        <f t="shared" si="22"/>
        <v>0.48899999999999999</v>
      </c>
      <c r="Y53" s="122">
        <f t="shared" si="22"/>
        <v>0.47399999999999998</v>
      </c>
      <c r="Z53" s="122">
        <f t="shared" si="22"/>
        <v>0.437</v>
      </c>
      <c r="AA53" s="122">
        <f t="shared" si="22"/>
        <v>0.434</v>
      </c>
      <c r="AB53" s="122">
        <f t="shared" si="22"/>
        <v>0.41799999999999998</v>
      </c>
      <c r="AC53" s="122">
        <f t="shared" si="22"/>
        <v>0.435</v>
      </c>
      <c r="AD53" s="122">
        <f t="shared" si="22"/>
        <v>0.19400000000000001</v>
      </c>
      <c r="AE53" s="122">
        <f t="shared" si="22"/>
        <v>0.10100000000000001</v>
      </c>
      <c r="AF53" s="122">
        <f t="shared" si="22"/>
        <v>0.105</v>
      </c>
      <c r="AG53" s="122">
        <f t="shared" si="22"/>
        <v>0.10299999999999999</v>
      </c>
      <c r="AH53" s="122">
        <f t="shared" si="22"/>
        <v>0.36599999999999999</v>
      </c>
      <c r="AI53" s="122">
        <f t="shared" si="22"/>
        <v>0.41599999999999998</v>
      </c>
      <c r="AJ53" s="122">
        <f t="shared" si="22"/>
        <v>0.38</v>
      </c>
      <c r="AK53" s="122">
        <f t="shared" si="22"/>
        <v>0.373</v>
      </c>
      <c r="AL53" s="122">
        <f t="shared" si="22"/>
        <v>0.43099999999999999</v>
      </c>
      <c r="AM53" s="122">
        <f t="shared" si="22"/>
        <v>9.0999999999999998E-2</v>
      </c>
      <c r="AN53" s="122">
        <f t="shared" si="22"/>
        <v>0.499</v>
      </c>
      <c r="AO53" s="122">
        <f t="shared" si="22"/>
        <v>0.53800000000000003</v>
      </c>
      <c r="AP53" s="122">
        <f t="shared" si="22"/>
        <v>0.46899999999999997</v>
      </c>
      <c r="AQ53" s="122">
        <f t="shared" si="22"/>
        <v>0.11700000000000001</v>
      </c>
      <c r="AR53" s="122">
        <f t="shared" si="22"/>
        <v>0.09</v>
      </c>
      <c r="AS53" s="122">
        <f t="shared" si="22"/>
        <v>0.44700000000000001</v>
      </c>
      <c r="AT53" s="122">
        <f t="shared" si="22"/>
        <v>0.317</v>
      </c>
      <c r="AU53" s="122">
        <f t="shared" si="22"/>
        <v>0.29599999999999999</v>
      </c>
      <c r="AV53" s="122">
        <f t="shared" si="22"/>
        <v>0.316</v>
      </c>
      <c r="AW53" s="122">
        <f t="shared" si="22"/>
        <v>0.40799999999999997</v>
      </c>
      <c r="AX53" s="122">
        <f t="shared" si="22"/>
        <v>0.443</v>
      </c>
      <c r="AY53" s="122">
        <f t="shared" si="22"/>
        <v>0.34300000000000003</v>
      </c>
      <c r="AZ53" s="122">
        <f t="shared" si="22"/>
        <v>0.49299999999999999</v>
      </c>
      <c r="BA53" s="122">
        <f t="shared" si="22"/>
        <v>0.50600000000000001</v>
      </c>
      <c r="BB53" s="122">
        <f t="shared" si="22"/>
        <v>0.41699999999999998</v>
      </c>
      <c r="BC53" s="122">
        <f t="shared" si="22"/>
        <v>0.375</v>
      </c>
      <c r="BD53" s="122">
        <f t="shared" si="22"/>
        <v>0.48199999999999998</v>
      </c>
      <c r="BE53" s="122">
        <f t="shared" si="22"/>
        <v>0.497</v>
      </c>
      <c r="BF53" s="122">
        <f t="shared" si="22"/>
        <v>0.44400000000000001</v>
      </c>
      <c r="BG53" s="122">
        <f t="shared" si="22"/>
        <v>0.51300000000000001</v>
      </c>
      <c r="BH53" s="122">
        <f t="shared" si="22"/>
        <v>0.49399999999999999</v>
      </c>
      <c r="BI53" s="122">
        <f t="shared" si="22"/>
        <v>0.52400000000000002</v>
      </c>
      <c r="BJ53" s="122">
        <f t="shared" si="22"/>
        <v>0.46100000000000002</v>
      </c>
      <c r="BK53" s="122">
        <f t="shared" si="22"/>
        <v>0.499</v>
      </c>
      <c r="BL53" s="122">
        <f t="shared" si="22"/>
        <v>0.51100000000000001</v>
      </c>
      <c r="BM53" s="122">
        <f t="shared" si="22"/>
        <v>0.49</v>
      </c>
      <c r="BN53" s="122">
        <f t="shared" si="22"/>
        <v>0.54900000000000004</v>
      </c>
      <c r="BO53" s="122">
        <f t="shared" si="22"/>
        <v>0.38700000000000001</v>
      </c>
      <c r="BP53" s="122">
        <f t="shared" si="22"/>
        <v>0.53300000000000003</v>
      </c>
      <c r="BQ53" s="122">
        <f t="shared" ref="BQ53:CT53" si="23">BQ52*0.2+BQ51*0.2</f>
        <v>0.51400000000000001</v>
      </c>
      <c r="BR53" s="122">
        <f t="shared" si="23"/>
        <v>0.437</v>
      </c>
      <c r="BS53" s="122">
        <f t="shared" si="23"/>
        <v>0.436</v>
      </c>
      <c r="BT53" s="122">
        <f t="shared" si="23"/>
        <v>0.52900000000000003</v>
      </c>
      <c r="BU53" s="122">
        <f t="shared" si="23"/>
        <v>0.42499999999999999</v>
      </c>
      <c r="BV53" s="122">
        <f t="shared" si="23"/>
        <v>0.48599999999999999</v>
      </c>
      <c r="BW53" s="122">
        <f t="shared" si="23"/>
        <v>0.35599999999999998</v>
      </c>
      <c r="BX53" s="122">
        <f t="shared" si="23"/>
        <v>0.436</v>
      </c>
      <c r="BY53" s="122">
        <f t="shared" si="23"/>
        <v>0.45300000000000001</v>
      </c>
      <c r="BZ53" s="122">
        <f t="shared" si="23"/>
        <v>0.42699999999999999</v>
      </c>
      <c r="CA53" s="122">
        <f t="shared" si="23"/>
        <v>0.45600000000000002</v>
      </c>
      <c r="CB53" s="122">
        <f t="shared" si="23"/>
        <v>0.46</v>
      </c>
      <c r="CC53" s="122">
        <f t="shared" si="23"/>
        <v>0.42499999999999999</v>
      </c>
      <c r="CD53" s="122">
        <f t="shared" si="23"/>
        <v>0.443</v>
      </c>
      <c r="CE53" s="122">
        <f t="shared" si="23"/>
        <v>0.16300000000000001</v>
      </c>
      <c r="CF53" s="122">
        <f t="shared" si="23"/>
        <v>0.53100000000000003</v>
      </c>
      <c r="CG53" s="122">
        <f t="shared" si="23"/>
        <v>0.35899999999999999</v>
      </c>
      <c r="CH53" s="122">
        <f t="shared" si="23"/>
        <v>0.35599999999999998</v>
      </c>
      <c r="CI53" s="122">
        <f t="shared" si="23"/>
        <v>0.48799999999999999</v>
      </c>
      <c r="CJ53" s="122">
        <f t="shared" si="23"/>
        <v>0.51300000000000001</v>
      </c>
      <c r="CK53" s="122">
        <f t="shared" si="23"/>
        <v>0.52500000000000002</v>
      </c>
      <c r="CL53" s="122">
        <f t="shared" si="23"/>
        <v>0.53700000000000003</v>
      </c>
      <c r="CM53" s="122">
        <f t="shared" si="23"/>
        <v>0.5</v>
      </c>
      <c r="CN53" s="122">
        <f t="shared" si="23"/>
        <v>0.108</v>
      </c>
      <c r="CO53" s="122">
        <f t="shared" si="23"/>
        <v>0.39700000000000002</v>
      </c>
      <c r="CP53" s="122">
        <f t="shared" si="23"/>
        <v>0.41</v>
      </c>
      <c r="CQ53" s="122">
        <f t="shared" si="23"/>
        <v>0.41</v>
      </c>
      <c r="CR53" s="122">
        <f t="shared" si="23"/>
        <v>0.40300000000000002</v>
      </c>
      <c r="CS53" s="122">
        <f t="shared" si="23"/>
        <v>0.41</v>
      </c>
      <c r="CT53" s="123">
        <f t="shared" si="23"/>
        <v>0.377</v>
      </c>
    </row>
    <row r="54" spans="1:98" ht="38.25" thickBot="1">
      <c r="A54" s="126"/>
      <c r="B54" s="127" t="s">
        <v>125</v>
      </c>
      <c r="C54" s="128"/>
      <c r="D54" s="129">
        <f>D55+D56+D57</f>
        <v>2.988</v>
      </c>
      <c r="E54" s="129">
        <f t="shared" ref="E54:BP54" si="24">E55+E56+E57</f>
        <v>2.927</v>
      </c>
      <c r="F54" s="129">
        <f t="shared" si="24"/>
        <v>3.16</v>
      </c>
      <c r="G54" s="129">
        <f t="shared" si="24"/>
        <v>3.536</v>
      </c>
      <c r="H54" s="129">
        <f t="shared" si="24"/>
        <v>2.9089999999999998</v>
      </c>
      <c r="I54" s="129">
        <f t="shared" si="24"/>
        <v>3.4129999999999998</v>
      </c>
      <c r="J54" s="129">
        <f t="shared" si="24"/>
        <v>2.569</v>
      </c>
      <c r="K54" s="129">
        <f t="shared" si="24"/>
        <v>3.5089999999999999</v>
      </c>
      <c r="L54" s="129">
        <f t="shared" si="24"/>
        <v>3.4180000000000001</v>
      </c>
      <c r="M54" s="129">
        <f t="shared" si="24"/>
        <v>3.2280000000000002</v>
      </c>
      <c r="N54" s="129">
        <f t="shared" si="24"/>
        <v>3.3290000000000002</v>
      </c>
      <c r="O54" s="129">
        <f t="shared" si="24"/>
        <v>2.9119999999999999</v>
      </c>
      <c r="P54" s="129">
        <f t="shared" si="24"/>
        <v>3.4569999999999999</v>
      </c>
      <c r="Q54" s="129">
        <f t="shared" si="24"/>
        <v>2.8420000000000001</v>
      </c>
      <c r="R54" s="129">
        <f t="shared" si="24"/>
        <v>3.0960000000000001</v>
      </c>
      <c r="S54" s="129">
        <f t="shared" si="24"/>
        <v>3.3559999999999999</v>
      </c>
      <c r="T54" s="129">
        <f t="shared" si="24"/>
        <v>3.234</v>
      </c>
      <c r="U54" s="129">
        <f t="shared" si="24"/>
        <v>3.3519999999999999</v>
      </c>
      <c r="V54" s="129">
        <v>2.056</v>
      </c>
      <c r="W54" s="129">
        <v>1.9610000000000001</v>
      </c>
      <c r="X54" s="129">
        <v>2.0379999999999998</v>
      </c>
      <c r="Y54" s="129">
        <v>2.0259999999999998</v>
      </c>
      <c r="Z54" s="129">
        <v>1.8859999999999999</v>
      </c>
      <c r="AA54" s="129">
        <v>1.82</v>
      </c>
      <c r="AB54" s="129">
        <v>1.7649999999999999</v>
      </c>
      <c r="AC54" s="129">
        <v>1.877</v>
      </c>
      <c r="AD54" s="129">
        <f t="shared" si="24"/>
        <v>1.1619999999999999</v>
      </c>
      <c r="AE54" s="129">
        <f t="shared" si="24"/>
        <v>0.60799999999999998</v>
      </c>
      <c r="AF54" s="129">
        <f t="shared" si="24"/>
        <v>0.63200000000000001</v>
      </c>
      <c r="AG54" s="129">
        <f t="shared" si="24"/>
        <v>0.61899999999999999</v>
      </c>
      <c r="AH54" s="129">
        <f t="shared" si="24"/>
        <v>2.4380000000000002</v>
      </c>
      <c r="AI54" s="129">
        <f t="shared" si="24"/>
        <v>2.6320000000000001</v>
      </c>
      <c r="AJ54" s="129">
        <f t="shared" si="24"/>
        <v>2.3889999999999998</v>
      </c>
      <c r="AK54" s="129">
        <f t="shared" si="24"/>
        <v>2.4500000000000002</v>
      </c>
      <c r="AL54" s="129">
        <f t="shared" si="24"/>
        <v>2.81</v>
      </c>
      <c r="AM54" s="129">
        <f t="shared" si="24"/>
        <v>0.54400000000000004</v>
      </c>
      <c r="AN54" s="129">
        <v>1.9319999999999999</v>
      </c>
      <c r="AO54" s="129">
        <v>2.125</v>
      </c>
      <c r="AP54" s="129">
        <v>1.7569999999999999</v>
      </c>
      <c r="AQ54" s="129">
        <f t="shared" si="24"/>
        <v>0.70199999999999996</v>
      </c>
      <c r="AR54" s="129">
        <f t="shared" si="24"/>
        <v>0.53800000000000003</v>
      </c>
      <c r="AS54" s="129">
        <v>1.964</v>
      </c>
      <c r="AT54" s="129">
        <f t="shared" si="24"/>
        <v>2.2029999999999998</v>
      </c>
      <c r="AU54" s="129">
        <f t="shared" si="24"/>
        <v>2.1120000000000001</v>
      </c>
      <c r="AV54" s="129">
        <f t="shared" si="24"/>
        <v>2.2040000000000002</v>
      </c>
      <c r="AW54" s="129">
        <f t="shared" si="24"/>
        <v>2.875</v>
      </c>
      <c r="AX54" s="129">
        <f t="shared" si="24"/>
        <v>3.07</v>
      </c>
      <c r="AY54" s="129">
        <f t="shared" si="24"/>
        <v>2.2120000000000002</v>
      </c>
      <c r="AZ54" s="129">
        <f t="shared" si="24"/>
        <v>3.169</v>
      </c>
      <c r="BA54" s="129">
        <f t="shared" si="24"/>
        <v>3.2959999999999998</v>
      </c>
      <c r="BB54" s="129">
        <f t="shared" si="24"/>
        <v>3.1640000000000001</v>
      </c>
      <c r="BC54" s="129">
        <f t="shared" si="24"/>
        <v>2.831</v>
      </c>
      <c r="BD54" s="129">
        <f t="shared" si="24"/>
        <v>3.1659999999999999</v>
      </c>
      <c r="BE54" s="129">
        <f t="shared" si="24"/>
        <v>3.206</v>
      </c>
      <c r="BF54" s="129">
        <f t="shared" si="24"/>
        <v>2.9870000000000001</v>
      </c>
      <c r="BG54" s="129">
        <f t="shared" si="24"/>
        <v>3.3279999999999998</v>
      </c>
      <c r="BH54" s="129">
        <f t="shared" si="24"/>
        <v>3.1850000000000001</v>
      </c>
      <c r="BI54" s="129">
        <f t="shared" si="24"/>
        <v>3.3889999999999998</v>
      </c>
      <c r="BJ54" s="129">
        <f t="shared" si="24"/>
        <v>3.0459999999999998</v>
      </c>
      <c r="BK54" s="129">
        <f t="shared" si="24"/>
        <v>3.3130000000000002</v>
      </c>
      <c r="BL54" s="129">
        <f t="shared" si="24"/>
        <v>3.2280000000000002</v>
      </c>
      <c r="BM54" s="129">
        <f t="shared" si="24"/>
        <v>3.3530000000000002</v>
      </c>
      <c r="BN54" s="129">
        <f t="shared" si="24"/>
        <v>3.4140000000000001</v>
      </c>
      <c r="BO54" s="129">
        <f t="shared" si="24"/>
        <v>2.4119999999999999</v>
      </c>
      <c r="BP54" s="129">
        <f t="shared" si="24"/>
        <v>3.4359999999999999</v>
      </c>
      <c r="BQ54" s="129">
        <f t="shared" ref="BQ54:CT54" si="25">BQ55+BQ56+BQ57</f>
        <v>3.3359999999999999</v>
      </c>
      <c r="BR54" s="129">
        <f t="shared" si="25"/>
        <v>2.7759999999999998</v>
      </c>
      <c r="BS54" s="129">
        <f t="shared" si="25"/>
        <v>2.827</v>
      </c>
      <c r="BT54" s="129">
        <f t="shared" si="25"/>
        <v>3.4209999999999998</v>
      </c>
      <c r="BU54" s="129">
        <f t="shared" si="25"/>
        <v>2.702</v>
      </c>
      <c r="BV54" s="129">
        <f t="shared" si="25"/>
        <v>3.0910000000000002</v>
      </c>
      <c r="BW54" s="129">
        <f t="shared" si="25"/>
        <v>2.2930000000000001</v>
      </c>
      <c r="BX54" s="129">
        <f t="shared" si="25"/>
        <v>3.0230000000000001</v>
      </c>
      <c r="BY54" s="129">
        <f t="shared" si="25"/>
        <v>3.1160000000000001</v>
      </c>
      <c r="BZ54" s="129">
        <v>1.7929999999999999</v>
      </c>
      <c r="CA54" s="129">
        <v>1.8819999999999999</v>
      </c>
      <c r="CB54" s="129">
        <v>1.931</v>
      </c>
      <c r="CC54" s="129">
        <v>1.81</v>
      </c>
      <c r="CD54" s="129">
        <v>1.859</v>
      </c>
      <c r="CE54" s="129">
        <f t="shared" si="25"/>
        <v>0.97699999999999998</v>
      </c>
      <c r="CF54" s="129">
        <f t="shared" si="25"/>
        <v>3.4220000000000002</v>
      </c>
      <c r="CG54" s="129">
        <f t="shared" si="25"/>
        <v>2.6360000000000001</v>
      </c>
      <c r="CH54" s="129">
        <f t="shared" si="25"/>
        <v>2.617</v>
      </c>
      <c r="CI54" s="129">
        <f t="shared" si="25"/>
        <v>3.2160000000000002</v>
      </c>
      <c r="CJ54" s="129">
        <f t="shared" si="25"/>
        <v>3.3650000000000002</v>
      </c>
      <c r="CK54" s="129">
        <f t="shared" si="25"/>
        <v>3.4</v>
      </c>
      <c r="CL54" s="129">
        <f t="shared" si="25"/>
        <v>3.4340000000000002</v>
      </c>
      <c r="CM54" s="129">
        <f t="shared" si="25"/>
        <v>3.2930000000000001</v>
      </c>
      <c r="CN54" s="129">
        <f t="shared" si="25"/>
        <v>0.65</v>
      </c>
      <c r="CO54" s="129">
        <f t="shared" si="25"/>
        <v>2.3820000000000001</v>
      </c>
      <c r="CP54" s="129">
        <f t="shared" si="25"/>
        <v>2.4580000000000002</v>
      </c>
      <c r="CQ54" s="129">
        <f t="shared" si="25"/>
        <v>2.4590000000000001</v>
      </c>
      <c r="CR54" s="129">
        <f t="shared" si="25"/>
        <v>2.419</v>
      </c>
      <c r="CS54" s="129">
        <f t="shared" si="25"/>
        <v>2.4609999999999999</v>
      </c>
      <c r="CT54" s="130">
        <f t="shared" si="25"/>
        <v>2.262</v>
      </c>
    </row>
    <row r="55" spans="1:98" ht="18.75">
      <c r="A55" s="131"/>
      <c r="B55" s="132"/>
      <c r="C55" s="132"/>
      <c r="D55" s="133">
        <f>SUM(D9:D12,D15:D39)-D11</f>
        <v>2.1280000000000001</v>
      </c>
      <c r="E55" s="133">
        <f t="shared" ref="E55:BP55" si="26">SUM(E9:E12,E15:E39)-E11</f>
        <v>2.085</v>
      </c>
      <c r="F55" s="133">
        <f t="shared" si="26"/>
        <v>2.25</v>
      </c>
      <c r="G55" s="133">
        <f t="shared" si="26"/>
        <v>2.5190000000000001</v>
      </c>
      <c r="H55" s="133">
        <f t="shared" si="26"/>
        <v>2.0720000000000001</v>
      </c>
      <c r="I55" s="133">
        <f t="shared" si="26"/>
        <v>2.431</v>
      </c>
      <c r="J55" s="133">
        <f t="shared" si="26"/>
        <v>1.83</v>
      </c>
      <c r="K55" s="133">
        <f t="shared" si="26"/>
        <v>2.4990000000000001</v>
      </c>
      <c r="L55" s="133">
        <f t="shared" si="26"/>
        <v>2.4340000000000002</v>
      </c>
      <c r="M55" s="133">
        <f t="shared" si="26"/>
        <v>2.2989999999999999</v>
      </c>
      <c r="N55" s="133">
        <f t="shared" si="26"/>
        <v>2.371</v>
      </c>
      <c r="O55" s="133">
        <f t="shared" si="26"/>
        <v>2.0739999999999998</v>
      </c>
      <c r="P55" s="133">
        <f t="shared" si="26"/>
        <v>2.4620000000000002</v>
      </c>
      <c r="Q55" s="133">
        <f t="shared" si="26"/>
        <v>2.024</v>
      </c>
      <c r="R55" s="133">
        <f t="shared" si="26"/>
        <v>2.2050000000000001</v>
      </c>
      <c r="S55" s="133">
        <f t="shared" si="26"/>
        <v>2.391</v>
      </c>
      <c r="T55" s="133">
        <f t="shared" si="26"/>
        <v>2.3029999999999999</v>
      </c>
      <c r="U55" s="133">
        <f t="shared" si="26"/>
        <v>2.387</v>
      </c>
      <c r="V55" s="133">
        <f t="shared" si="26"/>
        <v>2.34</v>
      </c>
      <c r="W55" s="133">
        <f t="shared" si="26"/>
        <v>2.2610000000000001</v>
      </c>
      <c r="X55" s="133">
        <f t="shared" si="26"/>
        <v>2.3359999999999999</v>
      </c>
      <c r="Y55" s="133">
        <f t="shared" si="26"/>
        <v>2.3159999999999998</v>
      </c>
      <c r="Z55" s="133">
        <f t="shared" si="26"/>
        <v>2.1509999999999998</v>
      </c>
      <c r="AA55" s="133">
        <f t="shared" si="26"/>
        <v>2.11</v>
      </c>
      <c r="AB55" s="133">
        <f t="shared" si="26"/>
        <v>2.0619999999999998</v>
      </c>
      <c r="AC55" s="133">
        <f t="shared" si="26"/>
        <v>2.1539999999999999</v>
      </c>
      <c r="AD55" s="133">
        <f t="shared" si="26"/>
        <v>0.82699999999999996</v>
      </c>
      <c r="AE55" s="133">
        <f t="shared" si="26"/>
        <v>0.433</v>
      </c>
      <c r="AF55" s="133">
        <f t="shared" si="26"/>
        <v>0.45</v>
      </c>
      <c r="AG55" s="133">
        <f t="shared" si="26"/>
        <v>0.441</v>
      </c>
      <c r="AH55" s="133">
        <f t="shared" si="26"/>
        <v>1.7370000000000001</v>
      </c>
      <c r="AI55" s="133">
        <f t="shared" si="26"/>
        <v>1.8740000000000001</v>
      </c>
      <c r="AJ55" s="133">
        <f t="shared" si="26"/>
        <v>1.702</v>
      </c>
      <c r="AK55" s="133">
        <f t="shared" si="26"/>
        <v>1.7450000000000001</v>
      </c>
      <c r="AL55" s="133">
        <f t="shared" si="26"/>
        <v>2.0019999999999998</v>
      </c>
      <c r="AM55" s="133">
        <f t="shared" si="26"/>
        <v>0.38700000000000001</v>
      </c>
      <c r="AN55" s="133">
        <f t="shared" si="26"/>
        <v>2.1309999999999998</v>
      </c>
      <c r="AO55" s="133">
        <f t="shared" si="26"/>
        <v>2.3650000000000002</v>
      </c>
      <c r="AP55" s="133">
        <f t="shared" si="26"/>
        <v>2.0059999999999998</v>
      </c>
      <c r="AQ55" s="133">
        <f t="shared" si="26"/>
        <v>0.5</v>
      </c>
      <c r="AR55" s="133">
        <f t="shared" si="26"/>
        <v>0.38300000000000001</v>
      </c>
      <c r="AS55" s="133">
        <f t="shared" si="26"/>
        <v>2.1080000000000001</v>
      </c>
      <c r="AT55" s="133">
        <f t="shared" si="26"/>
        <v>1.569</v>
      </c>
      <c r="AU55" s="133">
        <f t="shared" si="26"/>
        <v>1.504</v>
      </c>
      <c r="AV55" s="133">
        <f t="shared" si="26"/>
        <v>1.57</v>
      </c>
      <c r="AW55" s="133">
        <f t="shared" si="26"/>
        <v>2.048</v>
      </c>
      <c r="AX55" s="133">
        <f t="shared" si="26"/>
        <v>2.1859999999999999</v>
      </c>
      <c r="AY55" s="133">
        <f t="shared" si="26"/>
        <v>1.575</v>
      </c>
      <c r="AZ55" s="133">
        <f t="shared" si="26"/>
        <v>2.2570000000000001</v>
      </c>
      <c r="BA55" s="133">
        <f t="shared" si="26"/>
        <v>2.3479999999999999</v>
      </c>
      <c r="BB55" s="133">
        <f t="shared" si="26"/>
        <v>2.254</v>
      </c>
      <c r="BC55" s="133">
        <f t="shared" si="26"/>
        <v>2.016</v>
      </c>
      <c r="BD55" s="133">
        <f t="shared" si="26"/>
        <v>2.2549999999999999</v>
      </c>
      <c r="BE55" s="133">
        <f t="shared" si="26"/>
        <v>2.2839999999999998</v>
      </c>
      <c r="BF55" s="133">
        <f t="shared" si="26"/>
        <v>2.1269999999999998</v>
      </c>
      <c r="BG55" s="133">
        <f t="shared" si="26"/>
        <v>2.37</v>
      </c>
      <c r="BH55" s="133">
        <f t="shared" si="26"/>
        <v>2.2679999999999998</v>
      </c>
      <c r="BI55" s="133">
        <f t="shared" si="26"/>
        <v>2.4140000000000001</v>
      </c>
      <c r="BJ55" s="133">
        <f t="shared" si="26"/>
        <v>2.169</v>
      </c>
      <c r="BK55" s="133">
        <f t="shared" si="26"/>
        <v>2.36</v>
      </c>
      <c r="BL55" s="133">
        <f t="shared" si="26"/>
        <v>2.2989999999999999</v>
      </c>
      <c r="BM55" s="133">
        <f t="shared" si="26"/>
        <v>2.3879999999999999</v>
      </c>
      <c r="BN55" s="133">
        <f t="shared" si="26"/>
        <v>2.4319999999999999</v>
      </c>
      <c r="BO55" s="133">
        <f t="shared" si="26"/>
        <v>1.718</v>
      </c>
      <c r="BP55" s="133">
        <f t="shared" si="26"/>
        <v>2.4470000000000001</v>
      </c>
      <c r="BQ55" s="133">
        <f t="shared" ref="BQ55:CT55" si="27">SUM(BQ9:BQ12,BQ15:BQ39)-BQ11</f>
        <v>2.3759999999999999</v>
      </c>
      <c r="BR55" s="133">
        <f t="shared" si="27"/>
        <v>1.9770000000000001</v>
      </c>
      <c r="BS55" s="133">
        <f t="shared" si="27"/>
        <v>2.0139999999999998</v>
      </c>
      <c r="BT55" s="133">
        <f t="shared" si="27"/>
        <v>2.4369999999999998</v>
      </c>
      <c r="BU55" s="133">
        <f t="shared" si="27"/>
        <v>1.925</v>
      </c>
      <c r="BV55" s="133">
        <f t="shared" si="27"/>
        <v>2.202</v>
      </c>
      <c r="BW55" s="133">
        <f t="shared" si="27"/>
        <v>1.633</v>
      </c>
      <c r="BX55" s="133">
        <f t="shared" si="27"/>
        <v>2.153</v>
      </c>
      <c r="BY55" s="133">
        <f t="shared" si="27"/>
        <v>2.2200000000000002</v>
      </c>
      <c r="BZ55" s="133">
        <f t="shared" si="27"/>
        <v>2.089</v>
      </c>
      <c r="CA55" s="133">
        <f t="shared" si="27"/>
        <v>2.1709999999999998</v>
      </c>
      <c r="CB55" s="133">
        <f t="shared" si="27"/>
        <v>2.194</v>
      </c>
      <c r="CC55" s="133">
        <f t="shared" si="27"/>
        <v>2.06</v>
      </c>
      <c r="CD55" s="133">
        <f t="shared" si="27"/>
        <v>2.1110000000000002</v>
      </c>
      <c r="CE55" s="133">
        <f t="shared" si="27"/>
        <v>0.69599999999999995</v>
      </c>
      <c r="CF55" s="133">
        <f t="shared" si="27"/>
        <v>2.4380000000000002</v>
      </c>
      <c r="CG55" s="133">
        <f t="shared" si="27"/>
        <v>1.8779999999999999</v>
      </c>
      <c r="CH55" s="133">
        <f t="shared" si="27"/>
        <v>1.8640000000000001</v>
      </c>
      <c r="CI55" s="133">
        <f t="shared" si="27"/>
        <v>2.2909999999999999</v>
      </c>
      <c r="CJ55" s="133">
        <f t="shared" si="27"/>
        <v>2.3969999999999998</v>
      </c>
      <c r="CK55" s="133">
        <f t="shared" si="27"/>
        <v>2.4209999999999998</v>
      </c>
      <c r="CL55" s="133">
        <f t="shared" si="27"/>
        <v>2.4460000000000002</v>
      </c>
      <c r="CM55" s="133">
        <f t="shared" si="27"/>
        <v>2.3450000000000002</v>
      </c>
      <c r="CN55" s="133">
        <f t="shared" si="27"/>
        <v>0.46300000000000002</v>
      </c>
      <c r="CO55" s="133">
        <f t="shared" si="27"/>
        <v>1.6970000000000001</v>
      </c>
      <c r="CP55" s="133">
        <f t="shared" si="27"/>
        <v>1.75</v>
      </c>
      <c r="CQ55" s="133">
        <f t="shared" si="27"/>
        <v>1.7509999999999999</v>
      </c>
      <c r="CR55" s="133">
        <f t="shared" si="27"/>
        <v>1.7230000000000001</v>
      </c>
      <c r="CS55" s="133">
        <f t="shared" si="27"/>
        <v>1.7529999999999999</v>
      </c>
      <c r="CT55" s="133">
        <f t="shared" si="27"/>
        <v>1.611</v>
      </c>
    </row>
    <row r="56" spans="1:98" ht="18.75">
      <c r="A56" s="131"/>
      <c r="B56" s="132"/>
      <c r="C56" s="132"/>
      <c r="D56" s="122">
        <f>D55*($D$3-1)</f>
        <v>0.36199999999999999</v>
      </c>
      <c r="E56" s="122">
        <f t="shared" ref="E56:BP56" si="28">E55*($D$3-1)</f>
        <v>0.35399999999999998</v>
      </c>
      <c r="F56" s="122">
        <f t="shared" si="28"/>
        <v>0.38300000000000001</v>
      </c>
      <c r="G56" s="122">
        <f t="shared" si="28"/>
        <v>0.42799999999999999</v>
      </c>
      <c r="H56" s="122">
        <f t="shared" si="28"/>
        <v>0.35199999999999998</v>
      </c>
      <c r="I56" s="122">
        <f t="shared" si="28"/>
        <v>0.41299999999999998</v>
      </c>
      <c r="J56" s="122">
        <f t="shared" si="28"/>
        <v>0.311</v>
      </c>
      <c r="K56" s="122">
        <f t="shared" si="28"/>
        <v>0.42499999999999999</v>
      </c>
      <c r="L56" s="122">
        <f t="shared" si="28"/>
        <v>0.41399999999999998</v>
      </c>
      <c r="M56" s="122">
        <f t="shared" si="28"/>
        <v>0.39100000000000001</v>
      </c>
      <c r="N56" s="122">
        <f t="shared" si="28"/>
        <v>0.40300000000000002</v>
      </c>
      <c r="O56" s="122">
        <f t="shared" si="28"/>
        <v>0.35299999999999998</v>
      </c>
      <c r="P56" s="122">
        <f t="shared" si="28"/>
        <v>0.41899999999999998</v>
      </c>
      <c r="Q56" s="122">
        <f t="shared" si="28"/>
        <v>0.34399999999999997</v>
      </c>
      <c r="R56" s="122">
        <f t="shared" si="28"/>
        <v>0.375</v>
      </c>
      <c r="S56" s="122">
        <f t="shared" si="28"/>
        <v>0.40600000000000003</v>
      </c>
      <c r="T56" s="122">
        <f t="shared" si="28"/>
        <v>0.39200000000000002</v>
      </c>
      <c r="U56" s="122">
        <f t="shared" si="28"/>
        <v>0.40600000000000003</v>
      </c>
      <c r="V56" s="122">
        <f t="shared" si="28"/>
        <v>0.39800000000000002</v>
      </c>
      <c r="W56" s="122">
        <f t="shared" si="28"/>
        <v>0.38400000000000001</v>
      </c>
      <c r="X56" s="122">
        <f t="shared" si="28"/>
        <v>0.39700000000000002</v>
      </c>
      <c r="Y56" s="122">
        <f t="shared" si="28"/>
        <v>0.39400000000000002</v>
      </c>
      <c r="Z56" s="122">
        <f t="shared" si="28"/>
        <v>0.36599999999999999</v>
      </c>
      <c r="AA56" s="122">
        <f t="shared" si="28"/>
        <v>0.35899999999999999</v>
      </c>
      <c r="AB56" s="122">
        <f t="shared" si="28"/>
        <v>0.35099999999999998</v>
      </c>
      <c r="AC56" s="122">
        <f t="shared" si="28"/>
        <v>0.36599999999999999</v>
      </c>
      <c r="AD56" s="122">
        <f t="shared" si="28"/>
        <v>0.14099999999999999</v>
      </c>
      <c r="AE56" s="122">
        <f t="shared" si="28"/>
        <v>7.3999999999999996E-2</v>
      </c>
      <c r="AF56" s="122">
        <f t="shared" si="28"/>
        <v>7.6999999999999999E-2</v>
      </c>
      <c r="AG56" s="122">
        <f t="shared" si="28"/>
        <v>7.4999999999999997E-2</v>
      </c>
      <c r="AH56" s="122">
        <f t="shared" si="28"/>
        <v>0.29499999999999998</v>
      </c>
      <c r="AI56" s="122">
        <f t="shared" si="28"/>
        <v>0.31900000000000001</v>
      </c>
      <c r="AJ56" s="122">
        <f t="shared" si="28"/>
        <v>0.28899999999999998</v>
      </c>
      <c r="AK56" s="122">
        <f t="shared" si="28"/>
        <v>0.29699999999999999</v>
      </c>
      <c r="AL56" s="122">
        <f t="shared" si="28"/>
        <v>0.34</v>
      </c>
      <c r="AM56" s="122">
        <f t="shared" si="28"/>
        <v>6.6000000000000003E-2</v>
      </c>
      <c r="AN56" s="122">
        <f t="shared" si="28"/>
        <v>0.36199999999999999</v>
      </c>
      <c r="AO56" s="122">
        <f t="shared" si="28"/>
        <v>0.40200000000000002</v>
      </c>
      <c r="AP56" s="122">
        <f t="shared" si="28"/>
        <v>0.34100000000000003</v>
      </c>
      <c r="AQ56" s="122">
        <f t="shared" si="28"/>
        <v>8.5000000000000006E-2</v>
      </c>
      <c r="AR56" s="122">
        <f t="shared" si="28"/>
        <v>6.5000000000000002E-2</v>
      </c>
      <c r="AS56" s="122">
        <f t="shared" si="28"/>
        <v>0.35799999999999998</v>
      </c>
      <c r="AT56" s="122">
        <f t="shared" si="28"/>
        <v>0.26700000000000002</v>
      </c>
      <c r="AU56" s="122">
        <f t="shared" si="28"/>
        <v>0.25600000000000001</v>
      </c>
      <c r="AV56" s="122">
        <f t="shared" si="28"/>
        <v>0.26700000000000002</v>
      </c>
      <c r="AW56" s="122">
        <f t="shared" si="28"/>
        <v>0.34799999999999998</v>
      </c>
      <c r="AX56" s="122">
        <f t="shared" si="28"/>
        <v>0.372</v>
      </c>
      <c r="AY56" s="122">
        <f t="shared" si="28"/>
        <v>0.26800000000000002</v>
      </c>
      <c r="AZ56" s="122">
        <f t="shared" si="28"/>
        <v>0.38400000000000001</v>
      </c>
      <c r="BA56" s="122">
        <f t="shared" si="28"/>
        <v>0.39900000000000002</v>
      </c>
      <c r="BB56" s="122">
        <f t="shared" si="28"/>
        <v>0.38300000000000001</v>
      </c>
      <c r="BC56" s="122">
        <f t="shared" si="28"/>
        <v>0.34300000000000003</v>
      </c>
      <c r="BD56" s="122">
        <f t="shared" si="28"/>
        <v>0.38300000000000001</v>
      </c>
      <c r="BE56" s="122">
        <f t="shared" si="28"/>
        <v>0.38800000000000001</v>
      </c>
      <c r="BF56" s="122">
        <f t="shared" si="28"/>
        <v>0.36199999999999999</v>
      </c>
      <c r="BG56" s="122">
        <f t="shared" si="28"/>
        <v>0.40300000000000002</v>
      </c>
      <c r="BH56" s="122">
        <f t="shared" si="28"/>
        <v>0.38600000000000001</v>
      </c>
      <c r="BI56" s="122">
        <f t="shared" si="28"/>
        <v>0.41</v>
      </c>
      <c r="BJ56" s="122">
        <f t="shared" si="28"/>
        <v>0.36899999999999999</v>
      </c>
      <c r="BK56" s="122">
        <f t="shared" si="28"/>
        <v>0.40100000000000002</v>
      </c>
      <c r="BL56" s="122">
        <f t="shared" si="28"/>
        <v>0.39100000000000001</v>
      </c>
      <c r="BM56" s="122">
        <f t="shared" si="28"/>
        <v>0.40600000000000003</v>
      </c>
      <c r="BN56" s="122">
        <f t="shared" si="28"/>
        <v>0.41299999999999998</v>
      </c>
      <c r="BO56" s="122">
        <f t="shared" si="28"/>
        <v>0.29199999999999998</v>
      </c>
      <c r="BP56" s="122">
        <f t="shared" si="28"/>
        <v>0.41599999999999998</v>
      </c>
      <c r="BQ56" s="122">
        <f t="shared" ref="BQ56:CT56" si="29">BQ55*($D$3-1)</f>
        <v>0.40400000000000003</v>
      </c>
      <c r="BR56" s="122">
        <f t="shared" si="29"/>
        <v>0.33600000000000002</v>
      </c>
      <c r="BS56" s="122">
        <f t="shared" si="29"/>
        <v>0.34200000000000003</v>
      </c>
      <c r="BT56" s="122">
        <f t="shared" si="29"/>
        <v>0.41399999999999998</v>
      </c>
      <c r="BU56" s="122">
        <f t="shared" si="29"/>
        <v>0.32700000000000001</v>
      </c>
      <c r="BV56" s="122">
        <f t="shared" si="29"/>
        <v>0.374</v>
      </c>
      <c r="BW56" s="122">
        <f t="shared" si="29"/>
        <v>0.27800000000000002</v>
      </c>
      <c r="BX56" s="122">
        <f t="shared" si="29"/>
        <v>0.36599999999999999</v>
      </c>
      <c r="BY56" s="122">
        <f t="shared" si="29"/>
        <v>0.377</v>
      </c>
      <c r="BZ56" s="122">
        <f t="shared" si="29"/>
        <v>0.35499999999999998</v>
      </c>
      <c r="CA56" s="122">
        <f t="shared" si="29"/>
        <v>0.36899999999999999</v>
      </c>
      <c r="CB56" s="122">
        <f t="shared" si="29"/>
        <v>0.373</v>
      </c>
      <c r="CC56" s="122">
        <f t="shared" si="29"/>
        <v>0.35</v>
      </c>
      <c r="CD56" s="122">
        <f t="shared" si="29"/>
        <v>0.35899999999999999</v>
      </c>
      <c r="CE56" s="122">
        <f t="shared" si="29"/>
        <v>0.11799999999999999</v>
      </c>
      <c r="CF56" s="122">
        <f t="shared" si="29"/>
        <v>0.41399999999999998</v>
      </c>
      <c r="CG56" s="122">
        <f t="shared" si="29"/>
        <v>0.31900000000000001</v>
      </c>
      <c r="CH56" s="122">
        <f t="shared" si="29"/>
        <v>0.317</v>
      </c>
      <c r="CI56" s="122">
        <f t="shared" si="29"/>
        <v>0.38900000000000001</v>
      </c>
      <c r="CJ56" s="122">
        <f t="shared" si="29"/>
        <v>0.40699999999999997</v>
      </c>
      <c r="CK56" s="122">
        <f t="shared" si="29"/>
        <v>0.41199999999999998</v>
      </c>
      <c r="CL56" s="122">
        <f t="shared" si="29"/>
        <v>0.41599999999999998</v>
      </c>
      <c r="CM56" s="122">
        <f t="shared" si="29"/>
        <v>0.39900000000000002</v>
      </c>
      <c r="CN56" s="122">
        <f t="shared" si="29"/>
        <v>7.9000000000000001E-2</v>
      </c>
      <c r="CO56" s="122">
        <f t="shared" si="29"/>
        <v>0.28799999999999998</v>
      </c>
      <c r="CP56" s="122">
        <f t="shared" si="29"/>
        <v>0.29799999999999999</v>
      </c>
      <c r="CQ56" s="122">
        <f t="shared" si="29"/>
        <v>0.29799999999999999</v>
      </c>
      <c r="CR56" s="122">
        <f t="shared" si="29"/>
        <v>0.29299999999999998</v>
      </c>
      <c r="CS56" s="122">
        <f t="shared" si="29"/>
        <v>0.29799999999999999</v>
      </c>
      <c r="CT56" s="122">
        <f t="shared" si="29"/>
        <v>0.27400000000000002</v>
      </c>
    </row>
    <row r="57" spans="1:98" ht="18.75">
      <c r="A57" s="131"/>
      <c r="B57" s="132"/>
      <c r="C57" s="132"/>
      <c r="D57" s="122">
        <f>D56*0.2+D55*0.2</f>
        <v>0.498</v>
      </c>
      <c r="E57" s="122">
        <f t="shared" ref="E57:BP57" si="30">E56*0.2+E55*0.2</f>
        <v>0.48799999999999999</v>
      </c>
      <c r="F57" s="122">
        <f t="shared" si="30"/>
        <v>0.52700000000000002</v>
      </c>
      <c r="G57" s="122">
        <f t="shared" si="30"/>
        <v>0.58899999999999997</v>
      </c>
      <c r="H57" s="122">
        <f t="shared" si="30"/>
        <v>0.48499999999999999</v>
      </c>
      <c r="I57" s="122">
        <f t="shared" si="30"/>
        <v>0.56899999999999995</v>
      </c>
      <c r="J57" s="122">
        <f t="shared" si="30"/>
        <v>0.42799999999999999</v>
      </c>
      <c r="K57" s="122">
        <f t="shared" si="30"/>
        <v>0.58499999999999996</v>
      </c>
      <c r="L57" s="122">
        <f t="shared" si="30"/>
        <v>0.56999999999999995</v>
      </c>
      <c r="M57" s="122">
        <f t="shared" si="30"/>
        <v>0.53800000000000003</v>
      </c>
      <c r="N57" s="122">
        <f t="shared" si="30"/>
        <v>0.55500000000000005</v>
      </c>
      <c r="O57" s="122">
        <f t="shared" si="30"/>
        <v>0.48499999999999999</v>
      </c>
      <c r="P57" s="122">
        <f t="shared" si="30"/>
        <v>0.57599999999999996</v>
      </c>
      <c r="Q57" s="122">
        <f t="shared" si="30"/>
        <v>0.47399999999999998</v>
      </c>
      <c r="R57" s="122">
        <f t="shared" si="30"/>
        <v>0.51600000000000001</v>
      </c>
      <c r="S57" s="122">
        <f t="shared" si="30"/>
        <v>0.55900000000000005</v>
      </c>
      <c r="T57" s="122">
        <f t="shared" si="30"/>
        <v>0.53900000000000003</v>
      </c>
      <c r="U57" s="122">
        <f t="shared" si="30"/>
        <v>0.55900000000000005</v>
      </c>
      <c r="V57" s="122">
        <f t="shared" si="30"/>
        <v>0.54800000000000004</v>
      </c>
      <c r="W57" s="122">
        <f t="shared" si="30"/>
        <v>0.52900000000000003</v>
      </c>
      <c r="X57" s="122">
        <f t="shared" si="30"/>
        <v>0.54700000000000004</v>
      </c>
      <c r="Y57" s="122">
        <f t="shared" si="30"/>
        <v>0.54200000000000004</v>
      </c>
      <c r="Z57" s="122">
        <f t="shared" si="30"/>
        <v>0.503</v>
      </c>
      <c r="AA57" s="122">
        <f t="shared" si="30"/>
        <v>0.49399999999999999</v>
      </c>
      <c r="AB57" s="122">
        <f t="shared" si="30"/>
        <v>0.48299999999999998</v>
      </c>
      <c r="AC57" s="122">
        <f t="shared" si="30"/>
        <v>0.504</v>
      </c>
      <c r="AD57" s="122">
        <f t="shared" si="30"/>
        <v>0.19400000000000001</v>
      </c>
      <c r="AE57" s="122">
        <f t="shared" si="30"/>
        <v>0.10100000000000001</v>
      </c>
      <c r="AF57" s="122">
        <f t="shared" si="30"/>
        <v>0.105</v>
      </c>
      <c r="AG57" s="122">
        <f t="shared" si="30"/>
        <v>0.10299999999999999</v>
      </c>
      <c r="AH57" s="122">
        <f t="shared" si="30"/>
        <v>0.40600000000000003</v>
      </c>
      <c r="AI57" s="122">
        <f t="shared" si="30"/>
        <v>0.439</v>
      </c>
      <c r="AJ57" s="122">
        <f t="shared" si="30"/>
        <v>0.39800000000000002</v>
      </c>
      <c r="AK57" s="122">
        <f t="shared" si="30"/>
        <v>0.40799999999999997</v>
      </c>
      <c r="AL57" s="122">
        <f t="shared" si="30"/>
        <v>0.46800000000000003</v>
      </c>
      <c r="AM57" s="122">
        <f t="shared" si="30"/>
        <v>9.0999999999999998E-2</v>
      </c>
      <c r="AN57" s="122">
        <f t="shared" si="30"/>
        <v>0.499</v>
      </c>
      <c r="AO57" s="122">
        <f t="shared" si="30"/>
        <v>0.55300000000000005</v>
      </c>
      <c r="AP57" s="122">
        <f t="shared" si="30"/>
        <v>0.46899999999999997</v>
      </c>
      <c r="AQ57" s="122">
        <f t="shared" si="30"/>
        <v>0.11700000000000001</v>
      </c>
      <c r="AR57" s="122">
        <f t="shared" si="30"/>
        <v>0.09</v>
      </c>
      <c r="AS57" s="122">
        <f t="shared" si="30"/>
        <v>0.49299999999999999</v>
      </c>
      <c r="AT57" s="122">
        <f t="shared" si="30"/>
        <v>0.36699999999999999</v>
      </c>
      <c r="AU57" s="122">
        <f t="shared" si="30"/>
        <v>0.35199999999999998</v>
      </c>
      <c r="AV57" s="122">
        <f t="shared" si="30"/>
        <v>0.36699999999999999</v>
      </c>
      <c r="AW57" s="122">
        <f t="shared" si="30"/>
        <v>0.47899999999999998</v>
      </c>
      <c r="AX57" s="122">
        <f t="shared" si="30"/>
        <v>0.51200000000000001</v>
      </c>
      <c r="AY57" s="122">
        <f t="shared" si="30"/>
        <v>0.36899999999999999</v>
      </c>
      <c r="AZ57" s="122">
        <f t="shared" si="30"/>
        <v>0.52800000000000002</v>
      </c>
      <c r="BA57" s="122">
        <f t="shared" si="30"/>
        <v>0.54900000000000004</v>
      </c>
      <c r="BB57" s="122">
        <f t="shared" si="30"/>
        <v>0.52700000000000002</v>
      </c>
      <c r="BC57" s="122">
        <f t="shared" si="30"/>
        <v>0.47199999999999998</v>
      </c>
      <c r="BD57" s="122">
        <f t="shared" si="30"/>
        <v>0.52800000000000002</v>
      </c>
      <c r="BE57" s="122">
        <f t="shared" si="30"/>
        <v>0.53400000000000003</v>
      </c>
      <c r="BF57" s="122">
        <f t="shared" si="30"/>
        <v>0.498</v>
      </c>
      <c r="BG57" s="122">
        <f t="shared" si="30"/>
        <v>0.55500000000000005</v>
      </c>
      <c r="BH57" s="122">
        <f t="shared" si="30"/>
        <v>0.53100000000000003</v>
      </c>
      <c r="BI57" s="122">
        <f t="shared" si="30"/>
        <v>0.56499999999999995</v>
      </c>
      <c r="BJ57" s="122">
        <f t="shared" si="30"/>
        <v>0.50800000000000001</v>
      </c>
      <c r="BK57" s="122">
        <f t="shared" si="30"/>
        <v>0.55200000000000005</v>
      </c>
      <c r="BL57" s="122">
        <f t="shared" si="30"/>
        <v>0.53800000000000003</v>
      </c>
      <c r="BM57" s="122">
        <f t="shared" si="30"/>
        <v>0.55900000000000005</v>
      </c>
      <c r="BN57" s="122">
        <f t="shared" si="30"/>
        <v>0.56899999999999995</v>
      </c>
      <c r="BO57" s="122">
        <f t="shared" si="30"/>
        <v>0.40200000000000002</v>
      </c>
      <c r="BP57" s="122">
        <f t="shared" si="30"/>
        <v>0.57299999999999995</v>
      </c>
      <c r="BQ57" s="122">
        <f t="shared" ref="BQ57:CT57" si="31">BQ56*0.2+BQ55*0.2</f>
        <v>0.55600000000000005</v>
      </c>
      <c r="BR57" s="122">
        <f t="shared" si="31"/>
        <v>0.46300000000000002</v>
      </c>
      <c r="BS57" s="122">
        <f t="shared" si="31"/>
        <v>0.47099999999999997</v>
      </c>
      <c r="BT57" s="122">
        <f t="shared" si="31"/>
        <v>0.56999999999999995</v>
      </c>
      <c r="BU57" s="122">
        <f t="shared" si="31"/>
        <v>0.45</v>
      </c>
      <c r="BV57" s="122">
        <f t="shared" si="31"/>
        <v>0.51500000000000001</v>
      </c>
      <c r="BW57" s="122">
        <f t="shared" si="31"/>
        <v>0.38200000000000001</v>
      </c>
      <c r="BX57" s="122">
        <f t="shared" si="31"/>
        <v>0.504</v>
      </c>
      <c r="BY57" s="122">
        <f t="shared" si="31"/>
        <v>0.51900000000000002</v>
      </c>
      <c r="BZ57" s="122">
        <f t="shared" si="31"/>
        <v>0.48899999999999999</v>
      </c>
      <c r="CA57" s="122">
        <f t="shared" si="31"/>
        <v>0.50800000000000001</v>
      </c>
      <c r="CB57" s="122">
        <f t="shared" si="31"/>
        <v>0.51300000000000001</v>
      </c>
      <c r="CC57" s="122">
        <f t="shared" si="31"/>
        <v>0.48199999999999998</v>
      </c>
      <c r="CD57" s="122">
        <f t="shared" si="31"/>
        <v>0.49399999999999999</v>
      </c>
      <c r="CE57" s="122">
        <f t="shared" si="31"/>
        <v>0.16300000000000001</v>
      </c>
      <c r="CF57" s="122">
        <f t="shared" si="31"/>
        <v>0.56999999999999995</v>
      </c>
      <c r="CG57" s="122">
        <f t="shared" si="31"/>
        <v>0.439</v>
      </c>
      <c r="CH57" s="122">
        <f t="shared" si="31"/>
        <v>0.436</v>
      </c>
      <c r="CI57" s="122">
        <f t="shared" si="31"/>
        <v>0.53600000000000003</v>
      </c>
      <c r="CJ57" s="122">
        <f t="shared" si="31"/>
        <v>0.56100000000000005</v>
      </c>
      <c r="CK57" s="122">
        <f t="shared" si="31"/>
        <v>0.56699999999999995</v>
      </c>
      <c r="CL57" s="122">
        <f t="shared" si="31"/>
        <v>0.57199999999999995</v>
      </c>
      <c r="CM57" s="122">
        <f t="shared" si="31"/>
        <v>0.54900000000000004</v>
      </c>
      <c r="CN57" s="122">
        <f t="shared" si="31"/>
        <v>0.108</v>
      </c>
      <c r="CO57" s="122">
        <f t="shared" si="31"/>
        <v>0.39700000000000002</v>
      </c>
      <c r="CP57" s="122">
        <f t="shared" si="31"/>
        <v>0.41</v>
      </c>
      <c r="CQ57" s="122">
        <f t="shared" si="31"/>
        <v>0.41</v>
      </c>
      <c r="CR57" s="122">
        <f t="shared" si="31"/>
        <v>0.40300000000000002</v>
      </c>
      <c r="CS57" s="122">
        <f t="shared" si="31"/>
        <v>0.41</v>
      </c>
      <c r="CT57" s="122">
        <f t="shared" si="31"/>
        <v>0.377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0" baseType="lpstr">
      <vt:lpstr>пров. Д. Самоквасова-6</vt:lpstr>
      <vt:lpstr>пров. Д. Самоквасова-5</vt:lpstr>
      <vt:lpstr>пров. Д. Самоквасова-4</vt:lpstr>
      <vt:lpstr>пров. Д. Самоквасова-3</vt:lpstr>
      <vt:lpstr>пров. Д. Самоквасова-2</vt:lpstr>
      <vt:lpstr>пров. Д. Самоквасова-1</vt:lpstr>
      <vt:lpstr>пр.Попова-12</vt:lpstr>
      <vt:lpstr>вул. Чудінова-5</vt:lpstr>
      <vt:lpstr>вул. Чудінова-4</vt:lpstr>
      <vt:lpstr>вул. Чудінова-3</vt:lpstr>
      <vt:lpstr>вул. Чудінова-2</vt:lpstr>
      <vt:lpstr>вул. Чудінова-1</vt:lpstr>
      <vt:lpstr>вул. Цiолковського-4</vt:lpstr>
      <vt:lpstr>вул. Цiолковського-2</vt:lpstr>
      <vt:lpstr>вул. Цiолковського-12</vt:lpstr>
      <vt:lpstr>вул. Цiолковського-11</vt:lpstr>
      <vt:lpstr>вул. Харківська-12</vt:lpstr>
      <vt:lpstr>вул. Харківська-10</vt:lpstr>
      <vt:lpstr>вул. Харківська-8</vt:lpstr>
      <vt:lpstr>вул. Харківська-6</vt:lpstr>
      <vt:lpstr>вул. Харківська-2</vt:lpstr>
      <vt:lpstr>вул. Текстильникiв-9а</vt:lpstr>
      <vt:lpstr>вул. Текстильникiв-9</vt:lpstr>
      <vt:lpstr>вул. Текстильникiв-8</vt:lpstr>
      <vt:lpstr>вул. Текстильникiв-6</vt:lpstr>
      <vt:lpstr>вул. Текстильникiв-41</vt:lpstr>
      <vt:lpstr>вул. Текстильникiв-4</vt:lpstr>
      <vt:lpstr>вул. Текстильникiв-39</vt:lpstr>
      <vt:lpstr>вул. Текстильникiв-34</vt:lpstr>
      <vt:lpstr>вул. Текстильникiв-33</vt:lpstr>
      <vt:lpstr>вул. Текстильникiв-31</vt:lpstr>
      <vt:lpstr>вул. Текстильникiв-3</vt:lpstr>
      <vt:lpstr>вул. Текстильникiв-25а</vt:lpstr>
      <vt:lpstr>вул. Текстильникiв-24а</vt:lpstr>
      <vt:lpstr>вул. Текстильникiв-24</vt:lpstr>
      <vt:lpstr>вул. Текстильникiв-23</vt:lpstr>
      <vt:lpstr>вул. Текстильникiв-22</vt:lpstr>
      <vt:lpstr>вул. Текстильникiв-21</vt:lpstr>
      <vt:lpstr>вул. Текстильникiв-20</vt:lpstr>
      <vt:lpstr>вул. Текстильникiв-19</vt:lpstr>
      <vt:lpstr>вул. Текстильникiв-18</vt:lpstr>
      <vt:lpstr>вул. Текстильникiв-17-43</vt:lpstr>
      <vt:lpstr>вул. Текстильникiв-16</vt:lpstr>
      <vt:lpstr>вул. Текстильникiв-15-A</vt:lpstr>
      <vt:lpstr>вул. Текстильникiв-15</vt:lpstr>
      <vt:lpstr>вул. Текстильникiв-14</vt:lpstr>
      <vt:lpstr>вул. Текстильникiв-13</vt:lpstr>
      <vt:lpstr>вул. Текстильникiв-12</vt:lpstr>
      <vt:lpstr>вул. Текстильникiв-11б</vt:lpstr>
      <vt:lpstr>вул. Текстильникiв-11а</vt:lpstr>
      <vt:lpstr>вул. Попова-31в</vt:lpstr>
      <vt:lpstr>вул. Попова-31б</vt:lpstr>
      <vt:lpstr>вул. Попова-31а</vt:lpstr>
      <vt:lpstr>вул. Попова-29а</vt:lpstr>
      <vt:lpstr>вул. Попова-19-2</vt:lpstr>
      <vt:lpstr>вул. Попова-16</vt:lpstr>
      <vt:lpstr>вул. Попова-29</vt:lpstr>
      <vt:lpstr>вул. Попова-13</vt:lpstr>
      <vt:lpstr>вул. Попова-11</vt:lpstr>
      <vt:lpstr>вул. Попова-10</vt:lpstr>
      <vt:lpstr>вул. Івана Мазепи-78а</vt:lpstr>
      <vt:lpstr>вул. Івана Мазепи-72а</vt:lpstr>
      <vt:lpstr>вул. Івана Мазепи-68б</vt:lpstr>
      <vt:lpstr>вул. Івана Мазепи-68а</vt:lpstr>
      <vt:lpstr>вул. Івана Мазепи-68</vt:lpstr>
      <vt:lpstr>вул. Заньковецької-64</vt:lpstr>
      <vt:lpstr>вул. Заньковецької-62</vt:lpstr>
      <vt:lpstr>вул. Заньковецької-60</vt:lpstr>
      <vt:lpstr>вул. Заньковецької-43</vt:lpstr>
      <vt:lpstr>вул. Заньковецької-30</vt:lpstr>
      <vt:lpstr>вул. Заньковецької-28</vt:lpstr>
      <vt:lpstr>вул. Дніпровська-35</vt:lpstr>
      <vt:lpstr>вул. Дніпровська-31</vt:lpstr>
      <vt:lpstr>вул. Дніпровська-4 </vt:lpstr>
      <vt:lpstr>вул. Дніпровська-10 </vt:lpstr>
      <vt:lpstr>вул. Дніпровська-6</vt:lpstr>
      <vt:lpstr>вул. Дніпровська-2</vt:lpstr>
      <vt:lpstr>вул.Д.Самоквасова-9</vt:lpstr>
      <vt:lpstr>вул.Д.Самоквасова-7а</vt:lpstr>
      <vt:lpstr>вул.Д.Самоквасова-7</vt:lpstr>
      <vt:lpstr>вул.Д.Самоквасова-6а</vt:lpstr>
      <vt:lpstr>вул.Д.Самоквасова-6</vt:lpstr>
      <vt:lpstr>вул.Д.Самоквасова-5</vt:lpstr>
      <vt:lpstr>вул.Д.Самоквасова-3</vt:lpstr>
      <vt:lpstr>вул.Д.Самоквасова-23</vt:lpstr>
      <vt:lpstr>вул.Д.Самоквасова-21</vt:lpstr>
      <vt:lpstr>вул.Д.Самоквасова-19</vt:lpstr>
      <vt:lpstr>вул.Д.Самоквасова-18</vt:lpstr>
      <vt:lpstr>вул.Д.Самоквасова-17</vt:lpstr>
      <vt:lpstr>вул.Д.Самоквасова-16</vt:lpstr>
      <vt:lpstr>вул.Д.Самоквасова-15</vt:lpstr>
      <vt:lpstr>вул. Д. Самоквасова-13</vt:lpstr>
      <vt:lpstr>вул. Д. Самоквасова-11</vt:lpstr>
      <vt:lpstr>вул.Д.Самоквасова-10</vt:lpstr>
      <vt:lpstr>вул.Д.Самоквасова-1</vt:lpstr>
      <vt:lpstr>17% Управителю (З ПДВ)</vt:lpstr>
      <vt:lpstr>Управителю (Форма)</vt:lpstr>
      <vt:lpstr>Лист1</vt:lpstr>
      <vt:lpstr>новыйй</vt:lpstr>
      <vt:lpstr>'Управителю (Форма)'!Заголовки_для_печати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cp:lastPrinted>2017-07-07T13:22:37Z</cp:lastPrinted>
  <dcterms:created xsi:type="dcterms:W3CDTF">2016-11-17T12:21:19Z</dcterms:created>
  <dcterms:modified xsi:type="dcterms:W3CDTF">2017-07-07T13:23:34Z</dcterms:modified>
</cp:coreProperties>
</file>