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Администратор\ПЛАНОВИЙ\0 Тариф з 01.05.2026\На сайт ЧМР від 31.03.2026 року\"/>
    </mc:Choice>
  </mc:AlternateContent>
  <xr:revisionPtr revIDLastSave="0" documentId="13_ncr:1_{FBC1FE4D-A82B-4AE7-A52F-51801ECDA120}" xr6:coauthVersionLast="44" xr6:coauthVersionMax="44" xr10:uidLastSave="{00000000-0000-0000-0000-000000000000}"/>
  <bookViews>
    <workbookView xWindow="288" yWindow="0" windowWidth="22752" windowHeight="12360" activeTab="1" xr2:uid="{00000000-000D-0000-FFFF-FFFF00000000}"/>
  </bookViews>
  <sheets>
    <sheet name="кошт буд. без ліфтів " sheetId="5" r:id="rId1"/>
    <sheet name="кошториси буд. з ліфтами" sheetId="3" r:id="rId2"/>
    <sheet name="відом з 01.05.26 поверх" sheetId="10" state="veryHidden" r:id="rId3"/>
    <sheet name="відом з 01.05.26 алф" sheetId="4" state="veryHidden" r:id="rId4"/>
    <sheet name="із своду 2026" sheetId="9" state="veryHidden" r:id="rId5"/>
  </sheets>
  <externalReferences>
    <externalReference r:id="rId6"/>
  </externalReferences>
  <definedNames>
    <definedName name="_xlnm._FilterDatabase" localSheetId="3" hidden="1">'відом з 01.05.26 алф'!$B$7:$BI$238</definedName>
    <definedName name="_xlnm._FilterDatabase" localSheetId="2" hidden="1">'відом з 01.05.26 поверх'!$B$7:$BI$238</definedName>
    <definedName name="_xlnm.Print_Area" localSheetId="0">'кошт буд. без ліфтів '!$B$1:$G$71</definedName>
    <definedName name="_xlnm.Print_Area" localSheetId="1">'кошториси буд. з ліфтами'!$A$1:$H$69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2" i="5" l="1"/>
  <c r="F62" i="5"/>
  <c r="H61" i="3"/>
  <c r="E61" i="3"/>
  <c r="F61" i="3"/>
  <c r="G61" i="3"/>
  <c r="G50" i="3"/>
  <c r="A10" i="3" l="1"/>
  <c r="A9" i="3"/>
  <c r="G56" i="3"/>
  <c r="G55" i="3"/>
  <c r="G54" i="3"/>
  <c r="G52" i="3"/>
  <c r="G51" i="3"/>
  <c r="G49" i="3"/>
  <c r="G48" i="3"/>
  <c r="G46" i="3"/>
  <c r="G45" i="3"/>
  <c r="G44" i="3"/>
  <c r="G43" i="3"/>
  <c r="G42" i="3"/>
  <c r="G41" i="3"/>
  <c r="G40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H21" i="3"/>
  <c r="G21" i="3"/>
  <c r="E21" i="3"/>
  <c r="F21" i="3"/>
  <c r="G10" i="3"/>
  <c r="B10" i="5"/>
  <c r="B9" i="5"/>
  <c r="G22" i="5"/>
  <c r="F22" i="5"/>
  <c r="F57" i="5"/>
  <c r="F56" i="5"/>
  <c r="F55" i="5"/>
  <c r="F53" i="5"/>
  <c r="F52" i="5"/>
  <c r="F51" i="5"/>
  <c r="F50" i="5"/>
  <c r="F49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10" i="5"/>
  <c r="BI47" i="10" l="1"/>
  <c r="BH47" i="10"/>
  <c r="BG47" i="10"/>
  <c r="BE47" i="10"/>
  <c r="BD47" i="10"/>
  <c r="BC47" i="10"/>
  <c r="BI229" i="10"/>
  <c r="BH229" i="10"/>
  <c r="BG229" i="10"/>
  <c r="BE229" i="10"/>
  <c r="BD229" i="10"/>
  <c r="BC229" i="10"/>
  <c r="BI228" i="10"/>
  <c r="BH228" i="10"/>
  <c r="BG228" i="10"/>
  <c r="BE228" i="10"/>
  <c r="BD228" i="10"/>
  <c r="BC228" i="10"/>
  <c r="BI37" i="10"/>
  <c r="BH37" i="10"/>
  <c r="BG37" i="10"/>
  <c r="BE37" i="10"/>
  <c r="BD37" i="10"/>
  <c r="BC37" i="10"/>
  <c r="BI234" i="10"/>
  <c r="BH234" i="10"/>
  <c r="BG234" i="10"/>
  <c r="BE234" i="10"/>
  <c r="BD234" i="10"/>
  <c r="BC234" i="10"/>
  <c r="BI233" i="10"/>
  <c r="BH233" i="10"/>
  <c r="BG233" i="10"/>
  <c r="BE233" i="10"/>
  <c r="BD233" i="10"/>
  <c r="BC233" i="10"/>
  <c r="BI232" i="10"/>
  <c r="BH232" i="10"/>
  <c r="BG232" i="10"/>
  <c r="BE232" i="10"/>
  <c r="BD232" i="10"/>
  <c r="BC232" i="10"/>
  <c r="BI227" i="10"/>
  <c r="BH227" i="10"/>
  <c r="BG227" i="10"/>
  <c r="BE227" i="10"/>
  <c r="BD227" i="10"/>
  <c r="BC227" i="10"/>
  <c r="BI161" i="10"/>
  <c r="BH161" i="10"/>
  <c r="BG161" i="10"/>
  <c r="BE161" i="10"/>
  <c r="BD161" i="10"/>
  <c r="BC161" i="10"/>
  <c r="BI226" i="10"/>
  <c r="BH226" i="10"/>
  <c r="BG226" i="10"/>
  <c r="BE226" i="10"/>
  <c r="BD226" i="10"/>
  <c r="BC226" i="10"/>
  <c r="BI225" i="10"/>
  <c r="BH225" i="10"/>
  <c r="BG225" i="10"/>
  <c r="BE225" i="10"/>
  <c r="BD225" i="10"/>
  <c r="BC225" i="10"/>
  <c r="BI160" i="10"/>
  <c r="BH160" i="10"/>
  <c r="BG160" i="10"/>
  <c r="BE160" i="10"/>
  <c r="BD160" i="10"/>
  <c r="BC160" i="10"/>
  <c r="BI159" i="10"/>
  <c r="BH159" i="10"/>
  <c r="BG159" i="10"/>
  <c r="BE159" i="10"/>
  <c r="BD159" i="10"/>
  <c r="BC159" i="10"/>
  <c r="BI224" i="10"/>
  <c r="BH224" i="10"/>
  <c r="BG224" i="10"/>
  <c r="BE224" i="10"/>
  <c r="BD224" i="10"/>
  <c r="BC224" i="10"/>
  <c r="BI158" i="10"/>
  <c r="BH158" i="10"/>
  <c r="BG158" i="10"/>
  <c r="BE158" i="10"/>
  <c r="BD158" i="10"/>
  <c r="BC158" i="10"/>
  <c r="BI157" i="10"/>
  <c r="BH157" i="10"/>
  <c r="BG157" i="10"/>
  <c r="BE157" i="10"/>
  <c r="BD157" i="10"/>
  <c r="BC157" i="10"/>
  <c r="BI156" i="10"/>
  <c r="BH156" i="10"/>
  <c r="BG156" i="10"/>
  <c r="BE156" i="10"/>
  <c r="BD156" i="10"/>
  <c r="BC156" i="10"/>
  <c r="BI155" i="10"/>
  <c r="BH155" i="10"/>
  <c r="BG155" i="10"/>
  <c r="BE155" i="10"/>
  <c r="BD155" i="10"/>
  <c r="BC155" i="10"/>
  <c r="BI223" i="10"/>
  <c r="BH223" i="10"/>
  <c r="BG223" i="10"/>
  <c r="BE223" i="10"/>
  <c r="BD223" i="10"/>
  <c r="BC223" i="10"/>
  <c r="BI154" i="10"/>
  <c r="BH154" i="10"/>
  <c r="BG154" i="10"/>
  <c r="BE154" i="10"/>
  <c r="BD154" i="10"/>
  <c r="BC154" i="10"/>
  <c r="BI153" i="10"/>
  <c r="BH153" i="10"/>
  <c r="BG153" i="10"/>
  <c r="BE153" i="10"/>
  <c r="BD153" i="10"/>
  <c r="BC153" i="10"/>
  <c r="BI152" i="10"/>
  <c r="BH152" i="10"/>
  <c r="BG152" i="10"/>
  <c r="BE152" i="10"/>
  <c r="BD152" i="10"/>
  <c r="BC152" i="10"/>
  <c r="BI151" i="10"/>
  <c r="BH151" i="10"/>
  <c r="BG151" i="10"/>
  <c r="BE151" i="10"/>
  <c r="BD151" i="10"/>
  <c r="BC151" i="10"/>
  <c r="BI150" i="10"/>
  <c r="BH150" i="10"/>
  <c r="BG150" i="10"/>
  <c r="BE150" i="10"/>
  <c r="BD150" i="10"/>
  <c r="BC150" i="10"/>
  <c r="BI222" i="10"/>
  <c r="BH222" i="10"/>
  <c r="BG222" i="10"/>
  <c r="BE222" i="10"/>
  <c r="BD222" i="10"/>
  <c r="BC222" i="10"/>
  <c r="BI238" i="10"/>
  <c r="BH238" i="10"/>
  <c r="BG238" i="10"/>
  <c r="BE238" i="10"/>
  <c r="BD238" i="10"/>
  <c r="BC238" i="10"/>
  <c r="BI149" i="10"/>
  <c r="BH149" i="10"/>
  <c r="BG149" i="10"/>
  <c r="BE149" i="10"/>
  <c r="BD149" i="10"/>
  <c r="BC149" i="10"/>
  <c r="BI148" i="10"/>
  <c r="BH148" i="10"/>
  <c r="BG148" i="10"/>
  <c r="BE148" i="10"/>
  <c r="BD148" i="10"/>
  <c r="BC148" i="10"/>
  <c r="BI147" i="10"/>
  <c r="BH147" i="10"/>
  <c r="BG147" i="10"/>
  <c r="BE147" i="10"/>
  <c r="BD147" i="10"/>
  <c r="BC147" i="10"/>
  <c r="BI146" i="10"/>
  <c r="BH146" i="10"/>
  <c r="BG146" i="10"/>
  <c r="BE146" i="10"/>
  <c r="BD146" i="10"/>
  <c r="BC146" i="10"/>
  <c r="BI145" i="10"/>
  <c r="BH145" i="10"/>
  <c r="BG145" i="10"/>
  <c r="BE145" i="10"/>
  <c r="BD145" i="10"/>
  <c r="BC145" i="10"/>
  <c r="BI144" i="10"/>
  <c r="BH144" i="10"/>
  <c r="BG144" i="10"/>
  <c r="BE144" i="10"/>
  <c r="BD144" i="10"/>
  <c r="BC144" i="10"/>
  <c r="BI143" i="10"/>
  <c r="BH143" i="10"/>
  <c r="BG143" i="10"/>
  <c r="BE143" i="10"/>
  <c r="BD143" i="10"/>
  <c r="BC143" i="10"/>
  <c r="BI221" i="10"/>
  <c r="BH221" i="10"/>
  <c r="BG221" i="10"/>
  <c r="BE221" i="10"/>
  <c r="BD221" i="10"/>
  <c r="BC221" i="10"/>
  <c r="BI220" i="10"/>
  <c r="BH220" i="10"/>
  <c r="BG220" i="10"/>
  <c r="BE220" i="10"/>
  <c r="BD220" i="10"/>
  <c r="BC220" i="10"/>
  <c r="BI142" i="10"/>
  <c r="BH142" i="10"/>
  <c r="BG142" i="10"/>
  <c r="BE142" i="10"/>
  <c r="BD142" i="10"/>
  <c r="BC142" i="10"/>
  <c r="BI141" i="10"/>
  <c r="BH141" i="10"/>
  <c r="BG141" i="10"/>
  <c r="BE141" i="10"/>
  <c r="BD141" i="10"/>
  <c r="BC141" i="10"/>
  <c r="BI140" i="10"/>
  <c r="BH140" i="10"/>
  <c r="BG140" i="10"/>
  <c r="BE140" i="10"/>
  <c r="BD140" i="10"/>
  <c r="BC140" i="10"/>
  <c r="BI219" i="10"/>
  <c r="BH219" i="10"/>
  <c r="BG219" i="10"/>
  <c r="BE219" i="10"/>
  <c r="BD219" i="10"/>
  <c r="BC219" i="10"/>
  <c r="BI10" i="10"/>
  <c r="BH10" i="10"/>
  <c r="BG10" i="10"/>
  <c r="BE10" i="10"/>
  <c r="BD10" i="10"/>
  <c r="BC10" i="10"/>
  <c r="BI36" i="10"/>
  <c r="BH36" i="10"/>
  <c r="BG36" i="10"/>
  <c r="BE36" i="10"/>
  <c r="BD36" i="10"/>
  <c r="BC36" i="10"/>
  <c r="BI35" i="10"/>
  <c r="BH35" i="10"/>
  <c r="BG35" i="10"/>
  <c r="BE35" i="10"/>
  <c r="BD35" i="10"/>
  <c r="BC35" i="10"/>
  <c r="BI34" i="10"/>
  <c r="BH34" i="10"/>
  <c r="BG34" i="10"/>
  <c r="BE34" i="10"/>
  <c r="BD34" i="10"/>
  <c r="BC34" i="10"/>
  <c r="BI33" i="10"/>
  <c r="BH33" i="10"/>
  <c r="BG33" i="10"/>
  <c r="BE33" i="10"/>
  <c r="BD33" i="10"/>
  <c r="BC33" i="10"/>
  <c r="BI139" i="10"/>
  <c r="BH139" i="10"/>
  <c r="BG139" i="10"/>
  <c r="BE139" i="10"/>
  <c r="BD139" i="10"/>
  <c r="BC139" i="10"/>
  <c r="BI138" i="10"/>
  <c r="BH138" i="10"/>
  <c r="BG138" i="10"/>
  <c r="BE138" i="10"/>
  <c r="BD138" i="10"/>
  <c r="BC138" i="10"/>
  <c r="BI32" i="10"/>
  <c r="BH32" i="10"/>
  <c r="BG32" i="10"/>
  <c r="BE32" i="10"/>
  <c r="BD32" i="10"/>
  <c r="BC32" i="10"/>
  <c r="BI46" i="10"/>
  <c r="BH46" i="10"/>
  <c r="BG46" i="10"/>
  <c r="BE46" i="10"/>
  <c r="BD46" i="10"/>
  <c r="BC46" i="10"/>
  <c r="BI137" i="10"/>
  <c r="BH137" i="10"/>
  <c r="BG137" i="10"/>
  <c r="BE137" i="10"/>
  <c r="BD137" i="10"/>
  <c r="BC137" i="10"/>
  <c r="BI136" i="10"/>
  <c r="BH136" i="10"/>
  <c r="BG136" i="10"/>
  <c r="BE136" i="10"/>
  <c r="BD136" i="10"/>
  <c r="BC136" i="10"/>
  <c r="BI135" i="10"/>
  <c r="BH135" i="10"/>
  <c r="BG135" i="10"/>
  <c r="BE135" i="10"/>
  <c r="BD135" i="10"/>
  <c r="BC135" i="10"/>
  <c r="BI134" i="10"/>
  <c r="BH134" i="10"/>
  <c r="BG134" i="10"/>
  <c r="BE134" i="10"/>
  <c r="BD134" i="10"/>
  <c r="BC134" i="10"/>
  <c r="BI133" i="10"/>
  <c r="BH133" i="10"/>
  <c r="BG133" i="10"/>
  <c r="BE133" i="10"/>
  <c r="BD133" i="10"/>
  <c r="BC133" i="10"/>
  <c r="BI132" i="10"/>
  <c r="BH132" i="10"/>
  <c r="BG132" i="10"/>
  <c r="BE132" i="10"/>
  <c r="BD132" i="10"/>
  <c r="BC132" i="10"/>
  <c r="BI131" i="10"/>
  <c r="BH131" i="10"/>
  <c r="BG131" i="10"/>
  <c r="BE131" i="10"/>
  <c r="BD131" i="10"/>
  <c r="BC131" i="10"/>
  <c r="BI130" i="10"/>
  <c r="BH130" i="10"/>
  <c r="BG130" i="10"/>
  <c r="BE130" i="10"/>
  <c r="BD130" i="10"/>
  <c r="BC130" i="10"/>
  <c r="BI218" i="10"/>
  <c r="BH218" i="10"/>
  <c r="BG218" i="10"/>
  <c r="BE218" i="10"/>
  <c r="BD218" i="10"/>
  <c r="BC218" i="10"/>
  <c r="BI217" i="10"/>
  <c r="BH217" i="10"/>
  <c r="BG217" i="10"/>
  <c r="BE217" i="10"/>
  <c r="BD217" i="10"/>
  <c r="BC217" i="10"/>
  <c r="BI129" i="10"/>
  <c r="BH129" i="10"/>
  <c r="BG129" i="10"/>
  <c r="BE129" i="10"/>
  <c r="BD129" i="10"/>
  <c r="BC129" i="10"/>
  <c r="BI128" i="10"/>
  <c r="BH128" i="10"/>
  <c r="BG128" i="10"/>
  <c r="BE128" i="10"/>
  <c r="BD128" i="10"/>
  <c r="BC128" i="10"/>
  <c r="BI127" i="10"/>
  <c r="BH127" i="10"/>
  <c r="BG127" i="10"/>
  <c r="BE127" i="10"/>
  <c r="BD127" i="10"/>
  <c r="BC127" i="10"/>
  <c r="BI126" i="10"/>
  <c r="BH126" i="10"/>
  <c r="BG126" i="10"/>
  <c r="BE126" i="10"/>
  <c r="BD126" i="10"/>
  <c r="BC126" i="10"/>
  <c r="BI125" i="10"/>
  <c r="BH125" i="10"/>
  <c r="BG125" i="10"/>
  <c r="BE125" i="10"/>
  <c r="BD125" i="10"/>
  <c r="BC125" i="10"/>
  <c r="BI124" i="10"/>
  <c r="BH124" i="10"/>
  <c r="BG124" i="10"/>
  <c r="BE124" i="10"/>
  <c r="BD124" i="10"/>
  <c r="BC124" i="10"/>
  <c r="BI123" i="10"/>
  <c r="BH123" i="10"/>
  <c r="BG123" i="10"/>
  <c r="BE123" i="10"/>
  <c r="BD123" i="10"/>
  <c r="BC123" i="10"/>
  <c r="BI122" i="10"/>
  <c r="BH122" i="10"/>
  <c r="BG122" i="10"/>
  <c r="BE122" i="10"/>
  <c r="BD122" i="10"/>
  <c r="BC122" i="10"/>
  <c r="BI31" i="10"/>
  <c r="BH31" i="10"/>
  <c r="BG31" i="10"/>
  <c r="BE31" i="10"/>
  <c r="BD31" i="10"/>
  <c r="BC31" i="10"/>
  <c r="BI30" i="10"/>
  <c r="BH30" i="10"/>
  <c r="BG30" i="10"/>
  <c r="BE30" i="10"/>
  <c r="BD30" i="10"/>
  <c r="BC30" i="10"/>
  <c r="BI29" i="10"/>
  <c r="BH29" i="10"/>
  <c r="BG29" i="10"/>
  <c r="BE29" i="10"/>
  <c r="BD29" i="10"/>
  <c r="BC29" i="10"/>
  <c r="BI45" i="10"/>
  <c r="BH45" i="10"/>
  <c r="BG45" i="10"/>
  <c r="BE45" i="10"/>
  <c r="BD45" i="10"/>
  <c r="BC45" i="10"/>
  <c r="BI28" i="10"/>
  <c r="BH28" i="10"/>
  <c r="BG28" i="10"/>
  <c r="BE28" i="10"/>
  <c r="BD28" i="10"/>
  <c r="BC28" i="10"/>
  <c r="BI27" i="10"/>
  <c r="BH27" i="10"/>
  <c r="BG27" i="10"/>
  <c r="BE27" i="10"/>
  <c r="BD27" i="10"/>
  <c r="BC27" i="10"/>
  <c r="BI44" i="10"/>
  <c r="BH44" i="10"/>
  <c r="BG44" i="10"/>
  <c r="BE44" i="10"/>
  <c r="BD44" i="10"/>
  <c r="BC44" i="10"/>
  <c r="BI26" i="10"/>
  <c r="BH26" i="10"/>
  <c r="BG26" i="10"/>
  <c r="BE26" i="10"/>
  <c r="BD26" i="10"/>
  <c r="BC26" i="10"/>
  <c r="BI43" i="10"/>
  <c r="BH43" i="10"/>
  <c r="BG43" i="10"/>
  <c r="BE43" i="10"/>
  <c r="BD43" i="10"/>
  <c r="BC43" i="10"/>
  <c r="BI42" i="10"/>
  <c r="BH42" i="10"/>
  <c r="BG42" i="10"/>
  <c r="BE42" i="10"/>
  <c r="BD42" i="10"/>
  <c r="BC42" i="10"/>
  <c r="BI25" i="10"/>
  <c r="BH25" i="10"/>
  <c r="BG25" i="10"/>
  <c r="BE25" i="10"/>
  <c r="BD25" i="10"/>
  <c r="BC25" i="10"/>
  <c r="BI41" i="10"/>
  <c r="BH41" i="10"/>
  <c r="BG41" i="10"/>
  <c r="BE41" i="10"/>
  <c r="BD41" i="10"/>
  <c r="BC41" i="10"/>
  <c r="BI24" i="10"/>
  <c r="BH24" i="10"/>
  <c r="BG24" i="10"/>
  <c r="BE24" i="10"/>
  <c r="BD24" i="10"/>
  <c r="BC24" i="10"/>
  <c r="BI48" i="10"/>
  <c r="BH48" i="10"/>
  <c r="BG48" i="10"/>
  <c r="BE48" i="10"/>
  <c r="BD48" i="10"/>
  <c r="BC48" i="10"/>
  <c r="BI23" i="10"/>
  <c r="BH23" i="10"/>
  <c r="BG23" i="10"/>
  <c r="BE23" i="10"/>
  <c r="BD23" i="10"/>
  <c r="BC23" i="10"/>
  <c r="BI22" i="10"/>
  <c r="BH22" i="10"/>
  <c r="BG22" i="10"/>
  <c r="BE22" i="10"/>
  <c r="BD22" i="10"/>
  <c r="BC22" i="10"/>
  <c r="BI40" i="10"/>
  <c r="BH40" i="10"/>
  <c r="BG40" i="10"/>
  <c r="BE40" i="10"/>
  <c r="BD40" i="10"/>
  <c r="BC40" i="10"/>
  <c r="BI21" i="10"/>
  <c r="BH21" i="10"/>
  <c r="BG21" i="10"/>
  <c r="BE21" i="10"/>
  <c r="BD21" i="10"/>
  <c r="BC21" i="10"/>
  <c r="BI39" i="10"/>
  <c r="BH39" i="10"/>
  <c r="BG39" i="10"/>
  <c r="BE39" i="10"/>
  <c r="BD39" i="10"/>
  <c r="BC39" i="10"/>
  <c r="BI38" i="10"/>
  <c r="BH38" i="10"/>
  <c r="BG38" i="10"/>
  <c r="BE38" i="10"/>
  <c r="BD38" i="10"/>
  <c r="BC38" i="10"/>
  <c r="BI20" i="10"/>
  <c r="BH20" i="10"/>
  <c r="BG20" i="10"/>
  <c r="BE20" i="10"/>
  <c r="BD20" i="10"/>
  <c r="BC20" i="10"/>
  <c r="BI19" i="10"/>
  <c r="BH19" i="10"/>
  <c r="BG19" i="10"/>
  <c r="BE19" i="10"/>
  <c r="BD19" i="10"/>
  <c r="BC19" i="10"/>
  <c r="BI9" i="10"/>
  <c r="BH9" i="10"/>
  <c r="BG9" i="10"/>
  <c r="BE9" i="10"/>
  <c r="BD9" i="10"/>
  <c r="BC9" i="10"/>
  <c r="BI18" i="10"/>
  <c r="BH18" i="10"/>
  <c r="BG18" i="10"/>
  <c r="BE18" i="10"/>
  <c r="BD18" i="10"/>
  <c r="BC18" i="10"/>
  <c r="BI17" i="10"/>
  <c r="BH17" i="10"/>
  <c r="BG17" i="10"/>
  <c r="BE17" i="10"/>
  <c r="BD17" i="10"/>
  <c r="BC17" i="10"/>
  <c r="BI216" i="10"/>
  <c r="BH216" i="10"/>
  <c r="BG216" i="10"/>
  <c r="BE216" i="10"/>
  <c r="BD216" i="10"/>
  <c r="BC216" i="10"/>
  <c r="BI215" i="10"/>
  <c r="BH215" i="10"/>
  <c r="BG215" i="10"/>
  <c r="BE215" i="10"/>
  <c r="BD215" i="10"/>
  <c r="BC215" i="10"/>
  <c r="BI121" i="10"/>
  <c r="BH121" i="10"/>
  <c r="BG121" i="10"/>
  <c r="BE121" i="10"/>
  <c r="BD121" i="10"/>
  <c r="BC121" i="10"/>
  <c r="BI120" i="10"/>
  <c r="BH120" i="10"/>
  <c r="BG120" i="10"/>
  <c r="BE120" i="10"/>
  <c r="BD120" i="10"/>
  <c r="BC120" i="10"/>
  <c r="BI119" i="10"/>
  <c r="BH119" i="10"/>
  <c r="BG119" i="10"/>
  <c r="BE119" i="10"/>
  <c r="BD119" i="10"/>
  <c r="BC119" i="10"/>
  <c r="BI118" i="10"/>
  <c r="BH118" i="10"/>
  <c r="BG118" i="10"/>
  <c r="BE118" i="10"/>
  <c r="BD118" i="10"/>
  <c r="BC118" i="10"/>
  <c r="BI117" i="10"/>
  <c r="BH117" i="10"/>
  <c r="BG117" i="10"/>
  <c r="BE117" i="10"/>
  <c r="BD117" i="10"/>
  <c r="BC117" i="10"/>
  <c r="BI116" i="10"/>
  <c r="BH116" i="10"/>
  <c r="BG116" i="10"/>
  <c r="BE116" i="10"/>
  <c r="BD116" i="10"/>
  <c r="BC116" i="10"/>
  <c r="BI214" i="10"/>
  <c r="BH214" i="10"/>
  <c r="BG214" i="10"/>
  <c r="BE214" i="10"/>
  <c r="BD214" i="10"/>
  <c r="BC214" i="10"/>
  <c r="BI213" i="10"/>
  <c r="BH213" i="10"/>
  <c r="BG213" i="10"/>
  <c r="BE213" i="10"/>
  <c r="BD213" i="10"/>
  <c r="BC213" i="10"/>
  <c r="BI115" i="10"/>
  <c r="BH115" i="10"/>
  <c r="BG115" i="10"/>
  <c r="BE115" i="10"/>
  <c r="BD115" i="10"/>
  <c r="BC115" i="10"/>
  <c r="BI114" i="10"/>
  <c r="BH114" i="10"/>
  <c r="BG114" i="10"/>
  <c r="BE114" i="10"/>
  <c r="BD114" i="10"/>
  <c r="BC114" i="10"/>
  <c r="BI113" i="10"/>
  <c r="BH113" i="10"/>
  <c r="BG113" i="10"/>
  <c r="BE113" i="10"/>
  <c r="BD113" i="10"/>
  <c r="BC113" i="10"/>
  <c r="BI112" i="10"/>
  <c r="BH112" i="10"/>
  <c r="BG112" i="10"/>
  <c r="BE112" i="10"/>
  <c r="BD112" i="10"/>
  <c r="BC112" i="10"/>
  <c r="BI111" i="10"/>
  <c r="BH111" i="10"/>
  <c r="BG111" i="10"/>
  <c r="BE111" i="10"/>
  <c r="BD111" i="10"/>
  <c r="BC111" i="10"/>
  <c r="BI110" i="10"/>
  <c r="BH110" i="10"/>
  <c r="BG110" i="10"/>
  <c r="BE110" i="10"/>
  <c r="BD110" i="10"/>
  <c r="BC110" i="10"/>
  <c r="BI109" i="10"/>
  <c r="BH109" i="10"/>
  <c r="BG109" i="10"/>
  <c r="BE109" i="10"/>
  <c r="BD109" i="10"/>
  <c r="BC109" i="10"/>
  <c r="BI108" i="10"/>
  <c r="BH108" i="10"/>
  <c r="BG108" i="10"/>
  <c r="BE108" i="10"/>
  <c r="BD108" i="10"/>
  <c r="BC108" i="10"/>
  <c r="BI107" i="10"/>
  <c r="BH107" i="10"/>
  <c r="BG107" i="10"/>
  <c r="BE107" i="10"/>
  <c r="BD107" i="10"/>
  <c r="BC107" i="10"/>
  <c r="BI106" i="10"/>
  <c r="BH106" i="10"/>
  <c r="BG106" i="10"/>
  <c r="BE106" i="10"/>
  <c r="BD106" i="10"/>
  <c r="BC106" i="10"/>
  <c r="BI105" i="10"/>
  <c r="BH105" i="10"/>
  <c r="BG105" i="10"/>
  <c r="BE105" i="10"/>
  <c r="BD105" i="10"/>
  <c r="BC105" i="10"/>
  <c r="BI104" i="10"/>
  <c r="BH104" i="10"/>
  <c r="BG104" i="10"/>
  <c r="BE104" i="10"/>
  <c r="BD104" i="10"/>
  <c r="BC104" i="10"/>
  <c r="BI103" i="10"/>
  <c r="BH103" i="10"/>
  <c r="BG103" i="10"/>
  <c r="BE103" i="10"/>
  <c r="BD103" i="10"/>
  <c r="BC103" i="10"/>
  <c r="BI102" i="10"/>
  <c r="BH102" i="10"/>
  <c r="BG102" i="10"/>
  <c r="BE102" i="10"/>
  <c r="BD102" i="10"/>
  <c r="BC102" i="10"/>
  <c r="BI101" i="10"/>
  <c r="BH101" i="10"/>
  <c r="BG101" i="10"/>
  <c r="BE101" i="10"/>
  <c r="BD101" i="10"/>
  <c r="BC101" i="10"/>
  <c r="BI212" i="10"/>
  <c r="BH212" i="10"/>
  <c r="BG212" i="10"/>
  <c r="BE212" i="10"/>
  <c r="BD212" i="10"/>
  <c r="BC212" i="10"/>
  <c r="BI100" i="10"/>
  <c r="BH100" i="10"/>
  <c r="BG100" i="10"/>
  <c r="BE100" i="10"/>
  <c r="BD100" i="10"/>
  <c r="BC100" i="10"/>
  <c r="BI99" i="10"/>
  <c r="BH99" i="10"/>
  <c r="BG99" i="10"/>
  <c r="BE99" i="10"/>
  <c r="BD99" i="10"/>
  <c r="BC99" i="10"/>
  <c r="BI98" i="10"/>
  <c r="BH98" i="10"/>
  <c r="BG98" i="10"/>
  <c r="BE98" i="10"/>
  <c r="BD98" i="10"/>
  <c r="BC98" i="10"/>
  <c r="BI97" i="10"/>
  <c r="BH97" i="10"/>
  <c r="BG97" i="10"/>
  <c r="BE97" i="10"/>
  <c r="BD97" i="10"/>
  <c r="BC97" i="10"/>
  <c r="BI96" i="10"/>
  <c r="BH96" i="10"/>
  <c r="BG96" i="10"/>
  <c r="BE96" i="10"/>
  <c r="BD96" i="10"/>
  <c r="BC96" i="10"/>
  <c r="BI95" i="10"/>
  <c r="BH95" i="10"/>
  <c r="BG95" i="10"/>
  <c r="BE95" i="10"/>
  <c r="BD95" i="10"/>
  <c r="BC95" i="10"/>
  <c r="BI94" i="10"/>
  <c r="BH94" i="10"/>
  <c r="BG94" i="10"/>
  <c r="BE94" i="10"/>
  <c r="BD94" i="10"/>
  <c r="BC94" i="10"/>
  <c r="BI93" i="10"/>
  <c r="BH93" i="10"/>
  <c r="BG93" i="10"/>
  <c r="BE93" i="10"/>
  <c r="BD93" i="10"/>
  <c r="BC93" i="10"/>
  <c r="BI92" i="10"/>
  <c r="BH92" i="10"/>
  <c r="BG92" i="10"/>
  <c r="BE92" i="10"/>
  <c r="BD92" i="10"/>
  <c r="BC92" i="10"/>
  <c r="BI91" i="10"/>
  <c r="BH91" i="10"/>
  <c r="BG91" i="10"/>
  <c r="BE91" i="10"/>
  <c r="BD91" i="10"/>
  <c r="BC91" i="10"/>
  <c r="BI211" i="10"/>
  <c r="BH211" i="10"/>
  <c r="BG211" i="10"/>
  <c r="BE211" i="10"/>
  <c r="BD211" i="10"/>
  <c r="BC211" i="10"/>
  <c r="BI210" i="10"/>
  <c r="BH210" i="10"/>
  <c r="BG210" i="10"/>
  <c r="BE210" i="10"/>
  <c r="BD210" i="10"/>
  <c r="BC210" i="10"/>
  <c r="BI90" i="10"/>
  <c r="BH90" i="10"/>
  <c r="BG90" i="10"/>
  <c r="BE90" i="10"/>
  <c r="BD90" i="10"/>
  <c r="BC90" i="10"/>
  <c r="BI209" i="10"/>
  <c r="BH209" i="10"/>
  <c r="BG209" i="10"/>
  <c r="BE209" i="10"/>
  <c r="BD209" i="10"/>
  <c r="BC209" i="10"/>
  <c r="BI208" i="10"/>
  <c r="BH208" i="10"/>
  <c r="BG208" i="10"/>
  <c r="BE208" i="10"/>
  <c r="BD208" i="10"/>
  <c r="BC208" i="10"/>
  <c r="BI89" i="10"/>
  <c r="BH89" i="10"/>
  <c r="BG89" i="10"/>
  <c r="BE89" i="10"/>
  <c r="BD89" i="10"/>
  <c r="BC89" i="10"/>
  <c r="BI88" i="10"/>
  <c r="BH88" i="10"/>
  <c r="BG88" i="10"/>
  <c r="BE88" i="10"/>
  <c r="BD88" i="10"/>
  <c r="BC88" i="10"/>
  <c r="BI87" i="10"/>
  <c r="BH87" i="10"/>
  <c r="BG87" i="10"/>
  <c r="BE87" i="10"/>
  <c r="BD87" i="10"/>
  <c r="BC87" i="10"/>
  <c r="BI86" i="10"/>
  <c r="BH86" i="10"/>
  <c r="BG86" i="10"/>
  <c r="BE86" i="10"/>
  <c r="BD86" i="10"/>
  <c r="BC86" i="10"/>
  <c r="BI85" i="10"/>
  <c r="BH85" i="10"/>
  <c r="BG85" i="10"/>
  <c r="BE85" i="10"/>
  <c r="BD85" i="10"/>
  <c r="BC85" i="10"/>
  <c r="BI84" i="10"/>
  <c r="BH84" i="10"/>
  <c r="BG84" i="10"/>
  <c r="BE84" i="10"/>
  <c r="BD84" i="10"/>
  <c r="BC84" i="10"/>
  <c r="BI83" i="10"/>
  <c r="BH83" i="10"/>
  <c r="BG83" i="10"/>
  <c r="BE83" i="10"/>
  <c r="BD83" i="10"/>
  <c r="BC83" i="10"/>
  <c r="BI82" i="10"/>
  <c r="BH82" i="10"/>
  <c r="BG82" i="10"/>
  <c r="BE82" i="10"/>
  <c r="BD82" i="10"/>
  <c r="BC82" i="10"/>
  <c r="BI207" i="10"/>
  <c r="BH207" i="10"/>
  <c r="BG207" i="10"/>
  <c r="BE207" i="10"/>
  <c r="BD207" i="10"/>
  <c r="BC207" i="10"/>
  <c r="BI206" i="10"/>
  <c r="BH206" i="10"/>
  <c r="BG206" i="10"/>
  <c r="BE206" i="10"/>
  <c r="BD206" i="10"/>
  <c r="BC206" i="10"/>
  <c r="BI81" i="10"/>
  <c r="BH81" i="10"/>
  <c r="BG81" i="10"/>
  <c r="BE81" i="10"/>
  <c r="BD81" i="10"/>
  <c r="BC81" i="10"/>
  <c r="BI80" i="10"/>
  <c r="BH80" i="10"/>
  <c r="BG80" i="10"/>
  <c r="BE80" i="10"/>
  <c r="BD80" i="10"/>
  <c r="BC80" i="10"/>
  <c r="BI79" i="10"/>
  <c r="BH79" i="10"/>
  <c r="BG79" i="10"/>
  <c r="BE79" i="10"/>
  <c r="BD79" i="10"/>
  <c r="BC79" i="10"/>
  <c r="BI231" i="10"/>
  <c r="BH231" i="10"/>
  <c r="BG231" i="10"/>
  <c r="BE231" i="10"/>
  <c r="BD231" i="10"/>
  <c r="BC231" i="10"/>
  <c r="BI205" i="10"/>
  <c r="BH205" i="10"/>
  <c r="BG205" i="10"/>
  <c r="BE205" i="10"/>
  <c r="BD205" i="10"/>
  <c r="BC205" i="10"/>
  <c r="BI204" i="10"/>
  <c r="BH204" i="10"/>
  <c r="BG204" i="10"/>
  <c r="BE204" i="10"/>
  <c r="BD204" i="10"/>
  <c r="BC204" i="10"/>
  <c r="BI203" i="10"/>
  <c r="BH203" i="10"/>
  <c r="BG203" i="10"/>
  <c r="BE203" i="10"/>
  <c r="BD203" i="10"/>
  <c r="BC203" i="10"/>
  <c r="BI202" i="10"/>
  <c r="BH202" i="10"/>
  <c r="BG202" i="10"/>
  <c r="BE202" i="10"/>
  <c r="BD202" i="10"/>
  <c r="BC202" i="10"/>
  <c r="BI201" i="10"/>
  <c r="BH201" i="10"/>
  <c r="BG201" i="10"/>
  <c r="BE201" i="10"/>
  <c r="BD201" i="10"/>
  <c r="BC201" i="10"/>
  <c r="BI165" i="10"/>
  <c r="BH165" i="10"/>
  <c r="BG165" i="10"/>
  <c r="BE165" i="10"/>
  <c r="BD165" i="10"/>
  <c r="BC165" i="10"/>
  <c r="BI164" i="10"/>
  <c r="BH164" i="10"/>
  <c r="BG164" i="10"/>
  <c r="BE164" i="10"/>
  <c r="BD164" i="10"/>
  <c r="BC164" i="10"/>
  <c r="BI78" i="10"/>
  <c r="BH78" i="10"/>
  <c r="BG78" i="10"/>
  <c r="BE78" i="10"/>
  <c r="BD78" i="10"/>
  <c r="BC78" i="10"/>
  <c r="BI163" i="10"/>
  <c r="BH163" i="10"/>
  <c r="BG163" i="10"/>
  <c r="BE163" i="10"/>
  <c r="BD163" i="10"/>
  <c r="BC163" i="10"/>
  <c r="BI77" i="10"/>
  <c r="BH77" i="10"/>
  <c r="BG77" i="10"/>
  <c r="BE77" i="10"/>
  <c r="BD77" i="10"/>
  <c r="BC77" i="10"/>
  <c r="BI76" i="10"/>
  <c r="BH76" i="10"/>
  <c r="BG76" i="10"/>
  <c r="BE76" i="10"/>
  <c r="BD76" i="10"/>
  <c r="BC76" i="10"/>
  <c r="BI75" i="10"/>
  <c r="BH75" i="10"/>
  <c r="BG75" i="10"/>
  <c r="BE75" i="10"/>
  <c r="BD75" i="10"/>
  <c r="BC75" i="10"/>
  <c r="BI200" i="10"/>
  <c r="BH200" i="10"/>
  <c r="BG200" i="10"/>
  <c r="BE200" i="10"/>
  <c r="BD200" i="10"/>
  <c r="BC200" i="10"/>
  <c r="BI74" i="10"/>
  <c r="BH74" i="10"/>
  <c r="BG74" i="10"/>
  <c r="BE74" i="10"/>
  <c r="BD74" i="10"/>
  <c r="BC74" i="10"/>
  <c r="BI73" i="10"/>
  <c r="BH73" i="10"/>
  <c r="BG73" i="10"/>
  <c r="BE73" i="10"/>
  <c r="BD73" i="10"/>
  <c r="BC73" i="10"/>
  <c r="BI72" i="10"/>
  <c r="BH72" i="10"/>
  <c r="BG72" i="10"/>
  <c r="BE72" i="10"/>
  <c r="BD72" i="10"/>
  <c r="BC72" i="10"/>
  <c r="BI71" i="10"/>
  <c r="BH71" i="10"/>
  <c r="BG71" i="10"/>
  <c r="BE71" i="10"/>
  <c r="BD71" i="10"/>
  <c r="BC71" i="10"/>
  <c r="BI70" i="10"/>
  <c r="BH70" i="10"/>
  <c r="BG70" i="10"/>
  <c r="BE70" i="10"/>
  <c r="BD70" i="10"/>
  <c r="BC70" i="10"/>
  <c r="BI69" i="10"/>
  <c r="BH69" i="10"/>
  <c r="BG69" i="10"/>
  <c r="BE69" i="10"/>
  <c r="BD69" i="10"/>
  <c r="BC69" i="10"/>
  <c r="BI199" i="10"/>
  <c r="BH199" i="10"/>
  <c r="BG199" i="10"/>
  <c r="BE199" i="10"/>
  <c r="BD199" i="10"/>
  <c r="BC199" i="10"/>
  <c r="BI68" i="10"/>
  <c r="BH68" i="10"/>
  <c r="BG68" i="10"/>
  <c r="BE68" i="10"/>
  <c r="BD68" i="10"/>
  <c r="BC68" i="10"/>
  <c r="BI67" i="10"/>
  <c r="BH67" i="10"/>
  <c r="BG67" i="10"/>
  <c r="BE67" i="10"/>
  <c r="BD67" i="10"/>
  <c r="BC67" i="10"/>
  <c r="BI66" i="10"/>
  <c r="BH66" i="10"/>
  <c r="BG66" i="10"/>
  <c r="BE66" i="10"/>
  <c r="BD66" i="10"/>
  <c r="BC66" i="10"/>
  <c r="BI65" i="10"/>
  <c r="BH65" i="10"/>
  <c r="BG65" i="10"/>
  <c r="BE65" i="10"/>
  <c r="BD65" i="10"/>
  <c r="BC65" i="10"/>
  <c r="BI198" i="10"/>
  <c r="BH198" i="10"/>
  <c r="BG198" i="10"/>
  <c r="BE198" i="10"/>
  <c r="BD198" i="10"/>
  <c r="BC198" i="10"/>
  <c r="BI64" i="10"/>
  <c r="BH64" i="10"/>
  <c r="BG64" i="10"/>
  <c r="BE64" i="10"/>
  <c r="BD64" i="10"/>
  <c r="BC64" i="10"/>
  <c r="BI63" i="10"/>
  <c r="BH63" i="10"/>
  <c r="BG63" i="10"/>
  <c r="BE63" i="10"/>
  <c r="BD63" i="10"/>
  <c r="BC63" i="10"/>
  <c r="BI197" i="10"/>
  <c r="BH197" i="10"/>
  <c r="BG197" i="10"/>
  <c r="BE197" i="10"/>
  <c r="BD197" i="10"/>
  <c r="BC197" i="10"/>
  <c r="BI196" i="10"/>
  <c r="BH196" i="10"/>
  <c r="BG196" i="10"/>
  <c r="BE196" i="10"/>
  <c r="BD196" i="10"/>
  <c r="BC196" i="10"/>
  <c r="BI195" i="10"/>
  <c r="BH195" i="10"/>
  <c r="BG195" i="10"/>
  <c r="BE195" i="10"/>
  <c r="BD195" i="10"/>
  <c r="BC195" i="10"/>
  <c r="BI194" i="10"/>
  <c r="BH194" i="10"/>
  <c r="BG194" i="10"/>
  <c r="BE194" i="10"/>
  <c r="BD194" i="10"/>
  <c r="BC194" i="10"/>
  <c r="BI193" i="10"/>
  <c r="BH193" i="10"/>
  <c r="BG193" i="10"/>
  <c r="BE193" i="10"/>
  <c r="BD193" i="10"/>
  <c r="BC193" i="10"/>
  <c r="BI62" i="10"/>
  <c r="BH62" i="10"/>
  <c r="BG62" i="10"/>
  <c r="BE62" i="10"/>
  <c r="BD62" i="10"/>
  <c r="BC62" i="10"/>
  <c r="BI61" i="10"/>
  <c r="BH61" i="10"/>
  <c r="BG61" i="10"/>
  <c r="BE61" i="10"/>
  <c r="BD61" i="10"/>
  <c r="BC61" i="10"/>
  <c r="BI60" i="10"/>
  <c r="BH60" i="10"/>
  <c r="BG60" i="10"/>
  <c r="BE60" i="10"/>
  <c r="BD60" i="10"/>
  <c r="BC60" i="10"/>
  <c r="BI59" i="10"/>
  <c r="BH59" i="10"/>
  <c r="BG59" i="10"/>
  <c r="BE59" i="10"/>
  <c r="BD59" i="10"/>
  <c r="BC59" i="10"/>
  <c r="BI192" i="10"/>
  <c r="BH192" i="10"/>
  <c r="BG192" i="10"/>
  <c r="BE192" i="10"/>
  <c r="BD192" i="10"/>
  <c r="BC192" i="10"/>
  <c r="BI237" i="10"/>
  <c r="BH237" i="10"/>
  <c r="BG237" i="10"/>
  <c r="BE237" i="10"/>
  <c r="BD237" i="10"/>
  <c r="BC237" i="10"/>
  <c r="BI236" i="10"/>
  <c r="BH236" i="10"/>
  <c r="BG236" i="10"/>
  <c r="BE236" i="10"/>
  <c r="BD236" i="10"/>
  <c r="BC236" i="10"/>
  <c r="BI191" i="10"/>
  <c r="BH191" i="10"/>
  <c r="BG191" i="10"/>
  <c r="BE191" i="10"/>
  <c r="BD191" i="10"/>
  <c r="BC191" i="10"/>
  <c r="BI190" i="10"/>
  <c r="BH190" i="10"/>
  <c r="BG190" i="10"/>
  <c r="BE190" i="10"/>
  <c r="BD190" i="10"/>
  <c r="BC190" i="10"/>
  <c r="BI189" i="10"/>
  <c r="BH189" i="10"/>
  <c r="BG189" i="10"/>
  <c r="BE189" i="10"/>
  <c r="BD189" i="10"/>
  <c r="BC189" i="10"/>
  <c r="BI188" i="10"/>
  <c r="BH188" i="10"/>
  <c r="BG188" i="10"/>
  <c r="BE188" i="10"/>
  <c r="BD188" i="10"/>
  <c r="BC188" i="10"/>
  <c r="BI187" i="10"/>
  <c r="BH187" i="10"/>
  <c r="BG187" i="10"/>
  <c r="BE187" i="10"/>
  <c r="BD187" i="10"/>
  <c r="BC187" i="10"/>
  <c r="BI186" i="10"/>
  <c r="BH186" i="10"/>
  <c r="BG186" i="10"/>
  <c r="BE186" i="10"/>
  <c r="BD186" i="10"/>
  <c r="BC186" i="10"/>
  <c r="BI185" i="10"/>
  <c r="BH185" i="10"/>
  <c r="BG185" i="10"/>
  <c r="BE185" i="10"/>
  <c r="BD185" i="10"/>
  <c r="BC185" i="10"/>
  <c r="BI184" i="10"/>
  <c r="BH184" i="10"/>
  <c r="BG184" i="10"/>
  <c r="BE184" i="10"/>
  <c r="BD184" i="10"/>
  <c r="BC184" i="10"/>
  <c r="BI183" i="10"/>
  <c r="BH183" i="10"/>
  <c r="BG183" i="10"/>
  <c r="BE183" i="10"/>
  <c r="BD183" i="10"/>
  <c r="BC183" i="10"/>
  <c r="BI182" i="10"/>
  <c r="BH182" i="10"/>
  <c r="BG182" i="10"/>
  <c r="BE182" i="10"/>
  <c r="BD182" i="10"/>
  <c r="BC182" i="10"/>
  <c r="BI181" i="10"/>
  <c r="BH181" i="10"/>
  <c r="BG181" i="10"/>
  <c r="BE181" i="10"/>
  <c r="BD181" i="10"/>
  <c r="BC181" i="10"/>
  <c r="BI180" i="10"/>
  <c r="BH180" i="10"/>
  <c r="BG180" i="10"/>
  <c r="BE180" i="10"/>
  <c r="BD180" i="10"/>
  <c r="BC180" i="10"/>
  <c r="BI235" i="10"/>
  <c r="BH235" i="10"/>
  <c r="BG235" i="10"/>
  <c r="BE235" i="10"/>
  <c r="BD235" i="10"/>
  <c r="BC235" i="10"/>
  <c r="BI58" i="10"/>
  <c r="BH58" i="10"/>
  <c r="BG58" i="10"/>
  <c r="BE58" i="10"/>
  <c r="BD58" i="10"/>
  <c r="BC58" i="10"/>
  <c r="BI57" i="10"/>
  <c r="BH57" i="10"/>
  <c r="BG57" i="10"/>
  <c r="BE57" i="10"/>
  <c r="BD57" i="10"/>
  <c r="BC57" i="10"/>
  <c r="BI56" i="10"/>
  <c r="BH56" i="10"/>
  <c r="BG56" i="10"/>
  <c r="BE56" i="10"/>
  <c r="BD56" i="10"/>
  <c r="BC56" i="10"/>
  <c r="BI55" i="10"/>
  <c r="BH55" i="10"/>
  <c r="BG55" i="10"/>
  <c r="BE55" i="10"/>
  <c r="BD55" i="10"/>
  <c r="BC55" i="10"/>
  <c r="BI179" i="10"/>
  <c r="BH179" i="10"/>
  <c r="BG179" i="10"/>
  <c r="BE179" i="10"/>
  <c r="BD179" i="10"/>
  <c r="BC179" i="10"/>
  <c r="BI54" i="10"/>
  <c r="BH54" i="10"/>
  <c r="BG54" i="10"/>
  <c r="BE54" i="10"/>
  <c r="BD54" i="10"/>
  <c r="BC54" i="10"/>
  <c r="BI178" i="10"/>
  <c r="BH178" i="10"/>
  <c r="BG178" i="10"/>
  <c r="BE178" i="10"/>
  <c r="BD178" i="10"/>
  <c r="BC178" i="10"/>
  <c r="BI53" i="10"/>
  <c r="BH53" i="10"/>
  <c r="BG53" i="10"/>
  <c r="BE53" i="10"/>
  <c r="BD53" i="10"/>
  <c r="BC53" i="10"/>
  <c r="BI177" i="10"/>
  <c r="BH177" i="10"/>
  <c r="BG177" i="10"/>
  <c r="BE177" i="10"/>
  <c r="BD177" i="10"/>
  <c r="BC177" i="10"/>
  <c r="BI52" i="10"/>
  <c r="BH52" i="10"/>
  <c r="BG52" i="10"/>
  <c r="BE52" i="10"/>
  <c r="BD52" i="10"/>
  <c r="BC52" i="10"/>
  <c r="BI51" i="10"/>
  <c r="BH51" i="10"/>
  <c r="BG51" i="10"/>
  <c r="BE51" i="10"/>
  <c r="BD51" i="10"/>
  <c r="BC51" i="10"/>
  <c r="BI50" i="10"/>
  <c r="BH50" i="10"/>
  <c r="BG50" i="10"/>
  <c r="BE50" i="10"/>
  <c r="BD50" i="10"/>
  <c r="BC50" i="10"/>
  <c r="BI49" i="10"/>
  <c r="BH49" i="10"/>
  <c r="BG49" i="10"/>
  <c r="BE49" i="10"/>
  <c r="BD49" i="10"/>
  <c r="BC49" i="10"/>
  <c r="BI162" i="10"/>
  <c r="BH162" i="10"/>
  <c r="BG162" i="10"/>
  <c r="BE162" i="10"/>
  <c r="BD162" i="10"/>
  <c r="BC162" i="10"/>
  <c r="BI8" i="10"/>
  <c r="BH8" i="10"/>
  <c r="BG8" i="10"/>
  <c r="BE8" i="10"/>
  <c r="BD8" i="10"/>
  <c r="BC8" i="10"/>
  <c r="BI16" i="10"/>
  <c r="BH16" i="10"/>
  <c r="BG16" i="10"/>
  <c r="BE16" i="10"/>
  <c r="BD16" i="10"/>
  <c r="BC16" i="10"/>
  <c r="BI15" i="10"/>
  <c r="BH15" i="10"/>
  <c r="BG15" i="10"/>
  <c r="BE15" i="10"/>
  <c r="BD15" i="10"/>
  <c r="BC15" i="10"/>
  <c r="BI14" i="10"/>
  <c r="BH14" i="10"/>
  <c r="BG14" i="10"/>
  <c r="BE14" i="10"/>
  <c r="BD14" i="10"/>
  <c r="BC14" i="10"/>
  <c r="BI13" i="10"/>
  <c r="BH13" i="10"/>
  <c r="BG13" i="10"/>
  <c r="BE13" i="10"/>
  <c r="BD13" i="10"/>
  <c r="BC13" i="10"/>
  <c r="BI12" i="10"/>
  <c r="BH12" i="10"/>
  <c r="BG12" i="10"/>
  <c r="BE12" i="10"/>
  <c r="BD12" i="10"/>
  <c r="BC12" i="10"/>
  <c r="BI176" i="10"/>
  <c r="BH176" i="10"/>
  <c r="BG176" i="10"/>
  <c r="BE176" i="10"/>
  <c r="BD176" i="10"/>
  <c r="BC176" i="10"/>
  <c r="BI175" i="10"/>
  <c r="BH175" i="10"/>
  <c r="BG175" i="10"/>
  <c r="BE175" i="10"/>
  <c r="BD175" i="10"/>
  <c r="BC175" i="10"/>
  <c r="BI174" i="10"/>
  <c r="BH174" i="10"/>
  <c r="BG174" i="10"/>
  <c r="BE174" i="10"/>
  <c r="BD174" i="10"/>
  <c r="BC174" i="10"/>
  <c r="BI173" i="10"/>
  <c r="BH173" i="10"/>
  <c r="BG173" i="10"/>
  <c r="BE173" i="10"/>
  <c r="BD173" i="10"/>
  <c r="BC173" i="10"/>
  <c r="BI11" i="10"/>
  <c r="BH11" i="10"/>
  <c r="BG11" i="10"/>
  <c r="BE11" i="10"/>
  <c r="BD11" i="10"/>
  <c r="BC11" i="10"/>
  <c r="BI172" i="10"/>
  <c r="BH172" i="10"/>
  <c r="BG172" i="10"/>
  <c r="BE172" i="10"/>
  <c r="BD172" i="10"/>
  <c r="BC172" i="10"/>
  <c r="BI171" i="10"/>
  <c r="BH171" i="10"/>
  <c r="BG171" i="10"/>
  <c r="BE171" i="10"/>
  <c r="BD171" i="10"/>
  <c r="BC171" i="10"/>
  <c r="BI170" i="10"/>
  <c r="BH170" i="10"/>
  <c r="BG170" i="10"/>
  <c r="BE170" i="10"/>
  <c r="BD170" i="10"/>
  <c r="BC170" i="10"/>
  <c r="BI230" i="10"/>
  <c r="BH230" i="10"/>
  <c r="BG230" i="10"/>
  <c r="BE230" i="10"/>
  <c r="BD230" i="10"/>
  <c r="BC230" i="10"/>
  <c r="BI169" i="10"/>
  <c r="BH169" i="10"/>
  <c r="BG169" i="10"/>
  <c r="BE169" i="10"/>
  <c r="BD169" i="10"/>
  <c r="BC169" i="10"/>
  <c r="BI168" i="10"/>
  <c r="BH168" i="10"/>
  <c r="BG168" i="10"/>
  <c r="BE168" i="10"/>
  <c r="BD168" i="10"/>
  <c r="BC168" i="10"/>
  <c r="BI167" i="10"/>
  <c r="BH167" i="10"/>
  <c r="BG167" i="10"/>
  <c r="BE167" i="10"/>
  <c r="BD167" i="10"/>
  <c r="BC167" i="10"/>
  <c r="BI166" i="10"/>
  <c r="BH166" i="10"/>
  <c r="BG166" i="10"/>
  <c r="BE166" i="10"/>
  <c r="BD166" i="10"/>
  <c r="BC166" i="10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84" i="4"/>
  <c r="BE85" i="4"/>
  <c r="BE86" i="4"/>
  <c r="BE87" i="4"/>
  <c r="BE88" i="4"/>
  <c r="BE89" i="4"/>
  <c r="BE90" i="4"/>
  <c r="BE91" i="4"/>
  <c r="BE92" i="4"/>
  <c r="BE93" i="4"/>
  <c r="BE94" i="4"/>
  <c r="BE95" i="4"/>
  <c r="BE96" i="4"/>
  <c r="BE97" i="4"/>
  <c r="BE98" i="4"/>
  <c r="BE99" i="4"/>
  <c r="BE100" i="4"/>
  <c r="BE101" i="4"/>
  <c r="BE102" i="4"/>
  <c r="BE103" i="4"/>
  <c r="BE104" i="4"/>
  <c r="BE105" i="4"/>
  <c r="BE106" i="4"/>
  <c r="BE107" i="4"/>
  <c r="BE108" i="4"/>
  <c r="BE109" i="4"/>
  <c r="BE110" i="4"/>
  <c r="BE111" i="4"/>
  <c r="BE112" i="4"/>
  <c r="BE113" i="4"/>
  <c r="BE114" i="4"/>
  <c r="BE115" i="4"/>
  <c r="BE116" i="4"/>
  <c r="BE117" i="4"/>
  <c r="BE118" i="4"/>
  <c r="BE119" i="4"/>
  <c r="BE120" i="4"/>
  <c r="BE121" i="4"/>
  <c r="BE122" i="4"/>
  <c r="BE123" i="4"/>
  <c r="BE124" i="4"/>
  <c r="BE125" i="4"/>
  <c r="BE126" i="4"/>
  <c r="BE127" i="4"/>
  <c r="BE128" i="4"/>
  <c r="BE129" i="4"/>
  <c r="BE130" i="4"/>
  <c r="BE131" i="4"/>
  <c r="BE132" i="4"/>
  <c r="BE133" i="4"/>
  <c r="BE134" i="4"/>
  <c r="BE135" i="4"/>
  <c r="BE136" i="4"/>
  <c r="BE137" i="4"/>
  <c r="BE138" i="4"/>
  <c r="BE139" i="4"/>
  <c r="BE140" i="4"/>
  <c r="BE141" i="4"/>
  <c r="BE142" i="4"/>
  <c r="BE143" i="4"/>
  <c r="BE144" i="4"/>
  <c r="BE145" i="4"/>
  <c r="BE146" i="4"/>
  <c r="BE147" i="4"/>
  <c r="BE148" i="4"/>
  <c r="BE149" i="4"/>
  <c r="BE150" i="4"/>
  <c r="BE151" i="4"/>
  <c r="BE152" i="4"/>
  <c r="BE153" i="4"/>
  <c r="BE154" i="4"/>
  <c r="BE155" i="4"/>
  <c r="BE156" i="4"/>
  <c r="BE157" i="4"/>
  <c r="BE158" i="4"/>
  <c r="BE159" i="4"/>
  <c r="BE160" i="4"/>
  <c r="BE161" i="4"/>
  <c r="BE162" i="4"/>
  <c r="BE163" i="4"/>
  <c r="BE164" i="4"/>
  <c r="BE165" i="4"/>
  <c r="BE166" i="4"/>
  <c r="BE167" i="4"/>
  <c r="BE168" i="4"/>
  <c r="BE169" i="4"/>
  <c r="BE170" i="4"/>
  <c r="BE171" i="4"/>
  <c r="BE172" i="4"/>
  <c r="BE173" i="4"/>
  <c r="BE174" i="4"/>
  <c r="BE175" i="4"/>
  <c r="BE176" i="4"/>
  <c r="BE177" i="4"/>
  <c r="BE178" i="4"/>
  <c r="BE179" i="4"/>
  <c r="BE180" i="4"/>
  <c r="BE181" i="4"/>
  <c r="BE182" i="4"/>
  <c r="BE183" i="4"/>
  <c r="BE184" i="4"/>
  <c r="BE185" i="4"/>
  <c r="BE186" i="4"/>
  <c r="BE187" i="4"/>
  <c r="BE188" i="4"/>
  <c r="BE189" i="4"/>
  <c r="BE190" i="4"/>
  <c r="BE191" i="4"/>
  <c r="BE192" i="4"/>
  <c r="BE193" i="4"/>
  <c r="BE194" i="4"/>
  <c r="BE195" i="4"/>
  <c r="BE196" i="4"/>
  <c r="BE197" i="4"/>
  <c r="BE198" i="4"/>
  <c r="BE199" i="4"/>
  <c r="BE200" i="4"/>
  <c r="BE201" i="4"/>
  <c r="BE202" i="4"/>
  <c r="BE203" i="4"/>
  <c r="BE204" i="4"/>
  <c r="BE205" i="4"/>
  <c r="BE206" i="4"/>
  <c r="BE207" i="4"/>
  <c r="BE208" i="4"/>
  <c r="BE209" i="4"/>
  <c r="BE210" i="4"/>
  <c r="BE211" i="4"/>
  <c r="BE212" i="4"/>
  <c r="BE213" i="4"/>
  <c r="BE214" i="4"/>
  <c r="BE215" i="4"/>
  <c r="BE216" i="4"/>
  <c r="BE217" i="4"/>
  <c r="BE218" i="4"/>
  <c r="BE219" i="4"/>
  <c r="BE220" i="4"/>
  <c r="BE221" i="4"/>
  <c r="BE222" i="4"/>
  <c r="BE223" i="4"/>
  <c r="BE224" i="4"/>
  <c r="BE225" i="4"/>
  <c r="BE226" i="4"/>
  <c r="BE227" i="4"/>
  <c r="BE228" i="4"/>
  <c r="BE229" i="4"/>
  <c r="BE230" i="4"/>
  <c r="BE231" i="4"/>
  <c r="BE232" i="4"/>
  <c r="BE233" i="4"/>
  <c r="BE234" i="4"/>
  <c r="BE235" i="4"/>
  <c r="BE236" i="4"/>
  <c r="BE237" i="4"/>
  <c r="BE238" i="4"/>
  <c r="BE8" i="4"/>
  <c r="BI9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54" i="4"/>
  <c r="BI55" i="4"/>
  <c r="BI56" i="4"/>
  <c r="BI57" i="4"/>
  <c r="BI58" i="4"/>
  <c r="BI59" i="4"/>
  <c r="BI60" i="4"/>
  <c r="BI61" i="4"/>
  <c r="BI62" i="4"/>
  <c r="BI63" i="4"/>
  <c r="BI64" i="4"/>
  <c r="BI65" i="4"/>
  <c r="BI66" i="4"/>
  <c r="BI67" i="4"/>
  <c r="BI68" i="4"/>
  <c r="BI69" i="4"/>
  <c r="BI70" i="4"/>
  <c r="BI71" i="4"/>
  <c r="BI72" i="4"/>
  <c r="BI73" i="4"/>
  <c r="BI74" i="4"/>
  <c r="BI75" i="4"/>
  <c r="BI76" i="4"/>
  <c r="BI77" i="4"/>
  <c r="BI78" i="4"/>
  <c r="BI79" i="4"/>
  <c r="BI80" i="4"/>
  <c r="BI81" i="4"/>
  <c r="BI82" i="4"/>
  <c r="BI83" i="4"/>
  <c r="BI84" i="4"/>
  <c r="BI85" i="4"/>
  <c r="BI86" i="4"/>
  <c r="BI87" i="4"/>
  <c r="BI88" i="4"/>
  <c r="BI89" i="4"/>
  <c r="BI90" i="4"/>
  <c r="BI91" i="4"/>
  <c r="BI92" i="4"/>
  <c r="BI93" i="4"/>
  <c r="BI94" i="4"/>
  <c r="BI95" i="4"/>
  <c r="BI96" i="4"/>
  <c r="BI97" i="4"/>
  <c r="BI98" i="4"/>
  <c r="BI99" i="4"/>
  <c r="BI100" i="4"/>
  <c r="BI101" i="4"/>
  <c r="BI102" i="4"/>
  <c r="BI103" i="4"/>
  <c r="BI104" i="4"/>
  <c r="BI105" i="4"/>
  <c r="BI106" i="4"/>
  <c r="BI107" i="4"/>
  <c r="BI108" i="4"/>
  <c r="BI109" i="4"/>
  <c r="BI110" i="4"/>
  <c r="BI111" i="4"/>
  <c r="BI112" i="4"/>
  <c r="BI113" i="4"/>
  <c r="BI114" i="4"/>
  <c r="BI115" i="4"/>
  <c r="BI116" i="4"/>
  <c r="BI117" i="4"/>
  <c r="BI118" i="4"/>
  <c r="BI119" i="4"/>
  <c r="BI120" i="4"/>
  <c r="BI121" i="4"/>
  <c r="BI122" i="4"/>
  <c r="BI123" i="4"/>
  <c r="BI124" i="4"/>
  <c r="BI125" i="4"/>
  <c r="BI126" i="4"/>
  <c r="BI127" i="4"/>
  <c r="BI128" i="4"/>
  <c r="BI129" i="4"/>
  <c r="BI130" i="4"/>
  <c r="BI131" i="4"/>
  <c r="BI132" i="4"/>
  <c r="BI133" i="4"/>
  <c r="BI134" i="4"/>
  <c r="BI135" i="4"/>
  <c r="BI136" i="4"/>
  <c r="BI137" i="4"/>
  <c r="BI138" i="4"/>
  <c r="BI139" i="4"/>
  <c r="BI140" i="4"/>
  <c r="BI141" i="4"/>
  <c r="BI142" i="4"/>
  <c r="BI143" i="4"/>
  <c r="BI144" i="4"/>
  <c r="BI145" i="4"/>
  <c r="BI146" i="4"/>
  <c r="BI147" i="4"/>
  <c r="BI148" i="4"/>
  <c r="BI149" i="4"/>
  <c r="BI150" i="4"/>
  <c r="BI151" i="4"/>
  <c r="BI152" i="4"/>
  <c r="BI153" i="4"/>
  <c r="BI154" i="4"/>
  <c r="BI155" i="4"/>
  <c r="BI156" i="4"/>
  <c r="BI157" i="4"/>
  <c r="BI158" i="4"/>
  <c r="BI159" i="4"/>
  <c r="BI160" i="4"/>
  <c r="BI161" i="4"/>
  <c r="BI162" i="4"/>
  <c r="BI163" i="4"/>
  <c r="BI164" i="4"/>
  <c r="BI165" i="4"/>
  <c r="BI166" i="4"/>
  <c r="BI167" i="4"/>
  <c r="BI168" i="4"/>
  <c r="BI169" i="4"/>
  <c r="BI170" i="4"/>
  <c r="BI171" i="4"/>
  <c r="BI172" i="4"/>
  <c r="BI173" i="4"/>
  <c r="BI174" i="4"/>
  <c r="BI175" i="4"/>
  <c r="BI176" i="4"/>
  <c r="BI177" i="4"/>
  <c r="BI178" i="4"/>
  <c r="BI179" i="4"/>
  <c r="BI180" i="4"/>
  <c r="BI181" i="4"/>
  <c r="BI182" i="4"/>
  <c r="BI183" i="4"/>
  <c r="BI184" i="4"/>
  <c r="BI185" i="4"/>
  <c r="BI186" i="4"/>
  <c r="BI187" i="4"/>
  <c r="BI188" i="4"/>
  <c r="BI189" i="4"/>
  <c r="BI190" i="4"/>
  <c r="BI191" i="4"/>
  <c r="BI192" i="4"/>
  <c r="BI193" i="4"/>
  <c r="BI194" i="4"/>
  <c r="BI195" i="4"/>
  <c r="BI196" i="4"/>
  <c r="BI197" i="4"/>
  <c r="BI198" i="4"/>
  <c r="BI199" i="4"/>
  <c r="BI200" i="4"/>
  <c r="BI201" i="4"/>
  <c r="BI202" i="4"/>
  <c r="BI203" i="4"/>
  <c r="BI204" i="4"/>
  <c r="BI205" i="4"/>
  <c r="BI206" i="4"/>
  <c r="BI207" i="4"/>
  <c r="BI208" i="4"/>
  <c r="BI209" i="4"/>
  <c r="BI210" i="4"/>
  <c r="BI211" i="4"/>
  <c r="BI212" i="4"/>
  <c r="BI213" i="4"/>
  <c r="BI214" i="4"/>
  <c r="BI215" i="4"/>
  <c r="BI216" i="4"/>
  <c r="BI217" i="4"/>
  <c r="BI218" i="4"/>
  <c r="BI219" i="4"/>
  <c r="BI220" i="4"/>
  <c r="BI221" i="4"/>
  <c r="BI222" i="4"/>
  <c r="BI223" i="4"/>
  <c r="BI224" i="4"/>
  <c r="BI225" i="4"/>
  <c r="BI226" i="4"/>
  <c r="BI227" i="4"/>
  <c r="BI228" i="4"/>
  <c r="BI229" i="4"/>
  <c r="BI230" i="4"/>
  <c r="BI231" i="4"/>
  <c r="BI232" i="4"/>
  <c r="BI233" i="4"/>
  <c r="BI234" i="4"/>
  <c r="BI235" i="4"/>
  <c r="BI236" i="4"/>
  <c r="BI237" i="4"/>
  <c r="BI238" i="4"/>
  <c r="BI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84" i="4"/>
  <c r="BH85" i="4"/>
  <c r="BH86" i="4"/>
  <c r="BH87" i="4"/>
  <c r="BH88" i="4"/>
  <c r="BH89" i="4"/>
  <c r="BH90" i="4"/>
  <c r="BH91" i="4"/>
  <c r="BH92" i="4"/>
  <c r="BH93" i="4"/>
  <c r="BH94" i="4"/>
  <c r="BH95" i="4"/>
  <c r="BH96" i="4"/>
  <c r="BH97" i="4"/>
  <c r="BH98" i="4"/>
  <c r="BH99" i="4"/>
  <c r="BH100" i="4"/>
  <c r="BH101" i="4"/>
  <c r="BH102" i="4"/>
  <c r="BH103" i="4"/>
  <c r="BH104" i="4"/>
  <c r="BH105" i="4"/>
  <c r="BH106" i="4"/>
  <c r="BH107" i="4"/>
  <c r="BH108" i="4"/>
  <c r="BH109" i="4"/>
  <c r="BH110" i="4"/>
  <c r="BH111" i="4"/>
  <c r="BH112" i="4"/>
  <c r="BH113" i="4"/>
  <c r="BH114" i="4"/>
  <c r="BH115" i="4"/>
  <c r="BH116" i="4"/>
  <c r="BH117" i="4"/>
  <c r="BH118" i="4"/>
  <c r="BH119" i="4"/>
  <c r="BH120" i="4"/>
  <c r="BH121" i="4"/>
  <c r="BH122" i="4"/>
  <c r="BH123" i="4"/>
  <c r="BH124" i="4"/>
  <c r="BH125" i="4"/>
  <c r="BH126" i="4"/>
  <c r="BH127" i="4"/>
  <c r="BH128" i="4"/>
  <c r="BH129" i="4"/>
  <c r="BH130" i="4"/>
  <c r="BH131" i="4"/>
  <c r="BH132" i="4"/>
  <c r="BH133" i="4"/>
  <c r="BH134" i="4"/>
  <c r="BH135" i="4"/>
  <c r="BH136" i="4"/>
  <c r="BH137" i="4"/>
  <c r="BH138" i="4"/>
  <c r="BH139" i="4"/>
  <c r="BH140" i="4"/>
  <c r="BH141" i="4"/>
  <c r="BH142" i="4"/>
  <c r="BH143" i="4"/>
  <c r="BH144" i="4"/>
  <c r="BH145" i="4"/>
  <c r="BH146" i="4"/>
  <c r="BH147" i="4"/>
  <c r="BH148" i="4"/>
  <c r="BH149" i="4"/>
  <c r="BH150" i="4"/>
  <c r="BH151" i="4"/>
  <c r="BH152" i="4"/>
  <c r="BH153" i="4"/>
  <c r="BH154" i="4"/>
  <c r="BH155" i="4"/>
  <c r="BH156" i="4"/>
  <c r="BH157" i="4"/>
  <c r="BH158" i="4"/>
  <c r="BH159" i="4"/>
  <c r="BH160" i="4"/>
  <c r="BH161" i="4"/>
  <c r="BH162" i="4"/>
  <c r="BH163" i="4"/>
  <c r="BH164" i="4"/>
  <c r="BH165" i="4"/>
  <c r="BH166" i="4"/>
  <c r="BH167" i="4"/>
  <c r="BH168" i="4"/>
  <c r="BH169" i="4"/>
  <c r="BH170" i="4"/>
  <c r="BH171" i="4"/>
  <c r="BH172" i="4"/>
  <c r="BH173" i="4"/>
  <c r="BH174" i="4"/>
  <c r="BH175" i="4"/>
  <c r="BH176" i="4"/>
  <c r="BH177" i="4"/>
  <c r="BH178" i="4"/>
  <c r="BH179" i="4"/>
  <c r="BH180" i="4"/>
  <c r="BH181" i="4"/>
  <c r="BH182" i="4"/>
  <c r="BH183" i="4"/>
  <c r="BH184" i="4"/>
  <c r="BH185" i="4"/>
  <c r="BH186" i="4"/>
  <c r="BH187" i="4"/>
  <c r="BH188" i="4"/>
  <c r="BH189" i="4"/>
  <c r="BH190" i="4"/>
  <c r="BH191" i="4"/>
  <c r="BH192" i="4"/>
  <c r="BH193" i="4"/>
  <c r="BH194" i="4"/>
  <c r="BH195" i="4"/>
  <c r="BH196" i="4"/>
  <c r="BH197" i="4"/>
  <c r="BH198" i="4"/>
  <c r="BH199" i="4"/>
  <c r="BH200" i="4"/>
  <c r="BH201" i="4"/>
  <c r="BH202" i="4"/>
  <c r="BH203" i="4"/>
  <c r="BH204" i="4"/>
  <c r="BH205" i="4"/>
  <c r="BH206" i="4"/>
  <c r="BH207" i="4"/>
  <c r="BH208" i="4"/>
  <c r="BH209" i="4"/>
  <c r="BH210" i="4"/>
  <c r="BH211" i="4"/>
  <c r="BH212" i="4"/>
  <c r="BH213" i="4"/>
  <c r="BH214" i="4"/>
  <c r="BH215" i="4"/>
  <c r="BH216" i="4"/>
  <c r="BH217" i="4"/>
  <c r="BH218" i="4"/>
  <c r="BH219" i="4"/>
  <c r="BH220" i="4"/>
  <c r="BH221" i="4"/>
  <c r="BH222" i="4"/>
  <c r="BH223" i="4"/>
  <c r="BH224" i="4"/>
  <c r="BH225" i="4"/>
  <c r="BH226" i="4"/>
  <c r="BH227" i="4"/>
  <c r="BH228" i="4"/>
  <c r="BH229" i="4"/>
  <c r="BH230" i="4"/>
  <c r="BH231" i="4"/>
  <c r="BH232" i="4"/>
  <c r="BH233" i="4"/>
  <c r="BH234" i="4"/>
  <c r="BH235" i="4"/>
  <c r="BH236" i="4"/>
  <c r="BH237" i="4"/>
  <c r="BH238" i="4"/>
  <c r="BH8" i="4"/>
  <c r="BG9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53" i="4"/>
  <c r="BG54" i="4"/>
  <c r="BG55" i="4"/>
  <c r="BG56" i="4"/>
  <c r="BG57" i="4"/>
  <c r="BG58" i="4"/>
  <c r="BG59" i="4"/>
  <c r="BG60" i="4"/>
  <c r="BG61" i="4"/>
  <c r="BG62" i="4"/>
  <c r="BG63" i="4"/>
  <c r="BG64" i="4"/>
  <c r="BG65" i="4"/>
  <c r="BG66" i="4"/>
  <c r="BG67" i="4"/>
  <c r="BG68" i="4"/>
  <c r="BG69" i="4"/>
  <c r="BG70" i="4"/>
  <c r="BG71" i="4"/>
  <c r="BG72" i="4"/>
  <c r="BG73" i="4"/>
  <c r="BG74" i="4"/>
  <c r="BG75" i="4"/>
  <c r="BG76" i="4"/>
  <c r="BG77" i="4"/>
  <c r="BG78" i="4"/>
  <c r="BG79" i="4"/>
  <c r="BG80" i="4"/>
  <c r="BG81" i="4"/>
  <c r="BG82" i="4"/>
  <c r="BG83" i="4"/>
  <c r="BG84" i="4"/>
  <c r="BG85" i="4"/>
  <c r="BG86" i="4"/>
  <c r="BG87" i="4"/>
  <c r="BG88" i="4"/>
  <c r="BG89" i="4"/>
  <c r="BG90" i="4"/>
  <c r="BG91" i="4"/>
  <c r="BG92" i="4"/>
  <c r="BG93" i="4"/>
  <c r="BG94" i="4"/>
  <c r="BG95" i="4"/>
  <c r="BG96" i="4"/>
  <c r="BG97" i="4"/>
  <c r="BG98" i="4"/>
  <c r="BG99" i="4"/>
  <c r="BG100" i="4"/>
  <c r="BG101" i="4"/>
  <c r="BG102" i="4"/>
  <c r="BG103" i="4"/>
  <c r="BG104" i="4"/>
  <c r="BG105" i="4"/>
  <c r="BG106" i="4"/>
  <c r="BG107" i="4"/>
  <c r="BG108" i="4"/>
  <c r="BG109" i="4"/>
  <c r="BG110" i="4"/>
  <c r="BG111" i="4"/>
  <c r="BG112" i="4"/>
  <c r="BG113" i="4"/>
  <c r="BG114" i="4"/>
  <c r="BG115" i="4"/>
  <c r="BG116" i="4"/>
  <c r="BG117" i="4"/>
  <c r="BG118" i="4"/>
  <c r="BG119" i="4"/>
  <c r="BG120" i="4"/>
  <c r="BG121" i="4"/>
  <c r="BG122" i="4"/>
  <c r="BG123" i="4"/>
  <c r="BG124" i="4"/>
  <c r="BG125" i="4"/>
  <c r="BG126" i="4"/>
  <c r="BG127" i="4"/>
  <c r="BG128" i="4"/>
  <c r="BG129" i="4"/>
  <c r="BG130" i="4"/>
  <c r="BG131" i="4"/>
  <c r="BG132" i="4"/>
  <c r="BG133" i="4"/>
  <c r="BG134" i="4"/>
  <c r="BG135" i="4"/>
  <c r="BG136" i="4"/>
  <c r="BG137" i="4"/>
  <c r="BG138" i="4"/>
  <c r="BG139" i="4"/>
  <c r="BG140" i="4"/>
  <c r="BG141" i="4"/>
  <c r="BG142" i="4"/>
  <c r="BG143" i="4"/>
  <c r="BG144" i="4"/>
  <c r="BG145" i="4"/>
  <c r="BG146" i="4"/>
  <c r="BG147" i="4"/>
  <c r="BG148" i="4"/>
  <c r="BG149" i="4"/>
  <c r="BG150" i="4"/>
  <c r="BG151" i="4"/>
  <c r="BG152" i="4"/>
  <c r="BG153" i="4"/>
  <c r="BG154" i="4"/>
  <c r="BG155" i="4"/>
  <c r="BG156" i="4"/>
  <c r="BG157" i="4"/>
  <c r="BG158" i="4"/>
  <c r="BG159" i="4"/>
  <c r="BG160" i="4"/>
  <c r="BG161" i="4"/>
  <c r="BG162" i="4"/>
  <c r="BG163" i="4"/>
  <c r="BG164" i="4"/>
  <c r="BG165" i="4"/>
  <c r="BG166" i="4"/>
  <c r="BG167" i="4"/>
  <c r="BG168" i="4"/>
  <c r="BG169" i="4"/>
  <c r="BG170" i="4"/>
  <c r="BG171" i="4"/>
  <c r="BG172" i="4"/>
  <c r="BG173" i="4"/>
  <c r="BG174" i="4"/>
  <c r="BG175" i="4"/>
  <c r="BG176" i="4"/>
  <c r="BG177" i="4"/>
  <c r="BG178" i="4"/>
  <c r="BG179" i="4"/>
  <c r="BG180" i="4"/>
  <c r="BG181" i="4"/>
  <c r="BG182" i="4"/>
  <c r="BG183" i="4"/>
  <c r="BG184" i="4"/>
  <c r="BG185" i="4"/>
  <c r="BG186" i="4"/>
  <c r="BG187" i="4"/>
  <c r="BG188" i="4"/>
  <c r="BG189" i="4"/>
  <c r="BG190" i="4"/>
  <c r="BG191" i="4"/>
  <c r="BG192" i="4"/>
  <c r="BG193" i="4"/>
  <c r="BG194" i="4"/>
  <c r="BG195" i="4"/>
  <c r="BG196" i="4"/>
  <c r="BG197" i="4"/>
  <c r="BG198" i="4"/>
  <c r="BG199" i="4"/>
  <c r="BG200" i="4"/>
  <c r="BG201" i="4"/>
  <c r="BG202" i="4"/>
  <c r="BG203" i="4"/>
  <c r="BG204" i="4"/>
  <c r="BG205" i="4"/>
  <c r="BG206" i="4"/>
  <c r="BG207" i="4"/>
  <c r="BG208" i="4"/>
  <c r="BG209" i="4"/>
  <c r="BG210" i="4"/>
  <c r="BG211" i="4"/>
  <c r="BG212" i="4"/>
  <c r="BG213" i="4"/>
  <c r="BG214" i="4"/>
  <c r="BG215" i="4"/>
  <c r="BG216" i="4"/>
  <c r="BG217" i="4"/>
  <c r="BG218" i="4"/>
  <c r="BG219" i="4"/>
  <c r="BG220" i="4"/>
  <c r="BG221" i="4"/>
  <c r="BG222" i="4"/>
  <c r="BG223" i="4"/>
  <c r="BG224" i="4"/>
  <c r="BG225" i="4"/>
  <c r="BG226" i="4"/>
  <c r="BG227" i="4"/>
  <c r="BG228" i="4"/>
  <c r="BG229" i="4"/>
  <c r="BG230" i="4"/>
  <c r="BG231" i="4"/>
  <c r="BG232" i="4"/>
  <c r="BG233" i="4"/>
  <c r="BG234" i="4"/>
  <c r="BG235" i="4"/>
  <c r="BG236" i="4"/>
  <c r="BG237" i="4"/>
  <c r="BG238" i="4"/>
  <c r="BG8" i="4"/>
  <c r="BC9" i="4"/>
  <c r="BD9" i="4"/>
  <c r="BC10" i="4"/>
  <c r="BD10" i="4"/>
  <c r="BC11" i="4"/>
  <c r="BD11" i="4"/>
  <c r="BC12" i="4"/>
  <c r="BD12" i="4"/>
  <c r="BC13" i="4"/>
  <c r="BD13" i="4"/>
  <c r="BC14" i="4"/>
  <c r="BD14" i="4"/>
  <c r="BC15" i="4"/>
  <c r="BD15" i="4"/>
  <c r="BC16" i="4"/>
  <c r="BD16" i="4"/>
  <c r="BC17" i="4"/>
  <c r="BD17" i="4"/>
  <c r="BC18" i="4"/>
  <c r="BD18" i="4"/>
  <c r="BC19" i="4"/>
  <c r="BD19" i="4"/>
  <c r="BC20" i="4"/>
  <c r="BD20" i="4"/>
  <c r="BC21" i="4"/>
  <c r="BD21" i="4"/>
  <c r="BC22" i="4"/>
  <c r="BD22" i="4"/>
  <c r="BC23" i="4"/>
  <c r="BD23" i="4"/>
  <c r="BC24" i="4"/>
  <c r="BD24" i="4"/>
  <c r="BC25" i="4"/>
  <c r="BD25" i="4"/>
  <c r="BC26" i="4"/>
  <c r="BD26" i="4"/>
  <c r="BC27" i="4"/>
  <c r="BD27" i="4"/>
  <c r="BC28" i="4"/>
  <c r="BD28" i="4"/>
  <c r="BC29" i="4"/>
  <c r="BD29" i="4"/>
  <c r="BC30" i="4"/>
  <c r="BD30" i="4"/>
  <c r="BC31" i="4"/>
  <c r="BD31" i="4"/>
  <c r="BC32" i="4"/>
  <c r="BD32" i="4"/>
  <c r="BC33" i="4"/>
  <c r="BD33" i="4"/>
  <c r="BC34" i="4"/>
  <c r="BD34" i="4"/>
  <c r="BC35" i="4"/>
  <c r="BD35" i="4"/>
  <c r="BC36" i="4"/>
  <c r="BD36" i="4"/>
  <c r="BC37" i="4"/>
  <c r="BD37" i="4"/>
  <c r="BC38" i="4"/>
  <c r="BD38" i="4"/>
  <c r="BC39" i="4"/>
  <c r="BD39" i="4"/>
  <c r="BC40" i="4"/>
  <c r="BD40" i="4"/>
  <c r="BC41" i="4"/>
  <c r="BD41" i="4"/>
  <c r="BC42" i="4"/>
  <c r="BD42" i="4"/>
  <c r="BC43" i="4"/>
  <c r="BD43" i="4"/>
  <c r="BC44" i="4"/>
  <c r="BD44" i="4"/>
  <c r="BC45" i="4"/>
  <c r="BD45" i="4"/>
  <c r="BC46" i="4"/>
  <c r="BD46" i="4"/>
  <c r="BC47" i="4"/>
  <c r="BD47" i="4"/>
  <c r="BC48" i="4"/>
  <c r="BD48" i="4"/>
  <c r="BC49" i="4"/>
  <c r="BD49" i="4"/>
  <c r="BC50" i="4"/>
  <c r="BD50" i="4"/>
  <c r="BC51" i="4"/>
  <c r="BD51" i="4"/>
  <c r="BC52" i="4"/>
  <c r="BD52" i="4"/>
  <c r="BC53" i="4"/>
  <c r="BD53" i="4"/>
  <c r="BC54" i="4"/>
  <c r="BD54" i="4"/>
  <c r="BC55" i="4"/>
  <c r="BD55" i="4"/>
  <c r="BC56" i="4"/>
  <c r="BD56" i="4"/>
  <c r="BC57" i="4"/>
  <c r="BD57" i="4"/>
  <c r="BC58" i="4"/>
  <c r="BD58" i="4"/>
  <c r="BC59" i="4"/>
  <c r="BD59" i="4"/>
  <c r="BC60" i="4"/>
  <c r="BD60" i="4"/>
  <c r="BC61" i="4"/>
  <c r="BD61" i="4"/>
  <c r="BC62" i="4"/>
  <c r="BD62" i="4"/>
  <c r="BC63" i="4"/>
  <c r="BD63" i="4"/>
  <c r="BC64" i="4"/>
  <c r="BD64" i="4"/>
  <c r="BC65" i="4"/>
  <c r="BD65" i="4"/>
  <c r="BC66" i="4"/>
  <c r="BD66" i="4"/>
  <c r="BC67" i="4"/>
  <c r="BD67" i="4"/>
  <c r="BC68" i="4"/>
  <c r="BD68" i="4"/>
  <c r="BC69" i="4"/>
  <c r="BD69" i="4"/>
  <c r="BC70" i="4"/>
  <c r="BD70" i="4"/>
  <c r="BC71" i="4"/>
  <c r="BD71" i="4"/>
  <c r="BC72" i="4"/>
  <c r="BD72" i="4"/>
  <c r="BC73" i="4"/>
  <c r="BD73" i="4"/>
  <c r="BC74" i="4"/>
  <c r="BD74" i="4"/>
  <c r="BC75" i="4"/>
  <c r="BD75" i="4"/>
  <c r="BC76" i="4"/>
  <c r="BD76" i="4"/>
  <c r="BC77" i="4"/>
  <c r="BD77" i="4"/>
  <c r="BC78" i="4"/>
  <c r="BD78" i="4"/>
  <c r="BC79" i="4"/>
  <c r="BD79" i="4"/>
  <c r="BC80" i="4"/>
  <c r="BD80" i="4"/>
  <c r="BC81" i="4"/>
  <c r="BD81" i="4"/>
  <c r="BC82" i="4"/>
  <c r="BD82" i="4"/>
  <c r="BC83" i="4"/>
  <c r="BD83" i="4"/>
  <c r="BC84" i="4"/>
  <c r="BD84" i="4"/>
  <c r="BC85" i="4"/>
  <c r="BD85" i="4"/>
  <c r="BC86" i="4"/>
  <c r="BD86" i="4"/>
  <c r="BC87" i="4"/>
  <c r="BD87" i="4"/>
  <c r="BC88" i="4"/>
  <c r="BD88" i="4"/>
  <c r="BC89" i="4"/>
  <c r="BD89" i="4"/>
  <c r="BC90" i="4"/>
  <c r="BD90" i="4"/>
  <c r="BC91" i="4"/>
  <c r="BD91" i="4"/>
  <c r="BC92" i="4"/>
  <c r="BD92" i="4"/>
  <c r="BC93" i="4"/>
  <c r="BD93" i="4"/>
  <c r="BC94" i="4"/>
  <c r="BD94" i="4"/>
  <c r="BC95" i="4"/>
  <c r="BD95" i="4"/>
  <c r="BC96" i="4"/>
  <c r="BD96" i="4"/>
  <c r="BC97" i="4"/>
  <c r="BD97" i="4"/>
  <c r="BC98" i="4"/>
  <c r="BD98" i="4"/>
  <c r="BC99" i="4"/>
  <c r="BD99" i="4"/>
  <c r="BC100" i="4"/>
  <c r="BD100" i="4"/>
  <c r="BC101" i="4"/>
  <c r="BD101" i="4"/>
  <c r="BC102" i="4"/>
  <c r="BD102" i="4"/>
  <c r="BC103" i="4"/>
  <c r="BD103" i="4"/>
  <c r="BC104" i="4"/>
  <c r="BD104" i="4"/>
  <c r="BC105" i="4"/>
  <c r="BD105" i="4"/>
  <c r="BC106" i="4"/>
  <c r="BD106" i="4"/>
  <c r="BC107" i="4"/>
  <c r="BD107" i="4"/>
  <c r="BC108" i="4"/>
  <c r="BD108" i="4"/>
  <c r="BC109" i="4"/>
  <c r="BD109" i="4"/>
  <c r="BC110" i="4"/>
  <c r="BD110" i="4"/>
  <c r="BC111" i="4"/>
  <c r="BD111" i="4"/>
  <c r="BC112" i="4"/>
  <c r="BD112" i="4"/>
  <c r="BC113" i="4"/>
  <c r="BD113" i="4"/>
  <c r="BC114" i="4"/>
  <c r="BD114" i="4"/>
  <c r="BC115" i="4"/>
  <c r="BD115" i="4"/>
  <c r="BC116" i="4"/>
  <c r="BD116" i="4"/>
  <c r="BC117" i="4"/>
  <c r="BD117" i="4"/>
  <c r="BC118" i="4"/>
  <c r="BD118" i="4"/>
  <c r="BC119" i="4"/>
  <c r="BD119" i="4"/>
  <c r="BC120" i="4"/>
  <c r="BD120" i="4"/>
  <c r="BC121" i="4"/>
  <c r="BD121" i="4"/>
  <c r="BC122" i="4"/>
  <c r="BD122" i="4"/>
  <c r="BC123" i="4"/>
  <c r="BD123" i="4"/>
  <c r="BC124" i="4"/>
  <c r="BD124" i="4"/>
  <c r="BC125" i="4"/>
  <c r="BD125" i="4"/>
  <c r="BC126" i="4"/>
  <c r="BD126" i="4"/>
  <c r="BC127" i="4"/>
  <c r="BD127" i="4"/>
  <c r="BC128" i="4"/>
  <c r="BD128" i="4"/>
  <c r="BC129" i="4"/>
  <c r="BD129" i="4"/>
  <c r="BC130" i="4"/>
  <c r="BD130" i="4"/>
  <c r="BC131" i="4"/>
  <c r="BD131" i="4"/>
  <c r="BC132" i="4"/>
  <c r="BD132" i="4"/>
  <c r="BC133" i="4"/>
  <c r="BD133" i="4"/>
  <c r="BC134" i="4"/>
  <c r="BD134" i="4"/>
  <c r="BC135" i="4"/>
  <c r="BD135" i="4"/>
  <c r="BC136" i="4"/>
  <c r="BD136" i="4"/>
  <c r="BC137" i="4"/>
  <c r="BD137" i="4"/>
  <c r="BC138" i="4"/>
  <c r="BD138" i="4"/>
  <c r="BC139" i="4"/>
  <c r="BD139" i="4"/>
  <c r="BC140" i="4"/>
  <c r="BD140" i="4"/>
  <c r="BC141" i="4"/>
  <c r="BD141" i="4"/>
  <c r="BC142" i="4"/>
  <c r="BD142" i="4"/>
  <c r="BC143" i="4"/>
  <c r="BD143" i="4"/>
  <c r="BC144" i="4"/>
  <c r="BD144" i="4"/>
  <c r="BC145" i="4"/>
  <c r="BD145" i="4"/>
  <c r="BC146" i="4"/>
  <c r="BD146" i="4"/>
  <c r="BC147" i="4"/>
  <c r="BD147" i="4"/>
  <c r="BC148" i="4"/>
  <c r="BD148" i="4"/>
  <c r="BC149" i="4"/>
  <c r="BD149" i="4"/>
  <c r="BC150" i="4"/>
  <c r="BD150" i="4"/>
  <c r="BC151" i="4"/>
  <c r="BD151" i="4"/>
  <c r="BC152" i="4"/>
  <c r="BD152" i="4"/>
  <c r="BC153" i="4"/>
  <c r="BD153" i="4"/>
  <c r="BC154" i="4"/>
  <c r="BD154" i="4"/>
  <c r="BC155" i="4"/>
  <c r="BD155" i="4"/>
  <c r="BC156" i="4"/>
  <c r="BD156" i="4"/>
  <c r="BC157" i="4"/>
  <c r="BD157" i="4"/>
  <c r="BC158" i="4"/>
  <c r="BD158" i="4"/>
  <c r="BC159" i="4"/>
  <c r="BD159" i="4"/>
  <c r="BC160" i="4"/>
  <c r="BD160" i="4"/>
  <c r="BC161" i="4"/>
  <c r="BD161" i="4"/>
  <c r="BC162" i="4"/>
  <c r="BD162" i="4"/>
  <c r="BC163" i="4"/>
  <c r="BD163" i="4"/>
  <c r="BC164" i="4"/>
  <c r="BD164" i="4"/>
  <c r="BC165" i="4"/>
  <c r="BD165" i="4"/>
  <c r="BC166" i="4"/>
  <c r="BD166" i="4"/>
  <c r="BC167" i="4"/>
  <c r="BD167" i="4"/>
  <c r="BC168" i="4"/>
  <c r="BD168" i="4"/>
  <c r="BC169" i="4"/>
  <c r="BD169" i="4"/>
  <c r="BC170" i="4"/>
  <c r="BD170" i="4"/>
  <c r="BC171" i="4"/>
  <c r="BD171" i="4"/>
  <c r="BC172" i="4"/>
  <c r="BD172" i="4"/>
  <c r="BC173" i="4"/>
  <c r="BD173" i="4"/>
  <c r="BC174" i="4"/>
  <c r="BD174" i="4"/>
  <c r="BC175" i="4"/>
  <c r="BD175" i="4"/>
  <c r="BC176" i="4"/>
  <c r="BD176" i="4"/>
  <c r="BC177" i="4"/>
  <c r="BD177" i="4"/>
  <c r="BC178" i="4"/>
  <c r="BD178" i="4"/>
  <c r="BC179" i="4"/>
  <c r="BD179" i="4"/>
  <c r="BC180" i="4"/>
  <c r="BD180" i="4"/>
  <c r="BC181" i="4"/>
  <c r="BD181" i="4"/>
  <c r="BC182" i="4"/>
  <c r="BD182" i="4"/>
  <c r="BC183" i="4"/>
  <c r="BD183" i="4"/>
  <c r="BC184" i="4"/>
  <c r="BD184" i="4"/>
  <c r="BC185" i="4"/>
  <c r="BD185" i="4"/>
  <c r="BC186" i="4"/>
  <c r="BD186" i="4"/>
  <c r="BC187" i="4"/>
  <c r="BD187" i="4"/>
  <c r="BC188" i="4"/>
  <c r="BD188" i="4"/>
  <c r="BC189" i="4"/>
  <c r="BD189" i="4"/>
  <c r="BC190" i="4"/>
  <c r="BD190" i="4"/>
  <c r="BC191" i="4"/>
  <c r="BD191" i="4"/>
  <c r="BC192" i="4"/>
  <c r="BD192" i="4"/>
  <c r="BC193" i="4"/>
  <c r="BD193" i="4"/>
  <c r="BC194" i="4"/>
  <c r="BD194" i="4"/>
  <c r="BC195" i="4"/>
  <c r="BD195" i="4"/>
  <c r="BC196" i="4"/>
  <c r="BD196" i="4"/>
  <c r="BC197" i="4"/>
  <c r="BD197" i="4"/>
  <c r="BC198" i="4"/>
  <c r="BD198" i="4"/>
  <c r="BC199" i="4"/>
  <c r="BD199" i="4"/>
  <c r="BC200" i="4"/>
  <c r="BD200" i="4"/>
  <c r="BC201" i="4"/>
  <c r="BD201" i="4"/>
  <c r="BC202" i="4"/>
  <c r="BD202" i="4"/>
  <c r="BC203" i="4"/>
  <c r="BD203" i="4"/>
  <c r="BC204" i="4"/>
  <c r="BD204" i="4"/>
  <c r="BC205" i="4"/>
  <c r="BD205" i="4"/>
  <c r="BC206" i="4"/>
  <c r="BD206" i="4"/>
  <c r="BC207" i="4"/>
  <c r="BD207" i="4"/>
  <c r="BC208" i="4"/>
  <c r="BD208" i="4"/>
  <c r="BC209" i="4"/>
  <c r="BD209" i="4"/>
  <c r="BC210" i="4"/>
  <c r="BD210" i="4"/>
  <c r="BC211" i="4"/>
  <c r="BD211" i="4"/>
  <c r="BC212" i="4"/>
  <c r="BD212" i="4"/>
  <c r="BC213" i="4"/>
  <c r="BD213" i="4"/>
  <c r="BC214" i="4"/>
  <c r="BD214" i="4"/>
  <c r="BC215" i="4"/>
  <c r="BD215" i="4"/>
  <c r="BC216" i="4"/>
  <c r="BD216" i="4"/>
  <c r="BC217" i="4"/>
  <c r="BD217" i="4"/>
  <c r="BC218" i="4"/>
  <c r="BD218" i="4"/>
  <c r="BC219" i="4"/>
  <c r="BD219" i="4"/>
  <c r="BC220" i="4"/>
  <c r="BD220" i="4"/>
  <c r="BC221" i="4"/>
  <c r="BD221" i="4"/>
  <c r="BC222" i="4"/>
  <c r="BD222" i="4"/>
  <c r="BC223" i="4"/>
  <c r="BD223" i="4"/>
  <c r="BC224" i="4"/>
  <c r="BD224" i="4"/>
  <c r="BC225" i="4"/>
  <c r="BD225" i="4"/>
  <c r="BC226" i="4"/>
  <c r="BD226" i="4"/>
  <c r="BC227" i="4"/>
  <c r="BD227" i="4"/>
  <c r="BC228" i="4"/>
  <c r="BD228" i="4"/>
  <c r="BC229" i="4"/>
  <c r="BD229" i="4"/>
  <c r="BC230" i="4"/>
  <c r="BD230" i="4"/>
  <c r="BC231" i="4"/>
  <c r="BD231" i="4"/>
  <c r="BC232" i="4"/>
  <c r="BD232" i="4"/>
  <c r="BC233" i="4"/>
  <c r="BD233" i="4"/>
  <c r="BC234" i="4"/>
  <c r="BD234" i="4"/>
  <c r="BC235" i="4"/>
  <c r="BD235" i="4"/>
  <c r="BC236" i="4"/>
  <c r="BD236" i="4"/>
  <c r="BC237" i="4"/>
  <c r="BD237" i="4"/>
  <c r="BC238" i="4"/>
  <c r="BD238" i="4"/>
  <c r="BD8" i="4"/>
  <c r="BC8" i="4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9" i="9"/>
  <c r="N243" i="9" s="1"/>
  <c r="GX258" i="9" l="1"/>
  <c r="GW258" i="9"/>
  <c r="GV258" i="9"/>
  <c r="GX257" i="9"/>
  <c r="GW257" i="9"/>
  <c r="GV257" i="9"/>
  <c r="FH257" i="9"/>
  <c r="GX256" i="9"/>
  <c r="GW256" i="9"/>
  <c r="GV256" i="9"/>
  <c r="GX255" i="9"/>
  <c r="GW255" i="9"/>
  <c r="GV255" i="9"/>
  <c r="GA255" i="9"/>
  <c r="FX255" i="9"/>
  <c r="FW255" i="9"/>
  <c r="FR255" i="9"/>
  <c r="FQ255" i="9"/>
  <c r="FN255" i="9"/>
  <c r="FL255" i="9"/>
  <c r="FJ255" i="9"/>
  <c r="FI255" i="9"/>
  <c r="FB255" i="9"/>
  <c r="GX254" i="9"/>
  <c r="GY254" i="9" s="1"/>
  <c r="GW254" i="9"/>
  <c r="GV254" i="9"/>
  <c r="FB254" i="9"/>
  <c r="GX253" i="9"/>
  <c r="GW253" i="9"/>
  <c r="GV253" i="9"/>
  <c r="GX252" i="9"/>
  <c r="GW252" i="9"/>
  <c r="GV252" i="9"/>
  <c r="CI252" i="9"/>
  <c r="CH252" i="9"/>
  <c r="GX251" i="9"/>
  <c r="GW251" i="9"/>
  <c r="GV251" i="9"/>
  <c r="CI251" i="9"/>
  <c r="CH251" i="9"/>
  <c r="GX250" i="9"/>
  <c r="GW250" i="9"/>
  <c r="GV250" i="9"/>
  <c r="GX249" i="9"/>
  <c r="GW249" i="9"/>
  <c r="GV249" i="9"/>
  <c r="GX248" i="9"/>
  <c r="GW248" i="9"/>
  <c r="GV248" i="9"/>
  <c r="BE244" i="9"/>
  <c r="BD244" i="9"/>
  <c r="BC244" i="9"/>
  <c r="AV244" i="9"/>
  <c r="AU244" i="9"/>
  <c r="AT244" i="9"/>
  <c r="AS244" i="9"/>
  <c r="AR244" i="9"/>
  <c r="AQ244" i="9"/>
  <c r="AP244" i="9"/>
  <c r="AO244" i="9"/>
  <c r="AN244" i="9"/>
  <c r="AM244" i="9"/>
  <c r="AL244" i="9"/>
  <c r="AK244" i="9"/>
  <c r="AJ244" i="9"/>
  <c r="AI244" i="9"/>
  <c r="AH244" i="9"/>
  <c r="AG244" i="9"/>
  <c r="AF244" i="9"/>
  <c r="AE244" i="9"/>
  <c r="AD244" i="9"/>
  <c r="AB244" i="9"/>
  <c r="AA244" i="9"/>
  <c r="Z244" i="9"/>
  <c r="Y244" i="9"/>
  <c r="X244" i="9"/>
  <c r="W244" i="9"/>
  <c r="V244" i="9"/>
  <c r="T244" i="9"/>
  <c r="R244" i="9"/>
  <c r="P244" i="9"/>
  <c r="O244" i="9"/>
  <c r="M244" i="9"/>
  <c r="L244" i="9"/>
  <c r="F244" i="9"/>
  <c r="E244" i="9"/>
  <c r="D244" i="9"/>
  <c r="A244" i="9"/>
  <c r="ES243" i="9"/>
  <c r="BT243" i="9"/>
  <c r="BN243" i="9"/>
  <c r="BM243" i="9"/>
  <c r="BL243" i="9"/>
  <c r="BK243" i="9"/>
  <c r="BJ243" i="9"/>
  <c r="EW243" i="9" s="1"/>
  <c r="BI243" i="9"/>
  <c r="BH243" i="9"/>
  <c r="BG243" i="9"/>
  <c r="BF243" i="9"/>
  <c r="BE243" i="9"/>
  <c r="BE245" i="9" s="1"/>
  <c r="BD243" i="9"/>
  <c r="BC243" i="9"/>
  <c r="BA243" i="9"/>
  <c r="AX243" i="9"/>
  <c r="AW243" i="9"/>
  <c r="AW244" i="9" s="1"/>
  <c r="AV243" i="9"/>
  <c r="AU243" i="9"/>
  <c r="AT243" i="9"/>
  <c r="AS243" i="9"/>
  <c r="AR243" i="9"/>
  <c r="AQ243" i="9"/>
  <c r="AP243" i="9"/>
  <c r="AP245" i="9" s="1"/>
  <c r="AO243" i="9"/>
  <c r="AN243" i="9"/>
  <c r="AM243" i="9"/>
  <c r="AL243" i="9"/>
  <c r="AK243" i="9"/>
  <c r="AJ243" i="9"/>
  <c r="AI243" i="9"/>
  <c r="AH243" i="9"/>
  <c r="AG243" i="9"/>
  <c r="AF243" i="9"/>
  <c r="AE243" i="9"/>
  <c r="AD243" i="9"/>
  <c r="AC243" i="9"/>
  <c r="AB243" i="9"/>
  <c r="AA243" i="9"/>
  <c r="Z243" i="9"/>
  <c r="Y243" i="9"/>
  <c r="X243" i="9"/>
  <c r="W243" i="9"/>
  <c r="V243" i="9"/>
  <c r="U243" i="9"/>
  <c r="T243" i="9"/>
  <c r="S243" i="9"/>
  <c r="S245" i="9" s="1"/>
  <c r="R243" i="9"/>
  <c r="Q243" i="9"/>
  <c r="Q245" i="9" s="1"/>
  <c r="P243" i="9"/>
  <c r="O243" i="9"/>
  <c r="M243" i="9"/>
  <c r="L243" i="9"/>
  <c r="H243" i="9"/>
  <c r="G243" i="9"/>
  <c r="F243" i="9"/>
  <c r="E243" i="9"/>
  <c r="D243" i="9"/>
  <c r="FZ242" i="9"/>
  <c r="FY242" i="9"/>
  <c r="FH242" i="9"/>
  <c r="ET242" i="9"/>
  <c r="ES242" i="9"/>
  <c r="HA239" i="9"/>
  <c r="GX239" i="9"/>
  <c r="HB239" i="9" s="1"/>
  <c r="GW239" i="9"/>
  <c r="GV239" i="9"/>
  <c r="GZ239" i="9" s="1"/>
  <c r="GS239" i="9"/>
  <c r="GR239" i="9"/>
  <c r="GP239" i="9"/>
  <c r="GO239" i="9"/>
  <c r="GJ239" i="9"/>
  <c r="GH239" i="9"/>
  <c r="FZ239" i="9"/>
  <c r="FY239" i="9"/>
  <c r="FO239" i="9"/>
  <c r="FH239" i="9"/>
  <c r="ET239" i="9"/>
  <c r="ES239" i="9"/>
  <c r="CE239" i="9"/>
  <c r="CB239" i="9"/>
  <c r="CA239" i="9"/>
  <c r="AY239" i="9"/>
  <c r="AZ239" i="9" s="1"/>
  <c r="K239" i="9"/>
  <c r="J239" i="9"/>
  <c r="GW238" i="9"/>
  <c r="HA238" i="9" s="1"/>
  <c r="GV238" i="9"/>
  <c r="GS238" i="9"/>
  <c r="GR238" i="9"/>
  <c r="GP238" i="9"/>
  <c r="GO238" i="9"/>
  <c r="GJ238" i="9"/>
  <c r="GH238" i="9"/>
  <c r="GC238" i="9"/>
  <c r="GB238" i="9"/>
  <c r="FZ238" i="9"/>
  <c r="FY238" i="9"/>
  <c r="FP238" i="9"/>
  <c r="FO238" i="9"/>
  <c r="FH238" i="9"/>
  <c r="FC238" i="9"/>
  <c r="FB238" i="9"/>
  <c r="FD238" i="9" s="1"/>
  <c r="FA238" i="9"/>
  <c r="EZ238" i="9"/>
  <c r="ET238" i="9"/>
  <c r="FT238" i="9" s="1"/>
  <c r="ES238" i="9"/>
  <c r="EV238" i="9" s="1"/>
  <c r="FK238" i="9" s="1"/>
  <c r="ED238" i="9"/>
  <c r="EB238" i="9"/>
  <c r="DZ238" i="9"/>
  <c r="DP238" i="9"/>
  <c r="CE238" i="9"/>
  <c r="CG238" i="9" s="1"/>
  <c r="CB238" i="9"/>
  <c r="CA238" i="9"/>
  <c r="AY238" i="9"/>
  <c r="AZ238" i="9" s="1"/>
  <c r="K238" i="9"/>
  <c r="J238" i="9"/>
  <c r="GZ237" i="9"/>
  <c r="GW237" i="9"/>
  <c r="HA237" i="9" s="1"/>
  <c r="GV237" i="9"/>
  <c r="GS237" i="9"/>
  <c r="GR237" i="9"/>
  <c r="GP237" i="9"/>
  <c r="GO237" i="9"/>
  <c r="GJ237" i="9"/>
  <c r="GH237" i="9"/>
  <c r="GC237" i="9"/>
  <c r="GB237" i="9"/>
  <c r="FZ237" i="9"/>
  <c r="FY237" i="9"/>
  <c r="FP237" i="9"/>
  <c r="FO237" i="9"/>
  <c r="FH237" i="9"/>
  <c r="FC237" i="9"/>
  <c r="FB237" i="9"/>
  <c r="FD237" i="9" s="1"/>
  <c r="FA237" i="9"/>
  <c r="FE237" i="9" s="1"/>
  <c r="EZ237" i="9"/>
  <c r="ET237" i="9"/>
  <c r="ES237" i="9"/>
  <c r="EV237" i="9" s="1"/>
  <c r="FK237" i="9" s="1"/>
  <c r="ED237" i="9"/>
  <c r="EB237" i="9"/>
  <c r="DZ237" i="9"/>
  <c r="DP237" i="9"/>
  <c r="CE237" i="9"/>
  <c r="CB237" i="9"/>
  <c r="CA237" i="9"/>
  <c r="AY237" i="9"/>
  <c r="AZ237" i="9" s="1"/>
  <c r="K237" i="9"/>
  <c r="J237" i="9"/>
  <c r="GW236" i="9"/>
  <c r="GV236" i="9"/>
  <c r="GZ236" i="9" s="1"/>
  <c r="GS236" i="9"/>
  <c r="GR236" i="9"/>
  <c r="GP236" i="9"/>
  <c r="GO236" i="9"/>
  <c r="GJ236" i="9"/>
  <c r="GH236" i="9"/>
  <c r="GC236" i="9"/>
  <c r="GB236" i="9"/>
  <c r="FZ236" i="9"/>
  <c r="FY236" i="9"/>
  <c r="FP236" i="9"/>
  <c r="FO236" i="9"/>
  <c r="FM236" i="9"/>
  <c r="FH236" i="9"/>
  <c r="FA236" i="9"/>
  <c r="EZ236" i="9"/>
  <c r="ET236" i="9"/>
  <c r="FT236" i="9" s="1"/>
  <c r="ES236" i="9"/>
  <c r="FB236" i="9" s="1"/>
  <c r="ED236" i="9"/>
  <c r="EB236" i="9"/>
  <c r="DZ236" i="9"/>
  <c r="DP236" i="9"/>
  <c r="CB236" i="9"/>
  <c r="CA236" i="9"/>
  <c r="AY236" i="9"/>
  <c r="AZ236" i="9" s="1"/>
  <c r="K236" i="9"/>
  <c r="I236" i="9" s="1"/>
  <c r="J236" i="9"/>
  <c r="GW235" i="9"/>
  <c r="HA235" i="9" s="1"/>
  <c r="GV235" i="9"/>
  <c r="GS235" i="9"/>
  <c r="GR235" i="9"/>
  <c r="GP235" i="9"/>
  <c r="GO235" i="9"/>
  <c r="GJ235" i="9"/>
  <c r="GH235" i="9"/>
  <c r="GC235" i="9"/>
  <c r="GB235" i="9"/>
  <c r="FZ235" i="9"/>
  <c r="FY235" i="9"/>
  <c r="FP235" i="9"/>
  <c r="FO235" i="9"/>
  <c r="FH235" i="9"/>
  <c r="FA235" i="9"/>
  <c r="EZ235" i="9"/>
  <c r="ET235" i="9"/>
  <c r="ES235" i="9"/>
  <c r="FS235" i="9" s="1"/>
  <c r="ED235" i="9"/>
  <c r="EB235" i="9"/>
  <c r="DZ235" i="9"/>
  <c r="DP235" i="9"/>
  <c r="CE235" i="9"/>
  <c r="CG235" i="9" s="1"/>
  <c r="CB235" i="9"/>
  <c r="CA235" i="9"/>
  <c r="AY235" i="9"/>
  <c r="AZ235" i="9" s="1"/>
  <c r="K235" i="9"/>
  <c r="J235" i="9"/>
  <c r="GW234" i="9"/>
  <c r="HA234" i="9" s="1"/>
  <c r="GV234" i="9"/>
  <c r="GS234" i="9"/>
  <c r="GR234" i="9"/>
  <c r="GP234" i="9"/>
  <c r="GO234" i="9"/>
  <c r="GJ234" i="9"/>
  <c r="GH234" i="9"/>
  <c r="GC234" i="9"/>
  <c r="GB234" i="9"/>
  <c r="FZ234" i="9"/>
  <c r="FY234" i="9"/>
  <c r="FP234" i="9"/>
  <c r="FO234" i="9"/>
  <c r="FU234" i="9" s="1"/>
  <c r="FH234" i="9"/>
  <c r="FA234" i="9"/>
  <c r="EZ234" i="9"/>
  <c r="EV234" i="9"/>
  <c r="FK234" i="9" s="1"/>
  <c r="ET234" i="9"/>
  <c r="ES234" i="9"/>
  <c r="FS234" i="9" s="1"/>
  <c r="ED234" i="9"/>
  <c r="EB234" i="9"/>
  <c r="DZ234" i="9"/>
  <c r="DP234" i="9"/>
  <c r="CE234" i="9"/>
  <c r="CG234" i="9" s="1"/>
  <c r="CD234" i="9"/>
  <c r="CF234" i="9" s="1"/>
  <c r="CB234" i="9"/>
  <c r="CA234" i="9"/>
  <c r="AY234" i="9"/>
  <c r="AZ234" i="9" s="1"/>
  <c r="K234" i="9"/>
  <c r="J234" i="9"/>
  <c r="HA233" i="9"/>
  <c r="GX233" i="9"/>
  <c r="HB233" i="9" s="1"/>
  <c r="GW233" i="9"/>
  <c r="GV233" i="9"/>
  <c r="GZ233" i="9" s="1"/>
  <c r="GS233" i="9"/>
  <c r="GR233" i="9"/>
  <c r="GP233" i="9"/>
  <c r="GO233" i="9"/>
  <c r="GJ233" i="9"/>
  <c r="GH233" i="9"/>
  <c r="GC233" i="9"/>
  <c r="GB233" i="9"/>
  <c r="FZ233" i="9"/>
  <c r="FY233" i="9"/>
  <c r="FP233" i="9"/>
  <c r="FO233" i="9"/>
  <c r="FH233" i="9"/>
  <c r="FA233" i="9"/>
  <c r="EZ233" i="9"/>
  <c r="ET233" i="9"/>
  <c r="FT233" i="9" s="1"/>
  <c r="ES233" i="9"/>
  <c r="FS233" i="9" s="1"/>
  <c r="ED233" i="9"/>
  <c r="EB233" i="9"/>
  <c r="DZ233" i="9"/>
  <c r="DP233" i="9"/>
  <c r="CB233" i="9"/>
  <c r="CA233" i="9"/>
  <c r="AY233" i="9"/>
  <c r="AZ233" i="9" s="1"/>
  <c r="K233" i="9"/>
  <c r="I233" i="9" s="1"/>
  <c r="J233" i="9"/>
  <c r="GW232" i="9"/>
  <c r="GV232" i="9"/>
  <c r="GZ232" i="9" s="1"/>
  <c r="GS232" i="9"/>
  <c r="GR232" i="9"/>
  <c r="GP232" i="9"/>
  <c r="GO232" i="9"/>
  <c r="GJ232" i="9"/>
  <c r="GH232" i="9"/>
  <c r="GC232" i="9"/>
  <c r="GB232" i="9"/>
  <c r="FZ232" i="9"/>
  <c r="FY232" i="9"/>
  <c r="FP232" i="9"/>
  <c r="FO232" i="9"/>
  <c r="FH232" i="9"/>
  <c r="FC232" i="9"/>
  <c r="FB232" i="9"/>
  <c r="FD232" i="9" s="1"/>
  <c r="FA232" i="9"/>
  <c r="EZ232" i="9"/>
  <c r="ET232" i="9"/>
  <c r="FT232" i="9" s="1"/>
  <c r="ES232" i="9"/>
  <c r="FS232" i="9" s="1"/>
  <c r="ED232" i="9"/>
  <c r="EB232" i="9"/>
  <c r="DZ232" i="9"/>
  <c r="DP232" i="9"/>
  <c r="CB232" i="9"/>
  <c r="CA232" i="9"/>
  <c r="AY232" i="9"/>
  <c r="AZ232" i="9" s="1"/>
  <c r="K232" i="9"/>
  <c r="J232" i="9"/>
  <c r="GW231" i="9"/>
  <c r="HA231" i="9" s="1"/>
  <c r="GV231" i="9"/>
  <c r="GZ231" i="9" s="1"/>
  <c r="GS231" i="9"/>
  <c r="GR231" i="9"/>
  <c r="GP231" i="9"/>
  <c r="GO231" i="9"/>
  <c r="GJ231" i="9"/>
  <c r="GH231" i="9"/>
  <c r="GC231" i="9"/>
  <c r="GB231" i="9"/>
  <c r="FZ231" i="9"/>
  <c r="FY231" i="9"/>
  <c r="FP231" i="9"/>
  <c r="FV231" i="9" s="1"/>
  <c r="FO231" i="9"/>
  <c r="FM231" i="9"/>
  <c r="FH231" i="9"/>
  <c r="FA231" i="9"/>
  <c r="EZ231" i="9"/>
  <c r="ET231" i="9"/>
  <c r="FT231" i="9" s="1"/>
  <c r="ES231" i="9"/>
  <c r="ED231" i="9"/>
  <c r="EB231" i="9"/>
  <c r="DZ231" i="9"/>
  <c r="DP231" i="9"/>
  <c r="CE231" i="9"/>
  <c r="CG231" i="9" s="1"/>
  <c r="CD231" i="9"/>
  <c r="CF231" i="9" s="1"/>
  <c r="CB231" i="9"/>
  <c r="CA231" i="9"/>
  <c r="AY231" i="9"/>
  <c r="AZ231" i="9" s="1"/>
  <c r="K231" i="9"/>
  <c r="J231" i="9"/>
  <c r="GW230" i="9"/>
  <c r="HA230" i="9" s="1"/>
  <c r="GV230" i="9"/>
  <c r="GZ230" i="9" s="1"/>
  <c r="GS230" i="9"/>
  <c r="GR230" i="9"/>
  <c r="GP230" i="9"/>
  <c r="GO230" i="9"/>
  <c r="GJ230" i="9"/>
  <c r="GH230" i="9"/>
  <c r="GC230" i="9"/>
  <c r="GB230" i="9"/>
  <c r="FZ230" i="9"/>
  <c r="FY230" i="9"/>
  <c r="FU230" i="9"/>
  <c r="FP230" i="9"/>
  <c r="FO230" i="9"/>
  <c r="FH230" i="9"/>
  <c r="FC230" i="9"/>
  <c r="FE230" i="9" s="1"/>
  <c r="FB230" i="9"/>
  <c r="FD230" i="9" s="1"/>
  <c r="FA230" i="9"/>
  <c r="EZ230" i="9"/>
  <c r="EV230" i="9"/>
  <c r="FK230" i="9" s="1"/>
  <c r="ET230" i="9"/>
  <c r="ES230" i="9"/>
  <c r="FS230" i="9" s="1"/>
  <c r="ED230" i="9"/>
  <c r="EB230" i="9"/>
  <c r="DZ230" i="9"/>
  <c r="DP230" i="9"/>
  <c r="CB230" i="9"/>
  <c r="CA230" i="9"/>
  <c r="AZ230" i="9"/>
  <c r="AY230" i="9"/>
  <c r="K230" i="9"/>
  <c r="J230" i="9"/>
  <c r="GW229" i="9"/>
  <c r="GV229" i="9"/>
  <c r="GZ229" i="9" s="1"/>
  <c r="GS229" i="9"/>
  <c r="GR229" i="9"/>
  <c r="GP229" i="9"/>
  <c r="GO229" i="9"/>
  <c r="GJ229" i="9"/>
  <c r="GH229" i="9"/>
  <c r="GC229" i="9"/>
  <c r="GB229" i="9"/>
  <c r="FZ229" i="9"/>
  <c r="FY229" i="9"/>
  <c r="FT229" i="9"/>
  <c r="FV229" i="9" s="1"/>
  <c r="FP229" i="9"/>
  <c r="FO229" i="9"/>
  <c r="FH229" i="9"/>
  <c r="FC229" i="9"/>
  <c r="FB229" i="9"/>
  <c r="FD229" i="9" s="1"/>
  <c r="FA229" i="9"/>
  <c r="EZ229" i="9"/>
  <c r="EV229" i="9"/>
  <c r="FK229" i="9" s="1"/>
  <c r="ET229" i="9"/>
  <c r="EW229" i="9" s="1"/>
  <c r="FM229" i="9" s="1"/>
  <c r="ES229" i="9"/>
  <c r="FS229" i="9" s="1"/>
  <c r="ED229" i="9"/>
  <c r="EB229" i="9"/>
  <c r="DZ229" i="9"/>
  <c r="DP229" i="9"/>
  <c r="CB229" i="9"/>
  <c r="CA229" i="9"/>
  <c r="AY229" i="9"/>
  <c r="AZ229" i="9" s="1"/>
  <c r="K229" i="9"/>
  <c r="J229" i="9"/>
  <c r="I229" i="9" s="1"/>
  <c r="GZ228" i="9"/>
  <c r="GW228" i="9"/>
  <c r="HA228" i="9" s="1"/>
  <c r="GV228" i="9"/>
  <c r="GS228" i="9"/>
  <c r="GR228" i="9"/>
  <c r="GP228" i="9"/>
  <c r="GO228" i="9"/>
  <c r="GJ228" i="9"/>
  <c r="GH228" i="9"/>
  <c r="GC228" i="9"/>
  <c r="GB228" i="9"/>
  <c r="FZ228" i="9"/>
  <c r="FY228" i="9"/>
  <c r="FP228" i="9"/>
  <c r="FO228" i="9"/>
  <c r="FM228" i="9"/>
  <c r="FH228" i="9"/>
  <c r="FA228" i="9"/>
  <c r="EZ228" i="9"/>
  <c r="ET228" i="9"/>
  <c r="FT228" i="9" s="1"/>
  <c r="ES228" i="9"/>
  <c r="ED228" i="9"/>
  <c r="EB228" i="9"/>
  <c r="DZ228" i="9"/>
  <c r="DP228" i="9"/>
  <c r="CB228" i="9"/>
  <c r="CA228" i="9"/>
  <c r="AY228" i="9"/>
  <c r="AZ228" i="9" s="1"/>
  <c r="K228" i="9"/>
  <c r="J228" i="9"/>
  <c r="GW227" i="9"/>
  <c r="HA227" i="9" s="1"/>
  <c r="GV227" i="9"/>
  <c r="GS227" i="9"/>
  <c r="GR227" i="9"/>
  <c r="GP227" i="9"/>
  <c r="GO227" i="9"/>
  <c r="GJ227" i="9"/>
  <c r="GH227" i="9"/>
  <c r="GC227" i="9"/>
  <c r="GB227" i="9"/>
  <c r="FZ227" i="9"/>
  <c r="FY227" i="9"/>
  <c r="FP227" i="9"/>
  <c r="FO227" i="9"/>
  <c r="FM227" i="9"/>
  <c r="FH227" i="9"/>
  <c r="FA227" i="9"/>
  <c r="EZ227" i="9"/>
  <c r="ET227" i="9"/>
  <c r="FT227" i="9" s="1"/>
  <c r="ES227" i="9"/>
  <c r="ED227" i="9"/>
  <c r="EB227" i="9"/>
  <c r="DZ227" i="9"/>
  <c r="DP227" i="9"/>
  <c r="CB227" i="9"/>
  <c r="CA227" i="9"/>
  <c r="AY227" i="9"/>
  <c r="AZ227" i="9" s="1"/>
  <c r="K227" i="9"/>
  <c r="J227" i="9"/>
  <c r="I227" i="9" s="1"/>
  <c r="GW226" i="9"/>
  <c r="GV226" i="9"/>
  <c r="GZ226" i="9" s="1"/>
  <c r="GS226" i="9"/>
  <c r="GR226" i="9"/>
  <c r="GP226" i="9"/>
  <c r="GO226" i="9"/>
  <c r="GJ226" i="9"/>
  <c r="GH226" i="9"/>
  <c r="GK226" i="9" s="1"/>
  <c r="GC226" i="9"/>
  <c r="GB226" i="9"/>
  <c r="FZ226" i="9"/>
  <c r="FY226" i="9"/>
  <c r="FP226" i="9"/>
  <c r="FO226" i="9"/>
  <c r="FH226" i="9"/>
  <c r="FD226" i="9"/>
  <c r="FC226" i="9"/>
  <c r="FB226" i="9"/>
  <c r="FA226" i="9"/>
  <c r="EZ226" i="9"/>
  <c r="ET226" i="9"/>
  <c r="ES226" i="9"/>
  <c r="EV226" i="9" s="1"/>
  <c r="FK226" i="9" s="1"/>
  <c r="ED226" i="9"/>
  <c r="EB226" i="9"/>
  <c r="DZ226" i="9"/>
  <c r="DP226" i="9"/>
  <c r="CE226" i="9"/>
  <c r="CD226" i="9" s="1"/>
  <c r="CF226" i="9" s="1"/>
  <c r="CB226" i="9"/>
  <c r="CA226" i="9"/>
  <c r="AY226" i="9"/>
  <c r="AZ226" i="9" s="1"/>
  <c r="K226" i="9"/>
  <c r="J226" i="9"/>
  <c r="I226" i="9" s="1"/>
  <c r="GW225" i="9"/>
  <c r="HA225" i="9" s="1"/>
  <c r="GV225" i="9"/>
  <c r="GS225" i="9"/>
  <c r="GR225" i="9"/>
  <c r="GP225" i="9"/>
  <c r="GO225" i="9"/>
  <c r="GJ225" i="9"/>
  <c r="GH225" i="9"/>
  <c r="GC225" i="9"/>
  <c r="GB225" i="9"/>
  <c r="FZ225" i="9"/>
  <c r="FY225" i="9"/>
  <c r="FP225" i="9"/>
  <c r="FO225" i="9"/>
  <c r="FM225" i="9"/>
  <c r="FH225" i="9"/>
  <c r="FA225" i="9"/>
  <c r="EZ225" i="9"/>
  <c r="ET225" i="9"/>
  <c r="FT225" i="9" s="1"/>
  <c r="ES225" i="9"/>
  <c r="ED225" i="9"/>
  <c r="EB225" i="9"/>
  <c r="DZ225" i="9"/>
  <c r="DP225" i="9"/>
  <c r="CB225" i="9"/>
  <c r="CA225" i="9"/>
  <c r="AY225" i="9"/>
  <c r="AZ225" i="9" s="1"/>
  <c r="K225" i="9"/>
  <c r="J225" i="9"/>
  <c r="GW224" i="9"/>
  <c r="HA224" i="9" s="1"/>
  <c r="GV224" i="9"/>
  <c r="GS224" i="9"/>
  <c r="GR224" i="9"/>
  <c r="GP224" i="9"/>
  <c r="GO224" i="9"/>
  <c r="GJ224" i="9"/>
  <c r="GH224" i="9"/>
  <c r="GC224" i="9"/>
  <c r="GB224" i="9"/>
  <c r="FZ224" i="9"/>
  <c r="FY224" i="9"/>
  <c r="FP224" i="9"/>
  <c r="FO224" i="9"/>
  <c r="FM224" i="9"/>
  <c r="FH224" i="9"/>
  <c r="FA224" i="9"/>
  <c r="EZ224" i="9"/>
  <c r="ET224" i="9"/>
  <c r="FT224" i="9" s="1"/>
  <c r="ES224" i="9"/>
  <c r="ED224" i="9"/>
  <c r="EB224" i="9"/>
  <c r="DZ224" i="9"/>
  <c r="DP224" i="9"/>
  <c r="CB224" i="9"/>
  <c r="CA224" i="9"/>
  <c r="AY224" i="9"/>
  <c r="AZ224" i="9" s="1"/>
  <c r="K224" i="9"/>
  <c r="J224" i="9"/>
  <c r="I224" i="9" s="1"/>
  <c r="GW223" i="9"/>
  <c r="HA223" i="9" s="1"/>
  <c r="GV223" i="9"/>
  <c r="GS223" i="9"/>
  <c r="GR223" i="9"/>
  <c r="GP223" i="9"/>
  <c r="GO223" i="9"/>
  <c r="GJ223" i="9"/>
  <c r="GH223" i="9"/>
  <c r="GC223" i="9"/>
  <c r="GB223" i="9"/>
  <c r="FZ223" i="9"/>
  <c r="FY223" i="9"/>
  <c r="FP223" i="9"/>
  <c r="FO223" i="9"/>
  <c r="FM223" i="9"/>
  <c r="FH223" i="9"/>
  <c r="FA223" i="9"/>
  <c r="EZ223" i="9"/>
  <c r="ET223" i="9"/>
  <c r="FT223" i="9" s="1"/>
  <c r="ES223" i="9"/>
  <c r="ED223" i="9"/>
  <c r="EB223" i="9"/>
  <c r="DZ223" i="9"/>
  <c r="DP223" i="9"/>
  <c r="CB223" i="9"/>
  <c r="CA223" i="9"/>
  <c r="AY223" i="9"/>
  <c r="AZ223" i="9" s="1"/>
  <c r="K223" i="9"/>
  <c r="J223" i="9"/>
  <c r="GW222" i="9"/>
  <c r="GV222" i="9"/>
  <c r="GZ222" i="9" s="1"/>
  <c r="GS222" i="9"/>
  <c r="GR222" i="9"/>
  <c r="GP222" i="9"/>
  <c r="GO222" i="9"/>
  <c r="GJ222" i="9"/>
  <c r="GH222" i="9"/>
  <c r="GC222" i="9"/>
  <c r="GB222" i="9"/>
  <c r="FZ222" i="9"/>
  <c r="FY222" i="9"/>
  <c r="FP222" i="9"/>
  <c r="FO222" i="9"/>
  <c r="FM222" i="9"/>
  <c r="FH222" i="9"/>
  <c r="FA222" i="9"/>
  <c r="EZ222" i="9"/>
  <c r="ET222" i="9"/>
  <c r="FT222" i="9" s="1"/>
  <c r="ES222" i="9"/>
  <c r="EY222" i="9" s="1"/>
  <c r="ED222" i="9"/>
  <c r="EB222" i="9"/>
  <c r="DZ222" i="9"/>
  <c r="DP222" i="9"/>
  <c r="CB222" i="9"/>
  <c r="CA222" i="9"/>
  <c r="AY222" i="9"/>
  <c r="AZ222" i="9" s="1"/>
  <c r="K222" i="9"/>
  <c r="J222" i="9"/>
  <c r="GZ221" i="9"/>
  <c r="GW221" i="9"/>
  <c r="GV221" i="9"/>
  <c r="GS221" i="9"/>
  <c r="GR221" i="9"/>
  <c r="GP221" i="9"/>
  <c r="GO221" i="9"/>
  <c r="GJ221" i="9"/>
  <c r="GH221" i="9"/>
  <c r="GC221" i="9"/>
  <c r="GB221" i="9"/>
  <c r="FZ221" i="9"/>
  <c r="FY221" i="9"/>
  <c r="FP221" i="9"/>
  <c r="FO221" i="9"/>
  <c r="FH221" i="9"/>
  <c r="FC221" i="9"/>
  <c r="FB221" i="9"/>
  <c r="FD221" i="9" s="1"/>
  <c r="FA221" i="9"/>
  <c r="EZ221" i="9"/>
  <c r="ET221" i="9"/>
  <c r="ES221" i="9"/>
  <c r="EV221" i="9" s="1"/>
  <c r="FK221" i="9" s="1"/>
  <c r="ED221" i="9"/>
  <c r="EB221" i="9"/>
  <c r="DZ221" i="9"/>
  <c r="DP221" i="9"/>
  <c r="CB221" i="9"/>
  <c r="CA221" i="9"/>
  <c r="AY221" i="9"/>
  <c r="AZ221" i="9" s="1"/>
  <c r="K221" i="9"/>
  <c r="I221" i="9" s="1"/>
  <c r="J221" i="9"/>
  <c r="GW220" i="9"/>
  <c r="HA220" i="9" s="1"/>
  <c r="GV220" i="9"/>
  <c r="GS220" i="9"/>
  <c r="GR220" i="9"/>
  <c r="GP220" i="9"/>
  <c r="GO220" i="9"/>
  <c r="GJ220" i="9"/>
  <c r="GH220" i="9"/>
  <c r="GC220" i="9"/>
  <c r="GB220" i="9"/>
  <c r="FZ220" i="9"/>
  <c r="FY220" i="9"/>
  <c r="FP220" i="9"/>
  <c r="FO220" i="9"/>
  <c r="FM220" i="9"/>
  <c r="FH220" i="9"/>
  <c r="FA220" i="9"/>
  <c r="EZ220" i="9"/>
  <c r="ET220" i="9"/>
  <c r="FT220" i="9" s="1"/>
  <c r="ES220" i="9"/>
  <c r="FS220" i="9" s="1"/>
  <c r="ED220" i="9"/>
  <c r="EB220" i="9"/>
  <c r="DZ220" i="9"/>
  <c r="DP220" i="9"/>
  <c r="CE220" i="9"/>
  <c r="CB220" i="9"/>
  <c r="CA220" i="9"/>
  <c r="AY220" i="9"/>
  <c r="AZ220" i="9" s="1"/>
  <c r="K220" i="9"/>
  <c r="J220" i="9"/>
  <c r="GW219" i="9"/>
  <c r="HA219" i="9" s="1"/>
  <c r="GV219" i="9"/>
  <c r="GS219" i="9"/>
  <c r="GR219" i="9"/>
  <c r="GP219" i="9"/>
  <c r="GO219" i="9"/>
  <c r="GJ219" i="9"/>
  <c r="GH219" i="9"/>
  <c r="GC219" i="9"/>
  <c r="GB219" i="9"/>
  <c r="FZ219" i="9"/>
  <c r="FY219" i="9"/>
  <c r="FP219" i="9"/>
  <c r="FO219" i="9"/>
  <c r="FM219" i="9"/>
  <c r="FH219" i="9"/>
  <c r="FA219" i="9"/>
  <c r="EZ219" i="9"/>
  <c r="EX219" i="9"/>
  <c r="ET219" i="9"/>
  <c r="FT219" i="9" s="1"/>
  <c r="ES219" i="9"/>
  <c r="FS219" i="9" s="1"/>
  <c r="ED219" i="9"/>
  <c r="EB219" i="9"/>
  <c r="DZ219" i="9"/>
  <c r="DP219" i="9"/>
  <c r="CE219" i="9"/>
  <c r="CB219" i="9"/>
  <c r="CA219" i="9"/>
  <c r="AY219" i="9"/>
  <c r="AZ219" i="9" s="1"/>
  <c r="K219" i="9"/>
  <c r="J219" i="9"/>
  <c r="I219" i="9" s="1"/>
  <c r="HA218" i="9"/>
  <c r="GW218" i="9"/>
  <c r="GV218" i="9"/>
  <c r="GS218" i="9"/>
  <c r="GR218" i="9"/>
  <c r="GP218" i="9"/>
  <c r="GO218" i="9"/>
  <c r="GJ218" i="9"/>
  <c r="GH218" i="9"/>
  <c r="GC218" i="9"/>
  <c r="GB218" i="9"/>
  <c r="FZ218" i="9"/>
  <c r="FY218" i="9"/>
  <c r="FP218" i="9"/>
  <c r="FO218" i="9"/>
  <c r="FM218" i="9"/>
  <c r="FH218" i="9"/>
  <c r="FA218" i="9"/>
  <c r="EZ218" i="9"/>
  <c r="ET218" i="9"/>
  <c r="FT218" i="9" s="1"/>
  <c r="FV218" i="9" s="1"/>
  <c r="ES218" i="9"/>
  <c r="FS218" i="9" s="1"/>
  <c r="ED218" i="9"/>
  <c r="EB218" i="9"/>
  <c r="DZ218" i="9"/>
  <c r="DP218" i="9"/>
  <c r="CB218" i="9"/>
  <c r="CA218" i="9"/>
  <c r="AZ218" i="9"/>
  <c r="AY218" i="9"/>
  <c r="K218" i="9"/>
  <c r="I218" i="9" s="1"/>
  <c r="J218" i="9"/>
  <c r="GW217" i="9"/>
  <c r="GV217" i="9"/>
  <c r="GZ217" i="9" s="1"/>
  <c r="GS217" i="9"/>
  <c r="GR217" i="9"/>
  <c r="GP217" i="9"/>
  <c r="GO217" i="9"/>
  <c r="GJ217" i="9"/>
  <c r="GH217" i="9"/>
  <c r="GC217" i="9"/>
  <c r="GB217" i="9"/>
  <c r="FZ217" i="9"/>
  <c r="FY217" i="9"/>
  <c r="FS217" i="9"/>
  <c r="FP217" i="9"/>
  <c r="FO217" i="9"/>
  <c r="FM217" i="9"/>
  <c r="FK217" i="9"/>
  <c r="FH217" i="9"/>
  <c r="FA217" i="9"/>
  <c r="EZ217" i="9"/>
  <c r="EY217" i="9"/>
  <c r="ET217" i="9"/>
  <c r="FT217" i="9" s="1"/>
  <c r="FV217" i="9" s="1"/>
  <c r="ES217" i="9"/>
  <c r="EV217" i="9" s="1"/>
  <c r="ED217" i="9"/>
  <c r="EB217" i="9"/>
  <c r="DZ217" i="9"/>
  <c r="DP217" i="9"/>
  <c r="CB217" i="9"/>
  <c r="CA217" i="9"/>
  <c r="AZ217" i="9"/>
  <c r="AY217" i="9"/>
  <c r="K217" i="9"/>
  <c r="J217" i="9"/>
  <c r="I217" i="9" s="1"/>
  <c r="GW216" i="9"/>
  <c r="HA216" i="9" s="1"/>
  <c r="GV216" i="9"/>
  <c r="GZ216" i="9" s="1"/>
  <c r="GS216" i="9"/>
  <c r="GR216" i="9"/>
  <c r="GP216" i="9"/>
  <c r="GO216" i="9"/>
  <c r="GJ216" i="9"/>
  <c r="GH216" i="9"/>
  <c r="GC216" i="9"/>
  <c r="GB216" i="9"/>
  <c r="FZ216" i="9"/>
  <c r="FY216" i="9"/>
  <c r="FP216" i="9"/>
  <c r="FO216" i="9"/>
  <c r="FM216" i="9"/>
  <c r="FH216" i="9"/>
  <c r="FA216" i="9"/>
  <c r="EZ216" i="9"/>
  <c r="ET216" i="9"/>
  <c r="FT216" i="9" s="1"/>
  <c r="FV216" i="9" s="1"/>
  <c r="ES216" i="9"/>
  <c r="EV216" i="9" s="1"/>
  <c r="FK216" i="9" s="1"/>
  <c r="ED216" i="9"/>
  <c r="EB216" i="9"/>
  <c r="DZ216" i="9"/>
  <c r="DP216" i="9"/>
  <c r="CB216" i="9"/>
  <c r="CA216" i="9"/>
  <c r="AY216" i="9"/>
  <c r="AZ216" i="9" s="1"/>
  <c r="K216" i="9"/>
  <c r="J216" i="9"/>
  <c r="GW215" i="9"/>
  <c r="HA215" i="9" s="1"/>
  <c r="GV215" i="9"/>
  <c r="GZ215" i="9" s="1"/>
  <c r="GS215" i="9"/>
  <c r="GR215" i="9"/>
  <c r="GP215" i="9"/>
  <c r="GO215" i="9"/>
  <c r="GJ215" i="9"/>
  <c r="GH215" i="9"/>
  <c r="GC215" i="9"/>
  <c r="GB215" i="9"/>
  <c r="FZ215" i="9"/>
  <c r="FY215" i="9"/>
  <c r="FT215" i="9"/>
  <c r="FP215" i="9"/>
  <c r="FO215" i="9"/>
  <c r="FH215" i="9"/>
  <c r="FD215" i="9"/>
  <c r="FC215" i="9"/>
  <c r="FE215" i="9" s="1"/>
  <c r="FB215" i="9"/>
  <c r="FA215" i="9"/>
  <c r="EZ215" i="9"/>
  <c r="EW215" i="9"/>
  <c r="FM215" i="9" s="1"/>
  <c r="ET215" i="9"/>
  <c r="ES215" i="9"/>
  <c r="ED215" i="9"/>
  <c r="EB215" i="9"/>
  <c r="DZ215" i="9"/>
  <c r="DP215" i="9"/>
  <c r="CB215" i="9"/>
  <c r="CA215" i="9"/>
  <c r="AY215" i="9"/>
  <c r="AZ215" i="9" s="1"/>
  <c r="K215" i="9"/>
  <c r="J215" i="9"/>
  <c r="I215" i="9" s="1"/>
  <c r="GW214" i="9"/>
  <c r="HA214" i="9" s="1"/>
  <c r="GV214" i="9"/>
  <c r="GZ214" i="9" s="1"/>
  <c r="GS214" i="9"/>
  <c r="GR214" i="9"/>
  <c r="GP214" i="9"/>
  <c r="GO214" i="9"/>
  <c r="GJ214" i="9"/>
  <c r="GH214" i="9"/>
  <c r="GK214" i="9" s="1"/>
  <c r="GC214" i="9"/>
  <c r="GB214" i="9"/>
  <c r="FZ214" i="9"/>
  <c r="FY214" i="9"/>
  <c r="FP214" i="9"/>
  <c r="FO214" i="9"/>
  <c r="FH214" i="9"/>
  <c r="FA214" i="9"/>
  <c r="EZ214" i="9"/>
  <c r="ET214" i="9"/>
  <c r="ES214" i="9"/>
  <c r="EV214" i="9" s="1"/>
  <c r="FK214" i="9" s="1"/>
  <c r="ED214" i="9"/>
  <c r="EB214" i="9"/>
  <c r="DZ214" i="9"/>
  <c r="DP214" i="9"/>
  <c r="CB214" i="9"/>
  <c r="CA214" i="9"/>
  <c r="AY214" i="9"/>
  <c r="AZ214" i="9" s="1"/>
  <c r="K214" i="9"/>
  <c r="J214" i="9"/>
  <c r="I214" i="9" s="1"/>
  <c r="HA213" i="9"/>
  <c r="GW213" i="9"/>
  <c r="GV213" i="9"/>
  <c r="GS213" i="9"/>
  <c r="GR213" i="9"/>
  <c r="GP213" i="9"/>
  <c r="GO213" i="9"/>
  <c r="GJ213" i="9"/>
  <c r="GH213" i="9"/>
  <c r="GC213" i="9"/>
  <c r="GB213" i="9"/>
  <c r="FZ213" i="9"/>
  <c r="FY213" i="9"/>
  <c r="FP213" i="9"/>
  <c r="FO213" i="9"/>
  <c r="FM213" i="9"/>
  <c r="FH213" i="9"/>
  <c r="FA213" i="9"/>
  <c r="EZ213" i="9"/>
  <c r="ET213" i="9"/>
  <c r="FT213" i="9" s="1"/>
  <c r="ES213" i="9"/>
  <c r="ED213" i="9"/>
  <c r="EB213" i="9"/>
  <c r="DZ213" i="9"/>
  <c r="DP213" i="9"/>
  <c r="CB213" i="9"/>
  <c r="CA213" i="9"/>
  <c r="AY213" i="9"/>
  <c r="AZ213" i="9" s="1"/>
  <c r="K213" i="9"/>
  <c r="J213" i="9"/>
  <c r="GW212" i="9"/>
  <c r="HA212" i="9" s="1"/>
  <c r="GV212" i="9"/>
  <c r="GS212" i="9"/>
  <c r="GR212" i="9"/>
  <c r="GP212" i="9"/>
  <c r="GO212" i="9"/>
  <c r="GJ212" i="9"/>
  <c r="GH212" i="9"/>
  <c r="GC212" i="9"/>
  <c r="GB212" i="9"/>
  <c r="FZ212" i="9"/>
  <c r="FY212" i="9"/>
  <c r="FP212" i="9"/>
  <c r="FO212" i="9"/>
  <c r="FM212" i="9"/>
  <c r="FH212" i="9"/>
  <c r="FA212" i="9"/>
  <c r="EZ212" i="9"/>
  <c r="ET212" i="9"/>
  <c r="FT212" i="9" s="1"/>
  <c r="ES212" i="9"/>
  <c r="FS212" i="9" s="1"/>
  <c r="ED212" i="9"/>
  <c r="EB212" i="9"/>
  <c r="DZ212" i="9"/>
  <c r="DP212" i="9"/>
  <c r="CB212" i="9"/>
  <c r="CA212" i="9"/>
  <c r="AY212" i="9"/>
  <c r="AZ212" i="9" s="1"/>
  <c r="K212" i="9"/>
  <c r="J212" i="9"/>
  <c r="GW211" i="9"/>
  <c r="GV211" i="9"/>
  <c r="GZ211" i="9" s="1"/>
  <c r="GS211" i="9"/>
  <c r="GR211" i="9"/>
  <c r="GP211" i="9"/>
  <c r="GO211" i="9"/>
  <c r="GJ211" i="9"/>
  <c r="GH211" i="9"/>
  <c r="GC211" i="9"/>
  <c r="GB211" i="9"/>
  <c r="FZ211" i="9"/>
  <c r="FY211" i="9"/>
  <c r="FP211" i="9"/>
  <c r="FO211" i="9"/>
  <c r="FU211" i="9" s="1"/>
  <c r="FM211" i="9"/>
  <c r="FH211" i="9"/>
  <c r="FA211" i="9"/>
  <c r="EZ211" i="9"/>
  <c r="ET211" i="9"/>
  <c r="FT211" i="9" s="1"/>
  <c r="ES211" i="9"/>
  <c r="FS211" i="9" s="1"/>
  <c r="ED211" i="9"/>
  <c r="EB211" i="9"/>
  <c r="DZ211" i="9"/>
  <c r="DP211" i="9"/>
  <c r="CE211" i="9"/>
  <c r="CB211" i="9"/>
  <c r="CA211" i="9"/>
  <c r="AY211" i="9"/>
  <c r="AZ211" i="9" s="1"/>
  <c r="K211" i="9"/>
  <c r="J211" i="9"/>
  <c r="GW210" i="9"/>
  <c r="GX210" i="9" s="1"/>
  <c r="HB210" i="9" s="1"/>
  <c r="GV210" i="9"/>
  <c r="GZ210" i="9" s="1"/>
  <c r="GS210" i="9"/>
  <c r="GR210" i="9"/>
  <c r="GP210" i="9"/>
  <c r="GO210" i="9"/>
  <c r="GJ210" i="9"/>
  <c r="GH210" i="9"/>
  <c r="GK210" i="9" s="1"/>
  <c r="GC210" i="9"/>
  <c r="GB210" i="9"/>
  <c r="FZ210" i="9"/>
  <c r="FY210" i="9"/>
  <c r="FP210" i="9"/>
  <c r="FO210" i="9"/>
  <c r="FM210" i="9"/>
  <c r="FH210" i="9"/>
  <c r="FA210" i="9"/>
  <c r="EZ210" i="9"/>
  <c r="ET210" i="9"/>
  <c r="FT210" i="9" s="1"/>
  <c r="ES210" i="9"/>
  <c r="FS210" i="9" s="1"/>
  <c r="ED210" i="9"/>
  <c r="EB210" i="9"/>
  <c r="DZ210" i="9"/>
  <c r="DP210" i="9"/>
  <c r="CE210" i="9"/>
  <c r="CB210" i="9"/>
  <c r="CA210" i="9"/>
  <c r="AY210" i="9"/>
  <c r="AZ210" i="9" s="1"/>
  <c r="K210" i="9"/>
  <c r="J210" i="9"/>
  <c r="GZ209" i="9"/>
  <c r="GW209" i="9"/>
  <c r="GX209" i="9" s="1"/>
  <c r="HB209" i="9" s="1"/>
  <c r="GV209" i="9"/>
  <c r="GS209" i="9"/>
  <c r="GR209" i="9"/>
  <c r="GP209" i="9"/>
  <c r="GO209" i="9"/>
  <c r="GJ209" i="9"/>
  <c r="GH209" i="9"/>
  <c r="GK209" i="9" s="1"/>
  <c r="GC209" i="9"/>
  <c r="GB209" i="9"/>
  <c r="FZ209" i="9"/>
  <c r="FY209" i="9"/>
  <c r="FP209" i="9"/>
  <c r="FO209" i="9"/>
  <c r="FM209" i="9"/>
  <c r="FH209" i="9"/>
  <c r="FA209" i="9"/>
  <c r="EZ209" i="9"/>
  <c r="ET209" i="9"/>
  <c r="FT209" i="9" s="1"/>
  <c r="ES209" i="9"/>
  <c r="FS209" i="9" s="1"/>
  <c r="ED209" i="9"/>
  <c r="EB209" i="9"/>
  <c r="DZ209" i="9"/>
  <c r="DP209" i="9"/>
  <c r="CB209" i="9"/>
  <c r="CA209" i="9"/>
  <c r="AY209" i="9"/>
  <c r="AZ209" i="9" s="1"/>
  <c r="K209" i="9"/>
  <c r="J209" i="9"/>
  <c r="GW208" i="9"/>
  <c r="GV208" i="9"/>
  <c r="GZ208" i="9" s="1"/>
  <c r="GS208" i="9"/>
  <c r="GR208" i="9"/>
  <c r="GP208" i="9"/>
  <c r="GO208" i="9"/>
  <c r="GJ208" i="9"/>
  <c r="GK208" i="9" s="1"/>
  <c r="GH208" i="9"/>
  <c r="GC208" i="9"/>
  <c r="GB208" i="9"/>
  <c r="FZ208" i="9"/>
  <c r="FY208" i="9"/>
  <c r="FP208" i="9"/>
  <c r="FO208" i="9"/>
  <c r="FM208" i="9"/>
  <c r="FH208" i="9"/>
  <c r="FA208" i="9"/>
  <c r="EZ208" i="9"/>
  <c r="ET208" i="9"/>
  <c r="FT208" i="9" s="1"/>
  <c r="ES208" i="9"/>
  <c r="FS208" i="9" s="1"/>
  <c r="FU208" i="9" s="1"/>
  <c r="ED208" i="9"/>
  <c r="EB208" i="9"/>
  <c r="DZ208" i="9"/>
  <c r="DP208" i="9"/>
  <c r="CB208" i="9"/>
  <c r="CA208" i="9"/>
  <c r="AY208" i="9"/>
  <c r="AZ208" i="9" s="1"/>
  <c r="K208" i="9"/>
  <c r="J208" i="9"/>
  <c r="GW207" i="9"/>
  <c r="HA207" i="9" s="1"/>
  <c r="GV207" i="9"/>
  <c r="GX207" i="9" s="1"/>
  <c r="HB207" i="9" s="1"/>
  <c r="GS207" i="9"/>
  <c r="GR207" i="9"/>
  <c r="GP207" i="9"/>
  <c r="GO207" i="9"/>
  <c r="GJ207" i="9"/>
  <c r="GH207" i="9"/>
  <c r="GC207" i="9"/>
  <c r="GB207" i="9"/>
  <c r="FZ207" i="9"/>
  <c r="FY207" i="9"/>
  <c r="FP207" i="9"/>
  <c r="FO207" i="9"/>
  <c r="FM207" i="9"/>
  <c r="FH207" i="9"/>
  <c r="FA207" i="9"/>
  <c r="EZ207" i="9"/>
  <c r="ET207" i="9"/>
  <c r="FT207" i="9" s="1"/>
  <c r="ES207" i="9"/>
  <c r="ED207" i="9"/>
  <c r="EB207" i="9"/>
  <c r="DZ207" i="9"/>
  <c r="DP207" i="9"/>
  <c r="CB207" i="9"/>
  <c r="CA207" i="9"/>
  <c r="AY207" i="9"/>
  <c r="AZ207" i="9" s="1"/>
  <c r="K207" i="9"/>
  <c r="J207" i="9"/>
  <c r="GZ206" i="9"/>
  <c r="GW206" i="9"/>
  <c r="HA206" i="9" s="1"/>
  <c r="GV206" i="9"/>
  <c r="GS206" i="9"/>
  <c r="GR206" i="9"/>
  <c r="GP206" i="9"/>
  <c r="GO206" i="9"/>
  <c r="GJ206" i="9"/>
  <c r="GH206" i="9"/>
  <c r="GK206" i="9" s="1"/>
  <c r="GC206" i="9"/>
  <c r="GB206" i="9"/>
  <c r="FZ206" i="9"/>
  <c r="FY206" i="9"/>
  <c r="FP206" i="9"/>
  <c r="FO206" i="9"/>
  <c r="FH206" i="9"/>
  <c r="FC206" i="9"/>
  <c r="FB206" i="9"/>
  <c r="FD206" i="9" s="1"/>
  <c r="FA206" i="9"/>
  <c r="EZ206" i="9"/>
  <c r="ET206" i="9"/>
  <c r="ES206" i="9"/>
  <c r="ED206" i="9"/>
  <c r="EB206" i="9"/>
  <c r="DZ206" i="9"/>
  <c r="DP206" i="9"/>
  <c r="CE206" i="9"/>
  <c r="CB206" i="9"/>
  <c r="CA206" i="9"/>
  <c r="AY206" i="9"/>
  <c r="AZ206" i="9" s="1"/>
  <c r="K206" i="9"/>
  <c r="J206" i="9"/>
  <c r="GW205" i="9"/>
  <c r="GV205" i="9"/>
  <c r="GZ205" i="9" s="1"/>
  <c r="GS205" i="9"/>
  <c r="GR205" i="9"/>
  <c r="GP205" i="9"/>
  <c r="GO205" i="9"/>
  <c r="GJ205" i="9"/>
  <c r="GH205" i="9"/>
  <c r="GC205" i="9"/>
  <c r="GB205" i="9"/>
  <c r="FZ205" i="9"/>
  <c r="FY205" i="9"/>
  <c r="FT205" i="9"/>
  <c r="FP205" i="9"/>
  <c r="FO205" i="9"/>
  <c r="FH205" i="9"/>
  <c r="FD205" i="9"/>
  <c r="FC205" i="9"/>
  <c r="FB205" i="9"/>
  <c r="FA205" i="9"/>
  <c r="EZ205" i="9"/>
  <c r="ET205" i="9"/>
  <c r="EW205" i="9" s="1"/>
  <c r="FM205" i="9" s="1"/>
  <c r="ES205" i="9"/>
  <c r="ED205" i="9"/>
  <c r="EB205" i="9"/>
  <c r="DZ205" i="9"/>
  <c r="DP205" i="9"/>
  <c r="CB205" i="9"/>
  <c r="CA205" i="9"/>
  <c r="AY205" i="9"/>
  <c r="AZ205" i="9" s="1"/>
  <c r="K205" i="9"/>
  <c r="J205" i="9"/>
  <c r="GW204" i="9"/>
  <c r="HA204" i="9" s="1"/>
  <c r="GV204" i="9"/>
  <c r="GZ204" i="9" s="1"/>
  <c r="GS204" i="9"/>
  <c r="GR204" i="9"/>
  <c r="GP204" i="9"/>
  <c r="GO204" i="9"/>
  <c r="GJ204" i="9"/>
  <c r="GH204" i="9"/>
  <c r="GC204" i="9"/>
  <c r="GB204" i="9"/>
  <c r="FZ204" i="9"/>
  <c r="FY204" i="9"/>
  <c r="FP204" i="9"/>
  <c r="FO204" i="9"/>
  <c r="FM204" i="9"/>
  <c r="FH204" i="9"/>
  <c r="FA204" i="9"/>
  <c r="EZ204" i="9"/>
  <c r="ET204" i="9"/>
  <c r="FT204" i="9" s="1"/>
  <c r="ES204" i="9"/>
  <c r="ED204" i="9"/>
  <c r="EB204" i="9"/>
  <c r="DZ204" i="9"/>
  <c r="DP204" i="9"/>
  <c r="CB204" i="9"/>
  <c r="CA204" i="9"/>
  <c r="AY204" i="9"/>
  <c r="AZ204" i="9" s="1"/>
  <c r="K204" i="9"/>
  <c r="J204" i="9"/>
  <c r="I204" i="9" s="1"/>
  <c r="GZ203" i="9"/>
  <c r="GW203" i="9"/>
  <c r="HA203" i="9" s="1"/>
  <c r="GV203" i="9"/>
  <c r="GS203" i="9"/>
  <c r="GR203" i="9"/>
  <c r="GP203" i="9"/>
  <c r="GO203" i="9"/>
  <c r="GJ203" i="9"/>
  <c r="GH203" i="9"/>
  <c r="GC203" i="9"/>
  <c r="GB203" i="9"/>
  <c r="FZ203" i="9"/>
  <c r="FY203" i="9"/>
  <c r="FP203" i="9"/>
  <c r="FO203" i="9"/>
  <c r="FM203" i="9"/>
  <c r="FH203" i="9"/>
  <c r="FA203" i="9"/>
  <c r="EZ203" i="9"/>
  <c r="EY203" i="9"/>
  <c r="ET203" i="9"/>
  <c r="FT203" i="9" s="1"/>
  <c r="ES203" i="9"/>
  <c r="FS203" i="9" s="1"/>
  <c r="ED203" i="9"/>
  <c r="EB203" i="9"/>
  <c r="DZ203" i="9"/>
  <c r="DP203" i="9"/>
  <c r="CB203" i="9"/>
  <c r="CA203" i="9"/>
  <c r="AY203" i="9"/>
  <c r="AZ203" i="9" s="1"/>
  <c r="K203" i="9"/>
  <c r="J203" i="9"/>
  <c r="GW202" i="9"/>
  <c r="HA202" i="9" s="1"/>
  <c r="GV202" i="9"/>
  <c r="GZ202" i="9" s="1"/>
  <c r="GS202" i="9"/>
  <c r="GR202" i="9"/>
  <c r="GP202" i="9"/>
  <c r="GO202" i="9"/>
  <c r="GJ202" i="9"/>
  <c r="GH202" i="9"/>
  <c r="GC202" i="9"/>
  <c r="GB202" i="9"/>
  <c r="FZ202" i="9"/>
  <c r="FY202" i="9"/>
  <c r="FP202" i="9"/>
  <c r="FO202" i="9"/>
  <c r="FM202" i="9"/>
  <c r="FH202" i="9"/>
  <c r="FA202" i="9"/>
  <c r="EZ202" i="9"/>
  <c r="ET202" i="9"/>
  <c r="FT202" i="9" s="1"/>
  <c r="ES202" i="9"/>
  <c r="EY202" i="9" s="1"/>
  <c r="ED202" i="9"/>
  <c r="EB202" i="9"/>
  <c r="DZ202" i="9"/>
  <c r="DP202" i="9"/>
  <c r="CB202" i="9"/>
  <c r="CA202" i="9"/>
  <c r="AY202" i="9"/>
  <c r="AZ202" i="9" s="1"/>
  <c r="K202" i="9"/>
  <c r="J202" i="9"/>
  <c r="GW201" i="9"/>
  <c r="HA201" i="9" s="1"/>
  <c r="GV201" i="9"/>
  <c r="GS201" i="9"/>
  <c r="GR201" i="9"/>
  <c r="GP201" i="9"/>
  <c r="GO201" i="9"/>
  <c r="GJ201" i="9"/>
  <c r="GH201" i="9"/>
  <c r="GK201" i="9" s="1"/>
  <c r="GC201" i="9"/>
  <c r="GB201" i="9"/>
  <c r="FZ201" i="9"/>
  <c r="FY201" i="9"/>
  <c r="FP201" i="9"/>
  <c r="FO201" i="9"/>
  <c r="FH201" i="9"/>
  <c r="FC201" i="9"/>
  <c r="FE201" i="9" s="1"/>
  <c r="FB201" i="9"/>
  <c r="FD201" i="9" s="1"/>
  <c r="FA201" i="9"/>
  <c r="EZ201" i="9"/>
  <c r="EW201" i="9"/>
  <c r="FM201" i="9" s="1"/>
  <c r="ET201" i="9"/>
  <c r="FT201" i="9" s="1"/>
  <c r="ES201" i="9"/>
  <c r="EV201" i="9" s="1"/>
  <c r="FK201" i="9" s="1"/>
  <c r="ED201" i="9"/>
  <c r="EB201" i="9"/>
  <c r="DZ201" i="9"/>
  <c r="DP201" i="9"/>
  <c r="CB201" i="9"/>
  <c r="CA201" i="9"/>
  <c r="AY201" i="9"/>
  <c r="AZ201" i="9" s="1"/>
  <c r="K201" i="9"/>
  <c r="I201" i="9" s="1"/>
  <c r="J201" i="9"/>
  <c r="GW200" i="9"/>
  <c r="GV200" i="9"/>
  <c r="GZ200" i="9" s="1"/>
  <c r="GS200" i="9"/>
  <c r="GR200" i="9"/>
  <c r="GP200" i="9"/>
  <c r="GO200" i="9"/>
  <c r="GJ200" i="9"/>
  <c r="GH200" i="9"/>
  <c r="GC200" i="9"/>
  <c r="GB200" i="9"/>
  <c r="FZ200" i="9"/>
  <c r="FY200" i="9"/>
  <c r="FP200" i="9"/>
  <c r="FO200" i="9"/>
  <c r="FM200" i="9"/>
  <c r="FH200" i="9"/>
  <c r="FA200" i="9"/>
  <c r="EZ200" i="9"/>
  <c r="ET200" i="9"/>
  <c r="FT200" i="9" s="1"/>
  <c r="ES200" i="9"/>
  <c r="FS200" i="9" s="1"/>
  <c r="ED200" i="9"/>
  <c r="EB200" i="9"/>
  <c r="DZ200" i="9"/>
  <c r="DP200" i="9"/>
  <c r="CB200" i="9"/>
  <c r="CA200" i="9"/>
  <c r="AY200" i="9"/>
  <c r="AZ200" i="9" s="1"/>
  <c r="K200" i="9"/>
  <c r="J200" i="9"/>
  <c r="GW199" i="9"/>
  <c r="HA199" i="9" s="1"/>
  <c r="GV199" i="9"/>
  <c r="GZ199" i="9" s="1"/>
  <c r="GS199" i="9"/>
  <c r="GR199" i="9"/>
  <c r="GP199" i="9"/>
  <c r="GO199" i="9"/>
  <c r="GJ199" i="9"/>
  <c r="GH199" i="9"/>
  <c r="GC199" i="9"/>
  <c r="GB199" i="9"/>
  <c r="FZ199" i="9"/>
  <c r="FY199" i="9"/>
  <c r="FS199" i="9"/>
  <c r="FP199" i="9"/>
  <c r="FO199" i="9"/>
  <c r="FM199" i="9"/>
  <c r="FH199" i="9"/>
  <c r="FA199" i="9"/>
  <c r="EZ199" i="9"/>
  <c r="EV199" i="9"/>
  <c r="FK199" i="9" s="1"/>
  <c r="ET199" i="9"/>
  <c r="FT199" i="9" s="1"/>
  <c r="FV199" i="9" s="1"/>
  <c r="ES199" i="9"/>
  <c r="EY199" i="9" s="1"/>
  <c r="EX199" i="9" s="1"/>
  <c r="ED199" i="9"/>
  <c r="EB199" i="9"/>
  <c r="DZ199" i="9"/>
  <c r="DP199" i="9"/>
  <c r="CB199" i="9"/>
  <c r="CA199" i="9"/>
  <c r="AY199" i="9"/>
  <c r="AZ199" i="9" s="1"/>
  <c r="K199" i="9"/>
  <c r="J199" i="9"/>
  <c r="GW198" i="9"/>
  <c r="HA198" i="9" s="1"/>
  <c r="GV198" i="9"/>
  <c r="GZ198" i="9" s="1"/>
  <c r="GS198" i="9"/>
  <c r="GR198" i="9"/>
  <c r="GP198" i="9"/>
  <c r="GO198" i="9"/>
  <c r="GJ198" i="9"/>
  <c r="GH198" i="9"/>
  <c r="GC198" i="9"/>
  <c r="GB198" i="9"/>
  <c r="FZ198" i="9"/>
  <c r="FY198" i="9"/>
  <c r="FT198" i="9"/>
  <c r="FP198" i="9"/>
  <c r="FV198" i="9" s="1"/>
  <c r="FO198" i="9"/>
  <c r="FM198" i="9"/>
  <c r="FH198" i="9"/>
  <c r="FA198" i="9"/>
  <c r="EZ198" i="9"/>
  <c r="ET198" i="9"/>
  <c r="ES198" i="9"/>
  <c r="ED198" i="9"/>
  <c r="EB198" i="9"/>
  <c r="DZ198" i="9"/>
  <c r="DP198" i="9"/>
  <c r="CB198" i="9"/>
  <c r="CA198" i="9"/>
  <c r="AY198" i="9"/>
  <c r="AZ198" i="9" s="1"/>
  <c r="K198" i="9"/>
  <c r="J198" i="9"/>
  <c r="I198" i="9" s="1"/>
  <c r="GW197" i="9"/>
  <c r="HA197" i="9" s="1"/>
  <c r="GV197" i="9"/>
  <c r="GZ197" i="9" s="1"/>
  <c r="GS197" i="9"/>
  <c r="GR197" i="9"/>
  <c r="GP197" i="9"/>
  <c r="GO197" i="9"/>
  <c r="GJ197" i="9"/>
  <c r="GH197" i="9"/>
  <c r="GK197" i="9" s="1"/>
  <c r="GC197" i="9"/>
  <c r="GB197" i="9"/>
  <c r="FZ197" i="9"/>
  <c r="FY197" i="9"/>
  <c r="FS197" i="9"/>
  <c r="FP197" i="9"/>
  <c r="FO197" i="9"/>
  <c r="FM197" i="9"/>
  <c r="FH197" i="9"/>
  <c r="FA197" i="9"/>
  <c r="EZ197" i="9"/>
  <c r="EV197" i="9"/>
  <c r="FK197" i="9" s="1"/>
  <c r="ET197" i="9"/>
  <c r="FT197" i="9" s="1"/>
  <c r="ES197" i="9"/>
  <c r="EY197" i="9" s="1"/>
  <c r="EX197" i="9" s="1"/>
  <c r="ED197" i="9"/>
  <c r="EB197" i="9"/>
  <c r="DZ197" i="9"/>
  <c r="DP197" i="9"/>
  <c r="CB197" i="9"/>
  <c r="CA197" i="9"/>
  <c r="AY197" i="9"/>
  <c r="AZ197" i="9" s="1"/>
  <c r="K197" i="9"/>
  <c r="J197" i="9"/>
  <c r="GZ196" i="9"/>
  <c r="GW196" i="9"/>
  <c r="GV196" i="9"/>
  <c r="GS196" i="9"/>
  <c r="GR196" i="9"/>
  <c r="GP196" i="9"/>
  <c r="GO196" i="9"/>
  <c r="GJ196" i="9"/>
  <c r="GH196" i="9"/>
  <c r="GK196" i="9" s="1"/>
  <c r="GC196" i="9"/>
  <c r="GB196" i="9"/>
  <c r="FZ196" i="9"/>
  <c r="FY196" i="9"/>
  <c r="FP196" i="9"/>
  <c r="FO196" i="9"/>
  <c r="FM196" i="9"/>
  <c r="FH196" i="9"/>
  <c r="FA196" i="9"/>
  <c r="EZ196" i="9"/>
  <c r="ET196" i="9"/>
  <c r="FT196" i="9" s="1"/>
  <c r="ES196" i="9"/>
  <c r="FB196" i="9" s="1"/>
  <c r="ED196" i="9"/>
  <c r="EB196" i="9"/>
  <c r="DZ196" i="9"/>
  <c r="DP196" i="9"/>
  <c r="CB196" i="9"/>
  <c r="CA196" i="9"/>
  <c r="AY196" i="9"/>
  <c r="AZ196" i="9" s="1"/>
  <c r="K196" i="9"/>
  <c r="J196" i="9"/>
  <c r="GW195" i="9"/>
  <c r="HA195" i="9" s="1"/>
  <c r="GV195" i="9"/>
  <c r="GZ195" i="9" s="1"/>
  <c r="GS195" i="9"/>
  <c r="GR195" i="9"/>
  <c r="GP195" i="9"/>
  <c r="GO195" i="9"/>
  <c r="GJ195" i="9"/>
  <c r="GH195" i="9"/>
  <c r="GC195" i="9"/>
  <c r="GB195" i="9"/>
  <c r="FZ195" i="9"/>
  <c r="FY195" i="9"/>
  <c r="FP195" i="9"/>
  <c r="FO195" i="9"/>
  <c r="FM195" i="9"/>
  <c r="FH195" i="9"/>
  <c r="FA195" i="9"/>
  <c r="EZ195" i="9"/>
  <c r="ET195" i="9"/>
  <c r="FT195" i="9" s="1"/>
  <c r="ES195" i="9"/>
  <c r="EX195" i="9" s="1"/>
  <c r="ED195" i="9"/>
  <c r="EB195" i="9"/>
  <c r="DZ195" i="9"/>
  <c r="DP195" i="9"/>
  <c r="CB195" i="9"/>
  <c r="CA195" i="9"/>
  <c r="AY195" i="9"/>
  <c r="AZ195" i="9" s="1"/>
  <c r="K195" i="9"/>
  <c r="J195" i="9"/>
  <c r="GW194" i="9"/>
  <c r="HA194" i="9" s="1"/>
  <c r="GV194" i="9"/>
  <c r="GZ194" i="9" s="1"/>
  <c r="GS194" i="9"/>
  <c r="GR194" i="9"/>
  <c r="GP194" i="9"/>
  <c r="GO194" i="9"/>
  <c r="GJ194" i="9"/>
  <c r="GH194" i="9"/>
  <c r="GC194" i="9"/>
  <c r="GB194" i="9"/>
  <c r="FZ194" i="9"/>
  <c r="FY194" i="9"/>
  <c r="FP194" i="9"/>
  <c r="FO194" i="9"/>
  <c r="FM194" i="9"/>
  <c r="FH194" i="9"/>
  <c r="FA194" i="9"/>
  <c r="EZ194" i="9"/>
  <c r="ET194" i="9"/>
  <c r="FT194" i="9" s="1"/>
  <c r="ES194" i="9"/>
  <c r="EX194" i="9" s="1"/>
  <c r="ED194" i="9"/>
  <c r="EB194" i="9"/>
  <c r="DZ194" i="9"/>
  <c r="DP194" i="9"/>
  <c r="CB194" i="9"/>
  <c r="CA194" i="9"/>
  <c r="AY194" i="9"/>
  <c r="AZ194" i="9" s="1"/>
  <c r="K194" i="9"/>
  <c r="J194" i="9"/>
  <c r="GW193" i="9"/>
  <c r="HA193" i="9" s="1"/>
  <c r="GV193" i="9"/>
  <c r="GZ193" i="9" s="1"/>
  <c r="GS193" i="9"/>
  <c r="GR193" i="9"/>
  <c r="GP193" i="9"/>
  <c r="GO193" i="9"/>
  <c r="GJ193" i="9"/>
  <c r="GH193" i="9"/>
  <c r="GC193" i="9"/>
  <c r="GB193" i="9"/>
  <c r="FZ193" i="9"/>
  <c r="FY193" i="9"/>
  <c r="FP193" i="9"/>
  <c r="FO193" i="9"/>
  <c r="FM193" i="9"/>
  <c r="FH193" i="9"/>
  <c r="FA193" i="9"/>
  <c r="EZ193" i="9"/>
  <c r="ET193" i="9"/>
  <c r="FT193" i="9" s="1"/>
  <c r="ES193" i="9"/>
  <c r="ED193" i="9"/>
  <c r="EB193" i="9"/>
  <c r="DZ193" i="9"/>
  <c r="DP193" i="9"/>
  <c r="CB193" i="9"/>
  <c r="CA193" i="9"/>
  <c r="AY193" i="9"/>
  <c r="AZ193" i="9" s="1"/>
  <c r="K193" i="9"/>
  <c r="J193" i="9"/>
  <c r="GW192" i="9"/>
  <c r="HA192" i="9" s="1"/>
  <c r="GV192" i="9"/>
  <c r="GX192" i="9" s="1"/>
  <c r="HB192" i="9" s="1"/>
  <c r="GS192" i="9"/>
  <c r="GR192" i="9"/>
  <c r="GP192" i="9"/>
  <c r="GO192" i="9"/>
  <c r="GJ192" i="9"/>
  <c r="GH192" i="9"/>
  <c r="GK192" i="9" s="1"/>
  <c r="GC192" i="9"/>
  <c r="GB192" i="9"/>
  <c r="FZ192" i="9"/>
  <c r="FY192" i="9"/>
  <c r="FT192" i="9"/>
  <c r="FS192" i="9"/>
  <c r="FP192" i="9"/>
  <c r="FO192" i="9"/>
  <c r="FM192" i="9"/>
  <c r="FH192" i="9"/>
  <c r="FA192" i="9"/>
  <c r="EZ192" i="9"/>
  <c r="FB192" i="9" s="1"/>
  <c r="EV192" i="9"/>
  <c r="FK192" i="9" s="1"/>
  <c r="ET192" i="9"/>
  <c r="ES192" i="9"/>
  <c r="EY192" i="9" s="1"/>
  <c r="EX192" i="9" s="1"/>
  <c r="ED192" i="9"/>
  <c r="EB192" i="9"/>
  <c r="DZ192" i="9"/>
  <c r="DP192" i="9"/>
  <c r="CB192" i="9"/>
  <c r="CA192" i="9"/>
  <c r="AY192" i="9"/>
  <c r="AZ192" i="9" s="1"/>
  <c r="K192" i="9"/>
  <c r="J192" i="9"/>
  <c r="GW191" i="9"/>
  <c r="HA191" i="9" s="1"/>
  <c r="GV191" i="9"/>
  <c r="GZ191" i="9" s="1"/>
  <c r="GS191" i="9"/>
  <c r="GR191" i="9"/>
  <c r="GP191" i="9"/>
  <c r="GO191" i="9"/>
  <c r="GJ191" i="9"/>
  <c r="GH191" i="9"/>
  <c r="GK191" i="9" s="1"/>
  <c r="GC191" i="9"/>
  <c r="GB191" i="9"/>
  <c r="FZ191" i="9"/>
  <c r="FY191" i="9"/>
  <c r="FP191" i="9"/>
  <c r="FO191" i="9"/>
  <c r="FM191" i="9"/>
  <c r="FH191" i="9"/>
  <c r="FA191" i="9"/>
  <c r="EZ191" i="9"/>
  <c r="ET191" i="9"/>
  <c r="FT191" i="9" s="1"/>
  <c r="ES191" i="9"/>
  <c r="ED191" i="9"/>
  <c r="EB191" i="9"/>
  <c r="DZ191" i="9"/>
  <c r="DP191" i="9"/>
  <c r="CB191" i="9"/>
  <c r="CA191" i="9"/>
  <c r="AY191" i="9"/>
  <c r="AZ191" i="9" s="1"/>
  <c r="K191" i="9"/>
  <c r="J191" i="9"/>
  <c r="GW190" i="9"/>
  <c r="HA190" i="9" s="1"/>
  <c r="GV190" i="9"/>
  <c r="GZ190" i="9" s="1"/>
  <c r="GS190" i="9"/>
  <c r="GR190" i="9"/>
  <c r="GP190" i="9"/>
  <c r="GO190" i="9"/>
  <c r="GJ190" i="9"/>
  <c r="GH190" i="9"/>
  <c r="GC190" i="9"/>
  <c r="GB190" i="9"/>
  <c r="FZ190" i="9"/>
  <c r="FY190" i="9"/>
  <c r="FP190" i="9"/>
  <c r="FO190" i="9"/>
  <c r="FM190" i="9"/>
  <c r="FH190" i="9"/>
  <c r="FA190" i="9"/>
  <c r="EZ190" i="9"/>
  <c r="ET190" i="9"/>
  <c r="FT190" i="9" s="1"/>
  <c r="ES190" i="9"/>
  <c r="FS190" i="9" s="1"/>
  <c r="ED190" i="9"/>
  <c r="EB190" i="9"/>
  <c r="DZ190" i="9"/>
  <c r="DP190" i="9"/>
  <c r="CB190" i="9"/>
  <c r="CA190" i="9"/>
  <c r="AY190" i="9"/>
  <c r="AZ190" i="9" s="1"/>
  <c r="K190" i="9"/>
  <c r="J190" i="9"/>
  <c r="GW189" i="9"/>
  <c r="HA189" i="9" s="1"/>
  <c r="GV189" i="9"/>
  <c r="GZ189" i="9" s="1"/>
  <c r="GS189" i="9"/>
  <c r="GR189" i="9"/>
  <c r="GP189" i="9"/>
  <c r="GO189" i="9"/>
  <c r="GK189" i="9"/>
  <c r="GJ189" i="9"/>
  <c r="GH189" i="9"/>
  <c r="GC189" i="9"/>
  <c r="GB189" i="9"/>
  <c r="FZ189" i="9"/>
  <c r="FY189" i="9"/>
  <c r="FP189" i="9"/>
  <c r="FO189" i="9"/>
  <c r="FM189" i="9"/>
  <c r="FH189" i="9"/>
  <c r="FA189" i="9"/>
  <c r="EZ189" i="9"/>
  <c r="ET189" i="9"/>
  <c r="FT189" i="9" s="1"/>
  <c r="ES189" i="9"/>
  <c r="ED189" i="9"/>
  <c r="EB189" i="9"/>
  <c r="DZ189" i="9"/>
  <c r="DP189" i="9"/>
  <c r="CB189" i="9"/>
  <c r="CA189" i="9"/>
  <c r="AY189" i="9"/>
  <c r="AZ189" i="9" s="1"/>
  <c r="K189" i="9"/>
  <c r="J189" i="9"/>
  <c r="GW188" i="9"/>
  <c r="HA188" i="9" s="1"/>
  <c r="GV188" i="9"/>
  <c r="GZ188" i="9" s="1"/>
  <c r="GS188" i="9"/>
  <c r="GR188" i="9"/>
  <c r="GP188" i="9"/>
  <c r="GO188" i="9"/>
  <c r="GJ188" i="9"/>
  <c r="GH188" i="9"/>
  <c r="GC188" i="9"/>
  <c r="GB188" i="9"/>
  <c r="FZ188" i="9"/>
  <c r="FY188" i="9"/>
  <c r="FP188" i="9"/>
  <c r="FO188" i="9"/>
  <c r="FM188" i="9"/>
  <c r="FH188" i="9"/>
  <c r="FA188" i="9"/>
  <c r="EZ188" i="9"/>
  <c r="ET188" i="9"/>
  <c r="FT188" i="9" s="1"/>
  <c r="ES188" i="9"/>
  <c r="FS188" i="9" s="1"/>
  <c r="ED188" i="9"/>
  <c r="EB188" i="9"/>
  <c r="DZ188" i="9"/>
  <c r="DP188" i="9"/>
  <c r="CE188" i="9"/>
  <c r="CD188" i="9" s="1"/>
  <c r="CF188" i="9" s="1"/>
  <c r="CB188" i="9"/>
  <c r="CA188" i="9"/>
  <c r="AY188" i="9"/>
  <c r="AZ188" i="9" s="1"/>
  <c r="K188" i="9"/>
  <c r="J188" i="9"/>
  <c r="GW187" i="9"/>
  <c r="HA187" i="9" s="1"/>
  <c r="GV187" i="9"/>
  <c r="GZ187" i="9" s="1"/>
  <c r="GS187" i="9"/>
  <c r="GR187" i="9"/>
  <c r="GP187" i="9"/>
  <c r="GO187" i="9"/>
  <c r="GJ187" i="9"/>
  <c r="GH187" i="9"/>
  <c r="GK187" i="9" s="1"/>
  <c r="GC187" i="9"/>
  <c r="GB187" i="9"/>
  <c r="FZ187" i="9"/>
  <c r="FY187" i="9"/>
  <c r="FP187" i="9"/>
  <c r="FO187" i="9"/>
  <c r="FM187" i="9"/>
  <c r="FH187" i="9"/>
  <c r="FA187" i="9"/>
  <c r="EZ187" i="9"/>
  <c r="EV187" i="9"/>
  <c r="FK187" i="9" s="1"/>
  <c r="ET187" i="9"/>
  <c r="FT187" i="9" s="1"/>
  <c r="ES187" i="9"/>
  <c r="FS187" i="9" s="1"/>
  <c r="ED187" i="9"/>
  <c r="EB187" i="9"/>
  <c r="DZ187" i="9"/>
  <c r="DP187" i="9"/>
  <c r="CE187" i="9"/>
  <c r="CD187" i="9" s="1"/>
  <c r="CF187" i="9" s="1"/>
  <c r="CB187" i="9"/>
  <c r="CA187" i="9"/>
  <c r="AY187" i="9"/>
  <c r="AZ187" i="9" s="1"/>
  <c r="K187" i="9"/>
  <c r="J187" i="9"/>
  <c r="I187" i="9" s="1"/>
  <c r="HA186" i="9"/>
  <c r="GW186" i="9"/>
  <c r="GV186" i="9"/>
  <c r="GZ186" i="9" s="1"/>
  <c r="GS186" i="9"/>
  <c r="GR186" i="9"/>
  <c r="GP186" i="9"/>
  <c r="GO186" i="9"/>
  <c r="GJ186" i="9"/>
  <c r="GH186" i="9"/>
  <c r="GC186" i="9"/>
  <c r="GB186" i="9"/>
  <c r="FZ186" i="9"/>
  <c r="FY186" i="9"/>
  <c r="FP186" i="9"/>
  <c r="FO186" i="9"/>
  <c r="FM186" i="9"/>
  <c r="FH186" i="9"/>
  <c r="FA186" i="9"/>
  <c r="EZ186" i="9"/>
  <c r="ET186" i="9"/>
  <c r="FT186" i="9" s="1"/>
  <c r="ES186" i="9"/>
  <c r="ED186" i="9"/>
  <c r="EB186" i="9"/>
  <c r="DZ186" i="9"/>
  <c r="DP186" i="9"/>
  <c r="CB186" i="9"/>
  <c r="CA186" i="9"/>
  <c r="AY186" i="9"/>
  <c r="AZ186" i="9" s="1"/>
  <c r="K186" i="9"/>
  <c r="J186" i="9"/>
  <c r="GW185" i="9"/>
  <c r="HA185" i="9" s="1"/>
  <c r="GV185" i="9"/>
  <c r="GZ185" i="9" s="1"/>
  <c r="GS185" i="9"/>
  <c r="GR185" i="9"/>
  <c r="GP185" i="9"/>
  <c r="GO185" i="9"/>
  <c r="GJ185" i="9"/>
  <c r="GH185" i="9"/>
  <c r="GK185" i="9" s="1"/>
  <c r="GC185" i="9"/>
  <c r="GB185" i="9"/>
  <c r="FZ185" i="9"/>
  <c r="FY185" i="9"/>
  <c r="FP185" i="9"/>
  <c r="FO185" i="9"/>
  <c r="FM185" i="9"/>
  <c r="FH185" i="9"/>
  <c r="FA185" i="9"/>
  <c r="EZ185" i="9"/>
  <c r="ET185" i="9"/>
  <c r="FT185" i="9" s="1"/>
  <c r="ES185" i="9"/>
  <c r="ED185" i="9"/>
  <c r="EB185" i="9"/>
  <c r="DZ185" i="9"/>
  <c r="DP185" i="9"/>
  <c r="CB185" i="9"/>
  <c r="CA185" i="9"/>
  <c r="AY185" i="9"/>
  <c r="AZ185" i="9" s="1"/>
  <c r="K185" i="9"/>
  <c r="J185" i="9"/>
  <c r="HA184" i="9"/>
  <c r="GW184" i="9"/>
  <c r="GV184" i="9"/>
  <c r="GZ184" i="9" s="1"/>
  <c r="GS184" i="9"/>
  <c r="GR184" i="9"/>
  <c r="GP184" i="9"/>
  <c r="GO184" i="9"/>
  <c r="GJ184" i="9"/>
  <c r="GK184" i="9" s="1"/>
  <c r="GH184" i="9"/>
  <c r="GC184" i="9"/>
  <c r="GB184" i="9"/>
  <c r="FZ184" i="9"/>
  <c r="FY184" i="9"/>
  <c r="FP184" i="9"/>
  <c r="FO184" i="9"/>
  <c r="FM184" i="9"/>
  <c r="FH184" i="9"/>
  <c r="FA184" i="9"/>
  <c r="EZ184" i="9"/>
  <c r="EX184" i="9"/>
  <c r="ET184" i="9"/>
  <c r="FT184" i="9" s="1"/>
  <c r="ES184" i="9"/>
  <c r="ED184" i="9"/>
  <c r="EB184" i="9"/>
  <c r="DZ184" i="9"/>
  <c r="DP184" i="9"/>
  <c r="CB184" i="9"/>
  <c r="CA184" i="9"/>
  <c r="AY184" i="9"/>
  <c r="AZ184" i="9" s="1"/>
  <c r="K184" i="9"/>
  <c r="J184" i="9"/>
  <c r="I184" i="9" s="1"/>
  <c r="GW183" i="9"/>
  <c r="HA183" i="9" s="1"/>
  <c r="GV183" i="9"/>
  <c r="GZ183" i="9" s="1"/>
  <c r="GS183" i="9"/>
  <c r="GR183" i="9"/>
  <c r="GP183" i="9"/>
  <c r="GO183" i="9"/>
  <c r="GJ183" i="9"/>
  <c r="GH183" i="9"/>
  <c r="GK183" i="9" s="1"/>
  <c r="GC183" i="9"/>
  <c r="GB183" i="9"/>
  <c r="FZ183" i="9"/>
  <c r="FY183" i="9"/>
  <c r="FS183" i="9"/>
  <c r="FP183" i="9"/>
  <c r="FO183" i="9"/>
  <c r="FK183" i="9"/>
  <c r="FH183" i="9"/>
  <c r="FC183" i="9"/>
  <c r="FB183" i="9"/>
  <c r="FD183" i="9" s="1"/>
  <c r="FA183" i="9"/>
  <c r="EZ183" i="9"/>
  <c r="ET183" i="9"/>
  <c r="ES183" i="9"/>
  <c r="EV183" i="9" s="1"/>
  <c r="ED183" i="9"/>
  <c r="EB183" i="9"/>
  <c r="DZ183" i="9"/>
  <c r="DP183" i="9"/>
  <c r="CB183" i="9"/>
  <c r="CA183" i="9"/>
  <c r="AZ183" i="9"/>
  <c r="AY183" i="9"/>
  <c r="K183" i="9"/>
  <c r="J183" i="9"/>
  <c r="HA182" i="9"/>
  <c r="GW182" i="9"/>
  <c r="GV182" i="9"/>
  <c r="GS182" i="9"/>
  <c r="GR182" i="9"/>
  <c r="GP182" i="9"/>
  <c r="GO182" i="9"/>
  <c r="GJ182" i="9"/>
  <c r="GH182" i="9"/>
  <c r="GC182" i="9"/>
  <c r="GB182" i="9"/>
  <c r="FZ182" i="9"/>
  <c r="FY182" i="9"/>
  <c r="FP182" i="9"/>
  <c r="FV182" i="9" s="1"/>
  <c r="FO182" i="9"/>
  <c r="FH182" i="9"/>
  <c r="FC182" i="9"/>
  <c r="FB182" i="9"/>
  <c r="FD182" i="9" s="1"/>
  <c r="FA182" i="9"/>
  <c r="FE182" i="9" s="1"/>
  <c r="EZ182" i="9"/>
  <c r="ET182" i="9"/>
  <c r="FT182" i="9" s="1"/>
  <c r="ES182" i="9"/>
  <c r="ED182" i="9"/>
  <c r="EB182" i="9"/>
  <c r="DZ182" i="9"/>
  <c r="DP182" i="9"/>
  <c r="CB182" i="9"/>
  <c r="CA182" i="9"/>
  <c r="AY182" i="9"/>
  <c r="AZ182" i="9" s="1"/>
  <c r="K182" i="9"/>
  <c r="J182" i="9"/>
  <c r="GW181" i="9"/>
  <c r="HA181" i="9" s="1"/>
  <c r="GV181" i="9"/>
  <c r="GS181" i="9"/>
  <c r="GR181" i="9"/>
  <c r="GP181" i="9"/>
  <c r="GO181" i="9"/>
  <c r="GJ181" i="9"/>
  <c r="GH181" i="9"/>
  <c r="GK181" i="9" s="1"/>
  <c r="GC181" i="9"/>
  <c r="GB181" i="9"/>
  <c r="FZ181" i="9"/>
  <c r="FY181" i="9"/>
  <c r="FP181" i="9"/>
  <c r="FO181" i="9"/>
  <c r="FM181" i="9"/>
  <c r="FH181" i="9"/>
  <c r="FA181" i="9"/>
  <c r="EZ181" i="9"/>
  <c r="ET181" i="9"/>
  <c r="FT181" i="9" s="1"/>
  <c r="ES181" i="9"/>
  <c r="ED181" i="9"/>
  <c r="EB181" i="9"/>
  <c r="DZ181" i="9"/>
  <c r="DP181" i="9"/>
  <c r="CB181" i="9"/>
  <c r="CA181" i="9"/>
  <c r="AY181" i="9"/>
  <c r="AZ181" i="9" s="1"/>
  <c r="K181" i="9"/>
  <c r="J181" i="9"/>
  <c r="GW180" i="9"/>
  <c r="HA180" i="9" s="1"/>
  <c r="GV180" i="9"/>
  <c r="GS180" i="9"/>
  <c r="GR180" i="9"/>
  <c r="GP180" i="9"/>
  <c r="GO180" i="9"/>
  <c r="GJ180" i="9"/>
  <c r="GH180" i="9"/>
  <c r="GC180" i="9"/>
  <c r="GB180" i="9"/>
  <c r="FZ180" i="9"/>
  <c r="FY180" i="9"/>
  <c r="FP180" i="9"/>
  <c r="FO180" i="9"/>
  <c r="FM180" i="9"/>
  <c r="FH180" i="9"/>
  <c r="FA180" i="9"/>
  <c r="EZ180" i="9"/>
  <c r="ET180" i="9"/>
  <c r="FT180" i="9" s="1"/>
  <c r="ES180" i="9"/>
  <c r="ED180" i="9"/>
  <c r="EB180" i="9"/>
  <c r="DZ180" i="9"/>
  <c r="DP180" i="9"/>
  <c r="CB180" i="9"/>
  <c r="CA180" i="9"/>
  <c r="AY180" i="9"/>
  <c r="AZ180" i="9" s="1"/>
  <c r="K180" i="9"/>
  <c r="J180" i="9"/>
  <c r="GW179" i="9"/>
  <c r="HA179" i="9" s="1"/>
  <c r="GV179" i="9"/>
  <c r="GS179" i="9"/>
  <c r="GR179" i="9"/>
  <c r="GP179" i="9"/>
  <c r="GO179" i="9"/>
  <c r="GJ179" i="9"/>
  <c r="GH179" i="9"/>
  <c r="GC179" i="9"/>
  <c r="GB179" i="9"/>
  <c r="FZ179" i="9"/>
  <c r="FY179" i="9"/>
  <c r="FP179" i="9"/>
  <c r="FO179" i="9"/>
  <c r="FM179" i="9"/>
  <c r="FH179" i="9"/>
  <c r="FA179" i="9"/>
  <c r="EZ179" i="9"/>
  <c r="ET179" i="9"/>
  <c r="FT179" i="9" s="1"/>
  <c r="ES179" i="9"/>
  <c r="ED179" i="9"/>
  <c r="EB179" i="9"/>
  <c r="DZ179" i="9"/>
  <c r="DP179" i="9"/>
  <c r="CB179" i="9"/>
  <c r="CA179" i="9"/>
  <c r="AY179" i="9"/>
  <c r="AZ179" i="9" s="1"/>
  <c r="K179" i="9"/>
  <c r="J179" i="9"/>
  <c r="I179" i="9" s="1"/>
  <c r="GW178" i="9"/>
  <c r="HA178" i="9" s="1"/>
  <c r="GV178" i="9"/>
  <c r="GZ178" i="9" s="1"/>
  <c r="GS178" i="9"/>
  <c r="GR178" i="9"/>
  <c r="GP178" i="9"/>
  <c r="GO178" i="9"/>
  <c r="GJ178" i="9"/>
  <c r="GH178" i="9"/>
  <c r="GC178" i="9"/>
  <c r="GB178" i="9"/>
  <c r="FZ178" i="9"/>
  <c r="FY178" i="9"/>
  <c r="FP178" i="9"/>
  <c r="FO178" i="9"/>
  <c r="FM178" i="9"/>
  <c r="FH178" i="9"/>
  <c r="FA178" i="9"/>
  <c r="EZ178" i="9"/>
  <c r="ET178" i="9"/>
  <c r="FT178" i="9" s="1"/>
  <c r="ES178" i="9"/>
  <c r="ED178" i="9"/>
  <c r="EB178" i="9"/>
  <c r="DZ178" i="9"/>
  <c r="DP178" i="9"/>
  <c r="CB178" i="9"/>
  <c r="CA178" i="9"/>
  <c r="AY178" i="9"/>
  <c r="AZ178" i="9" s="1"/>
  <c r="K178" i="9"/>
  <c r="J178" i="9"/>
  <c r="GW177" i="9"/>
  <c r="HA177" i="9" s="1"/>
  <c r="GV177" i="9"/>
  <c r="GS177" i="9"/>
  <c r="GR177" i="9"/>
  <c r="GP177" i="9"/>
  <c r="GO177" i="9"/>
  <c r="GJ177" i="9"/>
  <c r="GH177" i="9"/>
  <c r="GC177" i="9"/>
  <c r="GB177" i="9"/>
  <c r="FZ177" i="9"/>
  <c r="FY177" i="9"/>
  <c r="FP177" i="9"/>
  <c r="FO177" i="9"/>
  <c r="FM177" i="9"/>
  <c r="FH177" i="9"/>
  <c r="FA177" i="9"/>
  <c r="EZ177" i="9"/>
  <c r="ET177" i="9"/>
  <c r="FT177" i="9" s="1"/>
  <c r="ES177" i="9"/>
  <c r="ED177" i="9"/>
  <c r="EB177" i="9"/>
  <c r="DZ177" i="9"/>
  <c r="DP177" i="9"/>
  <c r="CB177" i="9"/>
  <c r="CA177" i="9"/>
  <c r="AY177" i="9"/>
  <c r="AZ177" i="9" s="1"/>
  <c r="K177" i="9"/>
  <c r="J177" i="9"/>
  <c r="I177" i="9" s="1"/>
  <c r="GW176" i="9"/>
  <c r="HA176" i="9" s="1"/>
  <c r="GV176" i="9"/>
  <c r="GZ176" i="9" s="1"/>
  <c r="GS176" i="9"/>
  <c r="GR176" i="9"/>
  <c r="GP176" i="9"/>
  <c r="GO176" i="9"/>
  <c r="GJ176" i="9"/>
  <c r="GH176" i="9"/>
  <c r="GC176" i="9"/>
  <c r="GB176" i="9"/>
  <c r="FZ176" i="9"/>
  <c r="FY176" i="9"/>
  <c r="FP176" i="9"/>
  <c r="FO176" i="9"/>
  <c r="FU176" i="9" s="1"/>
  <c r="FM176" i="9"/>
  <c r="FH176" i="9"/>
  <c r="FA176" i="9"/>
  <c r="EZ176" i="9"/>
  <c r="ET176" i="9"/>
  <c r="FT176" i="9" s="1"/>
  <c r="ES176" i="9"/>
  <c r="FS176" i="9" s="1"/>
  <c r="ED176" i="9"/>
  <c r="EB176" i="9"/>
  <c r="DZ176" i="9"/>
  <c r="DP176" i="9"/>
  <c r="CB176" i="9"/>
  <c r="CA176" i="9"/>
  <c r="AY176" i="9"/>
  <c r="AZ176" i="9" s="1"/>
  <c r="K176" i="9"/>
  <c r="J176" i="9"/>
  <c r="GW175" i="9"/>
  <c r="HA175" i="9" s="1"/>
  <c r="GV175" i="9"/>
  <c r="GX175" i="9" s="1"/>
  <c r="HB175" i="9" s="1"/>
  <c r="GS175" i="9"/>
  <c r="GR175" i="9"/>
  <c r="GP175" i="9"/>
  <c r="GO175" i="9"/>
  <c r="GJ175" i="9"/>
  <c r="GH175" i="9"/>
  <c r="GC175" i="9"/>
  <c r="GB175" i="9"/>
  <c r="FZ175" i="9"/>
  <c r="FY175" i="9"/>
  <c r="FP175" i="9"/>
  <c r="FO175" i="9"/>
  <c r="FM175" i="9"/>
  <c r="FH175" i="9"/>
  <c r="FA175" i="9"/>
  <c r="EZ175" i="9"/>
  <c r="ET175" i="9"/>
  <c r="FT175" i="9" s="1"/>
  <c r="ES175" i="9"/>
  <c r="FS175" i="9" s="1"/>
  <c r="ED175" i="9"/>
  <c r="EB175" i="9"/>
  <c r="DZ175" i="9"/>
  <c r="DP175" i="9"/>
  <c r="CB175" i="9"/>
  <c r="CA175" i="9"/>
  <c r="AY175" i="9"/>
  <c r="AZ175" i="9" s="1"/>
  <c r="K175" i="9"/>
  <c r="I175" i="9" s="1"/>
  <c r="J175" i="9"/>
  <c r="GW174" i="9"/>
  <c r="HA174" i="9" s="1"/>
  <c r="GV174" i="9"/>
  <c r="GX174" i="9" s="1"/>
  <c r="HB174" i="9" s="1"/>
  <c r="GS174" i="9"/>
  <c r="GR174" i="9"/>
  <c r="GP174" i="9"/>
  <c r="GO174" i="9"/>
  <c r="GJ174" i="9"/>
  <c r="GK174" i="9" s="1"/>
  <c r="GH174" i="9"/>
  <c r="GC174" i="9"/>
  <c r="GB174" i="9"/>
  <c r="FZ174" i="9"/>
  <c r="FY174" i="9"/>
  <c r="FP174" i="9"/>
  <c r="FO174" i="9"/>
  <c r="FM174" i="9"/>
  <c r="FH174" i="9"/>
  <c r="FA174" i="9"/>
  <c r="EZ174" i="9"/>
  <c r="ET174" i="9"/>
  <c r="FT174" i="9" s="1"/>
  <c r="ES174" i="9"/>
  <c r="FS174" i="9" s="1"/>
  <c r="ED174" i="9"/>
  <c r="EB174" i="9"/>
  <c r="DZ174" i="9"/>
  <c r="DP174" i="9"/>
  <c r="CB174" i="9"/>
  <c r="CA174" i="9"/>
  <c r="AY174" i="9"/>
  <c r="AZ174" i="9" s="1"/>
  <c r="K174" i="9"/>
  <c r="J174" i="9"/>
  <c r="GW173" i="9"/>
  <c r="HA173" i="9" s="1"/>
  <c r="GV173" i="9"/>
  <c r="GX173" i="9" s="1"/>
  <c r="HB173" i="9" s="1"/>
  <c r="GS173" i="9"/>
  <c r="GR173" i="9"/>
  <c r="GP173" i="9"/>
  <c r="GO173" i="9"/>
  <c r="GJ173" i="9"/>
  <c r="GH173" i="9"/>
  <c r="GC173" i="9"/>
  <c r="GB173" i="9"/>
  <c r="FZ173" i="9"/>
  <c r="FY173" i="9"/>
  <c r="FP173" i="9"/>
  <c r="FO173" i="9"/>
  <c r="FM173" i="9"/>
  <c r="FH173" i="9"/>
  <c r="FA173" i="9"/>
  <c r="EZ173" i="9"/>
  <c r="ET173" i="9"/>
  <c r="FT173" i="9" s="1"/>
  <c r="ES173" i="9"/>
  <c r="ED173" i="9"/>
  <c r="EB173" i="9"/>
  <c r="DZ173" i="9"/>
  <c r="DP173" i="9"/>
  <c r="CB173" i="9"/>
  <c r="CA173" i="9"/>
  <c r="AY173" i="9"/>
  <c r="AZ173" i="9" s="1"/>
  <c r="K173" i="9"/>
  <c r="J173" i="9"/>
  <c r="I173" i="9" s="1"/>
  <c r="HA172" i="9"/>
  <c r="GW172" i="9"/>
  <c r="GV172" i="9"/>
  <c r="GS172" i="9"/>
  <c r="GR172" i="9"/>
  <c r="GP172" i="9"/>
  <c r="GO172" i="9"/>
  <c r="GJ172" i="9"/>
  <c r="GH172" i="9"/>
  <c r="GC172" i="9"/>
  <c r="GB172" i="9"/>
  <c r="FZ172" i="9"/>
  <c r="FY172" i="9"/>
  <c r="FP172" i="9"/>
  <c r="FO172" i="9"/>
  <c r="FM172" i="9"/>
  <c r="FH172" i="9"/>
  <c r="FA172" i="9"/>
  <c r="EZ172" i="9"/>
  <c r="ET172" i="9"/>
  <c r="FT172" i="9" s="1"/>
  <c r="ES172" i="9"/>
  <c r="ED172" i="9"/>
  <c r="EB172" i="9"/>
  <c r="DZ172" i="9"/>
  <c r="DP172" i="9"/>
  <c r="CB172" i="9"/>
  <c r="CA172" i="9"/>
  <c r="AZ172" i="9"/>
  <c r="AY172" i="9"/>
  <c r="K172" i="9"/>
  <c r="J172" i="9"/>
  <c r="GZ171" i="9"/>
  <c r="GW171" i="9"/>
  <c r="HA171" i="9" s="1"/>
  <c r="GV171" i="9"/>
  <c r="GS171" i="9"/>
  <c r="GR171" i="9"/>
  <c r="GP171" i="9"/>
  <c r="GO171" i="9"/>
  <c r="GJ171" i="9"/>
  <c r="GH171" i="9"/>
  <c r="GK171" i="9" s="1"/>
  <c r="GC171" i="9"/>
  <c r="GB171" i="9"/>
  <c r="FZ171" i="9"/>
  <c r="FY171" i="9"/>
  <c r="FP171" i="9"/>
  <c r="FO171" i="9"/>
  <c r="FM171" i="9"/>
  <c r="FH171" i="9"/>
  <c r="FA171" i="9"/>
  <c r="EZ171" i="9"/>
  <c r="ET171" i="9"/>
  <c r="FT171" i="9" s="1"/>
  <c r="ES171" i="9"/>
  <c r="EY171" i="9" s="1"/>
  <c r="EX171" i="9" s="1"/>
  <c r="ED171" i="9"/>
  <c r="EB171" i="9"/>
  <c r="DZ171" i="9"/>
  <c r="DP171" i="9"/>
  <c r="CB171" i="9"/>
  <c r="CA171" i="9"/>
  <c r="AY171" i="9"/>
  <c r="AZ171" i="9" s="1"/>
  <c r="K171" i="9"/>
  <c r="J171" i="9"/>
  <c r="GW170" i="9"/>
  <c r="HA170" i="9" s="1"/>
  <c r="GV170" i="9"/>
  <c r="GS170" i="9"/>
  <c r="GR170" i="9"/>
  <c r="GP170" i="9"/>
  <c r="GO170" i="9"/>
  <c r="GJ170" i="9"/>
  <c r="GH170" i="9"/>
  <c r="GC170" i="9"/>
  <c r="GB170" i="9"/>
  <c r="FZ170" i="9"/>
  <c r="FY170" i="9"/>
  <c r="FP170" i="9"/>
  <c r="FO170" i="9"/>
  <c r="FM170" i="9"/>
  <c r="FH170" i="9"/>
  <c r="FA170" i="9"/>
  <c r="EZ170" i="9"/>
  <c r="FB170" i="9" s="1"/>
  <c r="ET170" i="9"/>
  <c r="FT170" i="9" s="1"/>
  <c r="ES170" i="9"/>
  <c r="ED170" i="9"/>
  <c r="EB170" i="9"/>
  <c r="DZ170" i="9"/>
  <c r="DP170" i="9"/>
  <c r="CB170" i="9"/>
  <c r="CA170" i="9"/>
  <c r="AY170" i="9"/>
  <c r="AZ170" i="9" s="1"/>
  <c r="K170" i="9"/>
  <c r="J170" i="9"/>
  <c r="I170" i="9"/>
  <c r="GW169" i="9"/>
  <c r="HA169" i="9" s="1"/>
  <c r="GV169" i="9"/>
  <c r="GZ169" i="9" s="1"/>
  <c r="GS169" i="9"/>
  <c r="GR169" i="9"/>
  <c r="GP169" i="9"/>
  <c r="GO169" i="9"/>
  <c r="GJ169" i="9"/>
  <c r="GH169" i="9"/>
  <c r="GC169" i="9"/>
  <c r="GB169" i="9"/>
  <c r="FZ169" i="9"/>
  <c r="FY169" i="9"/>
  <c r="FP169" i="9"/>
  <c r="FO169" i="9"/>
  <c r="FM169" i="9"/>
  <c r="FH169" i="9"/>
  <c r="FA169" i="9"/>
  <c r="EZ169" i="9"/>
  <c r="ET169" i="9"/>
  <c r="FT169" i="9" s="1"/>
  <c r="ES169" i="9"/>
  <c r="ED169" i="9"/>
  <c r="EB169" i="9"/>
  <c r="DZ169" i="9"/>
  <c r="DP169" i="9"/>
  <c r="CB169" i="9"/>
  <c r="CA169" i="9"/>
  <c r="AY169" i="9"/>
  <c r="AZ169" i="9" s="1"/>
  <c r="K169" i="9"/>
  <c r="J169" i="9"/>
  <c r="GW168" i="9"/>
  <c r="HA168" i="9" s="1"/>
  <c r="GV168" i="9"/>
  <c r="GS168" i="9"/>
  <c r="GR168" i="9"/>
  <c r="GP168" i="9"/>
  <c r="GO168" i="9"/>
  <c r="GJ168" i="9"/>
  <c r="GH168" i="9"/>
  <c r="GC168" i="9"/>
  <c r="GB168" i="9"/>
  <c r="FZ168" i="9"/>
  <c r="FY168" i="9"/>
  <c r="FP168" i="9"/>
  <c r="FO168" i="9"/>
  <c r="FM168" i="9"/>
  <c r="FH168" i="9"/>
  <c r="FA168" i="9"/>
  <c r="EZ168" i="9"/>
  <c r="ET168" i="9"/>
  <c r="FT168" i="9" s="1"/>
  <c r="ES168" i="9"/>
  <c r="ED168" i="9"/>
  <c r="EB168" i="9"/>
  <c r="DZ168" i="9"/>
  <c r="DP168" i="9"/>
  <c r="CB168" i="9"/>
  <c r="CA168" i="9"/>
  <c r="AY168" i="9"/>
  <c r="AZ168" i="9" s="1"/>
  <c r="K168" i="9"/>
  <c r="J168" i="9"/>
  <c r="I168" i="9" s="1"/>
  <c r="GW167" i="9"/>
  <c r="HA167" i="9" s="1"/>
  <c r="GV167" i="9"/>
  <c r="GZ167" i="9" s="1"/>
  <c r="GS167" i="9"/>
  <c r="GR167" i="9"/>
  <c r="GP167" i="9"/>
  <c r="GO167" i="9"/>
  <c r="GJ167" i="9"/>
  <c r="GH167" i="9"/>
  <c r="GC167" i="9"/>
  <c r="GB167" i="9"/>
  <c r="FZ167" i="9"/>
  <c r="FY167" i="9"/>
  <c r="FP167" i="9"/>
  <c r="FO167" i="9"/>
  <c r="FM167" i="9"/>
  <c r="FH167" i="9"/>
  <c r="FA167" i="9"/>
  <c r="EZ167" i="9"/>
  <c r="FB167" i="9" s="1"/>
  <c r="ET167" i="9"/>
  <c r="FT167" i="9" s="1"/>
  <c r="ES167" i="9"/>
  <c r="ED167" i="9"/>
  <c r="EB167" i="9"/>
  <c r="DZ167" i="9"/>
  <c r="DP167" i="9"/>
  <c r="CB167" i="9"/>
  <c r="CA167" i="9"/>
  <c r="AY167" i="9"/>
  <c r="AZ167" i="9" s="1"/>
  <c r="K167" i="9"/>
  <c r="J167" i="9"/>
  <c r="GW166" i="9"/>
  <c r="HA166" i="9" s="1"/>
  <c r="GV166" i="9"/>
  <c r="GZ166" i="9" s="1"/>
  <c r="GS166" i="9"/>
  <c r="GR166" i="9"/>
  <c r="GP166" i="9"/>
  <c r="GO166" i="9"/>
  <c r="GJ166" i="9"/>
  <c r="GH166" i="9"/>
  <c r="GC166" i="9"/>
  <c r="GB166" i="9"/>
  <c r="FZ166" i="9"/>
  <c r="FY166" i="9"/>
  <c r="FP166" i="9"/>
  <c r="FO166" i="9"/>
  <c r="FM166" i="9"/>
  <c r="FH166" i="9"/>
  <c r="FA166" i="9"/>
  <c r="EZ166" i="9"/>
  <c r="ET166" i="9"/>
  <c r="FT166" i="9" s="1"/>
  <c r="ES166" i="9"/>
  <c r="ED166" i="9"/>
  <c r="EB166" i="9"/>
  <c r="DZ166" i="9"/>
  <c r="DP166" i="9"/>
  <c r="CB166" i="9"/>
  <c r="CA166" i="9"/>
  <c r="AY166" i="9"/>
  <c r="AZ166" i="9" s="1"/>
  <c r="K166" i="9"/>
  <c r="J166" i="9"/>
  <c r="GZ165" i="9"/>
  <c r="GW165" i="9"/>
  <c r="HA165" i="9" s="1"/>
  <c r="GV165" i="9"/>
  <c r="GS165" i="9"/>
  <c r="GR165" i="9"/>
  <c r="GP165" i="9"/>
  <c r="GO165" i="9"/>
  <c r="GJ165" i="9"/>
  <c r="GH165" i="9"/>
  <c r="GC165" i="9"/>
  <c r="GB165" i="9"/>
  <c r="FZ165" i="9"/>
  <c r="FY165" i="9"/>
  <c r="FP165" i="9"/>
  <c r="FO165" i="9"/>
  <c r="FM165" i="9"/>
  <c r="FH165" i="9"/>
  <c r="FA165" i="9"/>
  <c r="EZ165" i="9"/>
  <c r="FB165" i="9" s="1"/>
  <c r="ET165" i="9"/>
  <c r="FT165" i="9" s="1"/>
  <c r="ES165" i="9"/>
  <c r="EY165" i="9" s="1"/>
  <c r="EX165" i="9" s="1"/>
  <c r="ED165" i="9"/>
  <c r="EB165" i="9"/>
  <c r="DZ165" i="9"/>
  <c r="DP165" i="9"/>
  <c r="CB165" i="9"/>
  <c r="CA165" i="9"/>
  <c r="AY165" i="9"/>
  <c r="AZ165" i="9" s="1"/>
  <c r="K165" i="9"/>
  <c r="J165" i="9"/>
  <c r="GW164" i="9"/>
  <c r="HA164" i="9" s="1"/>
  <c r="GV164" i="9"/>
  <c r="GS164" i="9"/>
  <c r="GR164" i="9"/>
  <c r="GP164" i="9"/>
  <c r="GO164" i="9"/>
  <c r="GJ164" i="9"/>
  <c r="GH164" i="9"/>
  <c r="GC164" i="9"/>
  <c r="GB164" i="9"/>
  <c r="FZ164" i="9"/>
  <c r="FY164" i="9"/>
  <c r="FP164" i="9"/>
  <c r="FO164" i="9"/>
  <c r="FM164" i="9"/>
  <c r="FH164" i="9"/>
  <c r="FA164" i="9"/>
  <c r="EZ164" i="9"/>
  <c r="FB164" i="9" s="1"/>
  <c r="ET164" i="9"/>
  <c r="FT164" i="9" s="1"/>
  <c r="ES164" i="9"/>
  <c r="ED164" i="9"/>
  <c r="EB164" i="9"/>
  <c r="DZ164" i="9"/>
  <c r="DP164" i="9"/>
  <c r="CB164" i="9"/>
  <c r="CA164" i="9"/>
  <c r="AY164" i="9"/>
  <c r="AZ164" i="9" s="1"/>
  <c r="K164" i="9"/>
  <c r="J164" i="9"/>
  <c r="GW163" i="9"/>
  <c r="GV163" i="9"/>
  <c r="GZ163" i="9" s="1"/>
  <c r="GS163" i="9"/>
  <c r="GR163" i="9"/>
  <c r="GP163" i="9"/>
  <c r="GO163" i="9"/>
  <c r="GJ163" i="9"/>
  <c r="GH163" i="9"/>
  <c r="GK163" i="9" s="1"/>
  <c r="GC163" i="9"/>
  <c r="GB163" i="9"/>
  <c r="FZ163" i="9"/>
  <c r="FY163" i="9"/>
  <c r="FT163" i="9"/>
  <c r="FP163" i="9"/>
  <c r="FO163" i="9"/>
  <c r="FM163" i="9"/>
  <c r="FH163" i="9"/>
  <c r="FA163" i="9"/>
  <c r="EZ163" i="9"/>
  <c r="ET163" i="9"/>
  <c r="ES163" i="9"/>
  <c r="EY163" i="9" s="1"/>
  <c r="EX163" i="9" s="1"/>
  <c r="ED163" i="9"/>
  <c r="EB163" i="9"/>
  <c r="DZ163" i="9"/>
  <c r="DP163" i="9"/>
  <c r="CB163" i="9"/>
  <c r="CA163" i="9"/>
  <c r="AY163" i="9"/>
  <c r="AZ163" i="9" s="1"/>
  <c r="K163" i="9"/>
  <c r="J163" i="9"/>
  <c r="GW162" i="9"/>
  <c r="HA162" i="9" s="1"/>
  <c r="GV162" i="9"/>
  <c r="GZ162" i="9" s="1"/>
  <c r="GS162" i="9"/>
  <c r="GR162" i="9"/>
  <c r="GP162" i="9"/>
  <c r="GO162" i="9"/>
  <c r="GJ162" i="9"/>
  <c r="GH162" i="9"/>
  <c r="GC162" i="9"/>
  <c r="GB162" i="9"/>
  <c r="FZ162" i="9"/>
  <c r="FY162" i="9"/>
  <c r="FP162" i="9"/>
  <c r="FO162" i="9"/>
  <c r="FM162" i="9"/>
  <c r="FH162" i="9"/>
  <c r="FA162" i="9"/>
  <c r="EZ162" i="9"/>
  <c r="FB162" i="9" s="1"/>
  <c r="ET162" i="9"/>
  <c r="FT162" i="9" s="1"/>
  <c r="ES162" i="9"/>
  <c r="EY162" i="9" s="1"/>
  <c r="EX162" i="9" s="1"/>
  <c r="ED162" i="9"/>
  <c r="EB162" i="9"/>
  <c r="DZ162" i="9"/>
  <c r="DP162" i="9"/>
  <c r="CB162" i="9"/>
  <c r="CA162" i="9"/>
  <c r="AY162" i="9"/>
  <c r="AZ162" i="9" s="1"/>
  <c r="K162" i="9"/>
  <c r="J162" i="9"/>
  <c r="I162" i="9" s="1"/>
  <c r="HA161" i="9"/>
  <c r="GW161" i="9"/>
  <c r="GV161" i="9"/>
  <c r="GZ161" i="9" s="1"/>
  <c r="GS161" i="9"/>
  <c r="GR161" i="9"/>
  <c r="GP161" i="9"/>
  <c r="GO161" i="9"/>
  <c r="GJ161" i="9"/>
  <c r="GH161" i="9"/>
  <c r="GC161" i="9"/>
  <c r="GB161" i="9"/>
  <c r="FZ161" i="9"/>
  <c r="FY161" i="9"/>
  <c r="FT161" i="9"/>
  <c r="FP161" i="9"/>
  <c r="FO161" i="9"/>
  <c r="FM161" i="9"/>
  <c r="FH161" i="9"/>
  <c r="FA161" i="9"/>
  <c r="EZ161" i="9"/>
  <c r="EV161" i="9"/>
  <c r="FK161" i="9" s="1"/>
  <c r="ET161" i="9"/>
  <c r="ES161" i="9"/>
  <c r="EY161" i="9" s="1"/>
  <c r="EX161" i="9" s="1"/>
  <c r="ED161" i="9"/>
  <c r="EB161" i="9"/>
  <c r="DZ161" i="9"/>
  <c r="DP161" i="9"/>
  <c r="CB161" i="9"/>
  <c r="CA161" i="9"/>
  <c r="AY161" i="9"/>
  <c r="AZ161" i="9" s="1"/>
  <c r="K161" i="9"/>
  <c r="J161" i="9"/>
  <c r="GW160" i="9"/>
  <c r="HA251" i="9" s="1"/>
  <c r="GV160" i="9"/>
  <c r="GS160" i="9"/>
  <c r="GR160" i="9"/>
  <c r="GP160" i="9"/>
  <c r="GO160" i="9"/>
  <c r="GJ160" i="9"/>
  <c r="GH160" i="9"/>
  <c r="GC160" i="9"/>
  <c r="GB160" i="9"/>
  <c r="FZ160" i="9"/>
  <c r="FY160" i="9"/>
  <c r="FP160" i="9"/>
  <c r="FO160" i="9"/>
  <c r="FM160" i="9"/>
  <c r="FH160" i="9"/>
  <c r="FA160" i="9"/>
  <c r="EZ160" i="9"/>
  <c r="ET160" i="9"/>
  <c r="FT160" i="9" s="1"/>
  <c r="ES160" i="9"/>
  <c r="FS160" i="9" s="1"/>
  <c r="ED160" i="9"/>
  <c r="EB160" i="9"/>
  <c r="DZ160" i="9"/>
  <c r="DP160" i="9"/>
  <c r="CB160" i="9"/>
  <c r="CA160" i="9"/>
  <c r="AY160" i="9"/>
  <c r="AZ160" i="9" s="1"/>
  <c r="K160" i="9"/>
  <c r="I160" i="9" s="1"/>
  <c r="J160" i="9"/>
  <c r="GW159" i="9"/>
  <c r="HA159" i="9" s="1"/>
  <c r="GV159" i="9"/>
  <c r="GS159" i="9"/>
  <c r="GR159" i="9"/>
  <c r="GP159" i="9"/>
  <c r="GO159" i="9"/>
  <c r="GJ159" i="9"/>
  <c r="GH159" i="9"/>
  <c r="GK159" i="9" s="1"/>
  <c r="GC159" i="9"/>
  <c r="GB159" i="9"/>
  <c r="FZ159" i="9"/>
  <c r="FY159" i="9"/>
  <c r="FP159" i="9"/>
  <c r="FO159" i="9"/>
  <c r="FM159" i="9"/>
  <c r="FH159" i="9"/>
  <c r="FA159" i="9"/>
  <c r="EZ159" i="9"/>
  <c r="ET159" i="9"/>
  <c r="FT159" i="9" s="1"/>
  <c r="ES159" i="9"/>
  <c r="EY159" i="9" s="1"/>
  <c r="EX159" i="9" s="1"/>
  <c r="ED159" i="9"/>
  <c r="EB159" i="9"/>
  <c r="DZ159" i="9"/>
  <c r="DP159" i="9"/>
  <c r="CB159" i="9"/>
  <c r="CA159" i="9"/>
  <c r="AY159" i="9"/>
  <c r="AZ159" i="9" s="1"/>
  <c r="K159" i="9"/>
  <c r="J159" i="9"/>
  <c r="GW158" i="9"/>
  <c r="GV158" i="9"/>
  <c r="GZ158" i="9" s="1"/>
  <c r="GS158" i="9"/>
  <c r="GR158" i="9"/>
  <c r="GP158" i="9"/>
  <c r="GO158" i="9"/>
  <c r="GJ158" i="9"/>
  <c r="GH158" i="9"/>
  <c r="GC158" i="9"/>
  <c r="GB158" i="9"/>
  <c r="FZ158" i="9"/>
  <c r="FY158" i="9"/>
  <c r="FT158" i="9"/>
  <c r="FP158" i="9"/>
  <c r="FO158" i="9"/>
  <c r="FM158" i="9"/>
  <c r="FH158" i="9"/>
  <c r="FA158" i="9"/>
  <c r="EZ158" i="9"/>
  <c r="ET158" i="9"/>
  <c r="ES158" i="9"/>
  <c r="EY158" i="9" s="1"/>
  <c r="EX158" i="9" s="1"/>
  <c r="ED158" i="9"/>
  <c r="EB158" i="9"/>
  <c r="DZ158" i="9"/>
  <c r="DP158" i="9"/>
  <c r="CB158" i="9"/>
  <c r="CA158" i="9"/>
  <c r="AY158" i="9"/>
  <c r="AZ158" i="9" s="1"/>
  <c r="K158" i="9"/>
  <c r="I158" i="9" s="1"/>
  <c r="J158" i="9"/>
  <c r="GW157" i="9"/>
  <c r="HA157" i="9" s="1"/>
  <c r="GV157" i="9"/>
  <c r="GZ157" i="9" s="1"/>
  <c r="GS157" i="9"/>
  <c r="GR157" i="9"/>
  <c r="GP157" i="9"/>
  <c r="GO157" i="9"/>
  <c r="GJ157" i="9"/>
  <c r="GH157" i="9"/>
  <c r="GC157" i="9"/>
  <c r="GB157" i="9"/>
  <c r="FZ157" i="9"/>
  <c r="FY157" i="9"/>
  <c r="FP157" i="9"/>
  <c r="FO157" i="9"/>
  <c r="FM157" i="9"/>
  <c r="FH157" i="9"/>
  <c r="FA157" i="9"/>
  <c r="EZ157" i="9"/>
  <c r="FB157" i="9" s="1"/>
  <c r="ET157" i="9"/>
  <c r="FT157" i="9" s="1"/>
  <c r="ES157" i="9"/>
  <c r="FS157" i="9" s="1"/>
  <c r="ED157" i="9"/>
  <c r="EB157" i="9"/>
  <c r="DZ157" i="9"/>
  <c r="DP157" i="9"/>
  <c r="CB157" i="9"/>
  <c r="CA157" i="9"/>
  <c r="AY157" i="9"/>
  <c r="AZ157" i="9" s="1"/>
  <c r="K157" i="9"/>
  <c r="J157" i="9"/>
  <c r="GW156" i="9"/>
  <c r="GV156" i="9"/>
  <c r="GZ156" i="9" s="1"/>
  <c r="GS156" i="9"/>
  <c r="GR156" i="9"/>
  <c r="GP156" i="9"/>
  <c r="GO156" i="9"/>
  <c r="GJ156" i="9"/>
  <c r="GH156" i="9"/>
  <c r="GK156" i="9" s="1"/>
  <c r="GC156" i="9"/>
  <c r="GB156" i="9"/>
  <c r="FZ156" i="9"/>
  <c r="FY156" i="9"/>
  <c r="FP156" i="9"/>
  <c r="FO156" i="9"/>
  <c r="FM156" i="9"/>
  <c r="FH156" i="9"/>
  <c r="FA156" i="9"/>
  <c r="EZ156" i="9"/>
  <c r="ET156" i="9"/>
  <c r="FT156" i="9" s="1"/>
  <c r="ES156" i="9"/>
  <c r="ED156" i="9"/>
  <c r="EB156" i="9"/>
  <c r="DZ156" i="9"/>
  <c r="DP156" i="9"/>
  <c r="CB156" i="9"/>
  <c r="CA156" i="9"/>
  <c r="AY156" i="9"/>
  <c r="AZ156" i="9" s="1"/>
  <c r="K156" i="9"/>
  <c r="J156" i="9"/>
  <c r="GW155" i="9"/>
  <c r="HA155" i="9" s="1"/>
  <c r="GV155" i="9"/>
  <c r="GZ155" i="9" s="1"/>
  <c r="GS155" i="9"/>
  <c r="GR155" i="9"/>
  <c r="GP155" i="9"/>
  <c r="GO155" i="9"/>
  <c r="GJ155" i="9"/>
  <c r="GH155" i="9"/>
  <c r="GC155" i="9"/>
  <c r="GB155" i="9"/>
  <c r="FZ155" i="9"/>
  <c r="FY155" i="9"/>
  <c r="FP155" i="9"/>
  <c r="FO155" i="9"/>
  <c r="FM155" i="9"/>
  <c r="FH155" i="9"/>
  <c r="FA155" i="9"/>
  <c r="EZ155" i="9"/>
  <c r="FB155" i="9" s="1"/>
  <c r="ET155" i="9"/>
  <c r="FT155" i="9" s="1"/>
  <c r="ES155" i="9"/>
  <c r="EY155" i="9" s="1"/>
  <c r="EX155" i="9" s="1"/>
  <c r="ED155" i="9"/>
  <c r="EB155" i="9"/>
  <c r="DZ155" i="9"/>
  <c r="DP155" i="9"/>
  <c r="CB155" i="9"/>
  <c r="CA155" i="9"/>
  <c r="AY155" i="9"/>
  <c r="AZ155" i="9" s="1"/>
  <c r="K155" i="9"/>
  <c r="I155" i="9" s="1"/>
  <c r="J155" i="9"/>
  <c r="GW154" i="9"/>
  <c r="GV154" i="9"/>
  <c r="GS154" i="9"/>
  <c r="GR154" i="9"/>
  <c r="GP154" i="9"/>
  <c r="GO154" i="9"/>
  <c r="GJ154" i="9"/>
  <c r="GH154" i="9"/>
  <c r="GC154" i="9"/>
  <c r="GB154" i="9"/>
  <c r="FZ154" i="9"/>
  <c r="FY154" i="9"/>
  <c r="FT154" i="9"/>
  <c r="FP154" i="9"/>
  <c r="FO154" i="9"/>
  <c r="FM154" i="9"/>
  <c r="FH154" i="9"/>
  <c r="FA154" i="9"/>
  <c r="EZ154" i="9"/>
  <c r="FB154" i="9" s="1"/>
  <c r="ET154" i="9"/>
  <c r="ES154" i="9"/>
  <c r="FS154" i="9" s="1"/>
  <c r="ED154" i="9"/>
  <c r="EB154" i="9"/>
  <c r="DZ154" i="9"/>
  <c r="DP154" i="9"/>
  <c r="CE154" i="9"/>
  <c r="CD154" i="9" s="1"/>
  <c r="CF154" i="9" s="1"/>
  <c r="CB154" i="9"/>
  <c r="CA154" i="9"/>
  <c r="AY154" i="9"/>
  <c r="AZ154" i="9" s="1"/>
  <c r="K154" i="9"/>
  <c r="J154" i="9"/>
  <c r="GW153" i="9"/>
  <c r="GV153" i="9"/>
  <c r="GZ153" i="9" s="1"/>
  <c r="GS153" i="9"/>
  <c r="GR153" i="9"/>
  <c r="GP153" i="9"/>
  <c r="GO153" i="9"/>
  <c r="GJ153" i="9"/>
  <c r="GH153" i="9"/>
  <c r="GK153" i="9" s="1"/>
  <c r="GC153" i="9"/>
  <c r="GB153" i="9"/>
  <c r="FZ153" i="9"/>
  <c r="FY153" i="9"/>
  <c r="FP153" i="9"/>
  <c r="FO153" i="9"/>
  <c r="FM153" i="9"/>
  <c r="FH153" i="9"/>
  <c r="FA153" i="9"/>
  <c r="EZ153" i="9"/>
  <c r="ET153" i="9"/>
  <c r="FT153" i="9" s="1"/>
  <c r="ES153" i="9"/>
  <c r="ED153" i="9"/>
  <c r="EB153" i="9"/>
  <c r="DZ153" i="9"/>
  <c r="DP153" i="9"/>
  <c r="CE153" i="9"/>
  <c r="CG153" i="9" s="1"/>
  <c r="CB153" i="9"/>
  <c r="CA153" i="9"/>
  <c r="AY153" i="9"/>
  <c r="AZ153" i="9" s="1"/>
  <c r="K153" i="9"/>
  <c r="J153" i="9"/>
  <c r="GW152" i="9"/>
  <c r="HA152" i="9" s="1"/>
  <c r="GV152" i="9"/>
  <c r="GS152" i="9"/>
  <c r="GR152" i="9"/>
  <c r="GP152" i="9"/>
  <c r="GO152" i="9"/>
  <c r="GJ152" i="9"/>
  <c r="GH152" i="9"/>
  <c r="GK152" i="9" s="1"/>
  <c r="GC152" i="9"/>
  <c r="GB152" i="9"/>
  <c r="FZ152" i="9"/>
  <c r="FY152" i="9"/>
  <c r="FP152" i="9"/>
  <c r="FV152" i="9" s="1"/>
  <c r="FO152" i="9"/>
  <c r="FM152" i="9"/>
  <c r="FH152" i="9"/>
  <c r="FA152" i="9"/>
  <c r="EZ152" i="9"/>
  <c r="ET152" i="9"/>
  <c r="FT152" i="9" s="1"/>
  <c r="ES152" i="9"/>
  <c r="FB152" i="9" s="1"/>
  <c r="ED152" i="9"/>
  <c r="EB152" i="9"/>
  <c r="DZ152" i="9"/>
  <c r="DP152" i="9"/>
  <c r="CB152" i="9"/>
  <c r="CA152" i="9"/>
  <c r="AY152" i="9"/>
  <c r="AZ152" i="9" s="1"/>
  <c r="K152" i="9"/>
  <c r="J152" i="9"/>
  <c r="GZ151" i="9"/>
  <c r="GW151" i="9"/>
  <c r="GV151" i="9"/>
  <c r="GS151" i="9"/>
  <c r="GR151" i="9"/>
  <c r="GP151" i="9"/>
  <c r="GO151" i="9"/>
  <c r="GJ151" i="9"/>
  <c r="GH151" i="9"/>
  <c r="GC151" i="9"/>
  <c r="GB151" i="9"/>
  <c r="FZ151" i="9"/>
  <c r="FY151" i="9"/>
  <c r="FP151" i="9"/>
  <c r="FO151" i="9"/>
  <c r="FM151" i="9"/>
  <c r="FH151" i="9"/>
  <c r="FA151" i="9"/>
  <c r="EZ151" i="9"/>
  <c r="EV151" i="9"/>
  <c r="FK151" i="9" s="1"/>
  <c r="ET151" i="9"/>
  <c r="FT151" i="9" s="1"/>
  <c r="ES151" i="9"/>
  <c r="FS151" i="9" s="1"/>
  <c r="ED151" i="9"/>
  <c r="EB151" i="9"/>
  <c r="DZ151" i="9"/>
  <c r="DP151" i="9"/>
  <c r="CB151" i="9"/>
  <c r="CA151" i="9"/>
  <c r="AY151" i="9"/>
  <c r="AZ151" i="9" s="1"/>
  <c r="K151" i="9"/>
  <c r="J151" i="9"/>
  <c r="I151" i="9" s="1"/>
  <c r="GW150" i="9"/>
  <c r="HA150" i="9" s="1"/>
  <c r="GV150" i="9"/>
  <c r="GZ150" i="9" s="1"/>
  <c r="GS150" i="9"/>
  <c r="GR150" i="9"/>
  <c r="GP150" i="9"/>
  <c r="GO150" i="9"/>
  <c r="GJ150" i="9"/>
  <c r="GH150" i="9"/>
  <c r="GK150" i="9" s="1"/>
  <c r="GC150" i="9"/>
  <c r="GB150" i="9"/>
  <c r="FZ150" i="9"/>
  <c r="FY150" i="9"/>
  <c r="FP150" i="9"/>
  <c r="FV150" i="9" s="1"/>
  <c r="FO150" i="9"/>
  <c r="FM150" i="9"/>
  <c r="FH150" i="9"/>
  <c r="FA150" i="9"/>
  <c r="EZ150" i="9"/>
  <c r="ET150" i="9"/>
  <c r="FT150" i="9" s="1"/>
  <c r="ES150" i="9"/>
  <c r="ED150" i="9"/>
  <c r="EB150" i="9"/>
  <c r="DZ150" i="9"/>
  <c r="DP150" i="9"/>
  <c r="CB150" i="9"/>
  <c r="CA150" i="9"/>
  <c r="AY150" i="9"/>
  <c r="AZ150" i="9" s="1"/>
  <c r="K150" i="9"/>
  <c r="J150" i="9"/>
  <c r="I150" i="9" s="1"/>
  <c r="GW149" i="9"/>
  <c r="HA149" i="9" s="1"/>
  <c r="GV149" i="9"/>
  <c r="GZ149" i="9" s="1"/>
  <c r="GS149" i="9"/>
  <c r="GR149" i="9"/>
  <c r="GP149" i="9"/>
  <c r="GO149" i="9"/>
  <c r="GJ149" i="9"/>
  <c r="GH149" i="9"/>
  <c r="GK149" i="9" s="1"/>
  <c r="GC149" i="9"/>
  <c r="GB149" i="9"/>
  <c r="FZ149" i="9"/>
  <c r="FY149" i="9"/>
  <c r="FP149" i="9"/>
  <c r="FO149" i="9"/>
  <c r="FM149" i="9"/>
  <c r="FH149" i="9"/>
  <c r="FA149" i="9"/>
  <c r="EZ149" i="9"/>
  <c r="ET149" i="9"/>
  <c r="FT149" i="9" s="1"/>
  <c r="ES149" i="9"/>
  <c r="EY149" i="9" s="1"/>
  <c r="EX149" i="9" s="1"/>
  <c r="ED149" i="9"/>
  <c r="EB149" i="9"/>
  <c r="DZ149" i="9"/>
  <c r="DP149" i="9"/>
  <c r="CB149" i="9"/>
  <c r="CA149" i="9"/>
  <c r="AY149" i="9"/>
  <c r="AZ149" i="9" s="1"/>
  <c r="K149" i="9"/>
  <c r="J149" i="9"/>
  <c r="HA148" i="9"/>
  <c r="GW148" i="9"/>
  <c r="GV148" i="9"/>
  <c r="GX148" i="9" s="1"/>
  <c r="HB148" i="9" s="1"/>
  <c r="GS148" i="9"/>
  <c r="GR148" i="9"/>
  <c r="GP148" i="9"/>
  <c r="GO148" i="9"/>
  <c r="GJ148" i="9"/>
  <c r="GH148" i="9"/>
  <c r="GC148" i="9"/>
  <c r="GB148" i="9"/>
  <c r="FZ148" i="9"/>
  <c r="FY148" i="9"/>
  <c r="FP148" i="9"/>
  <c r="FO148" i="9"/>
  <c r="FH148" i="9"/>
  <c r="FC148" i="9"/>
  <c r="FE148" i="9" s="1"/>
  <c r="FB148" i="9"/>
  <c r="FD148" i="9" s="1"/>
  <c r="FA148" i="9"/>
  <c r="EZ148" i="9"/>
  <c r="ET148" i="9"/>
  <c r="FT148" i="9" s="1"/>
  <c r="ES148" i="9"/>
  <c r="ED148" i="9"/>
  <c r="EB148" i="9"/>
  <c r="DZ148" i="9"/>
  <c r="DP148" i="9"/>
  <c r="CB148" i="9"/>
  <c r="CA148" i="9"/>
  <c r="AY148" i="9"/>
  <c r="AZ148" i="9" s="1"/>
  <c r="K148" i="9"/>
  <c r="J148" i="9"/>
  <c r="GW147" i="9"/>
  <c r="GV147" i="9"/>
  <c r="GZ147" i="9" s="1"/>
  <c r="GS147" i="9"/>
  <c r="GR147" i="9"/>
  <c r="GP147" i="9"/>
  <c r="GO147" i="9"/>
  <c r="GJ147" i="9"/>
  <c r="GH147" i="9"/>
  <c r="GC147" i="9"/>
  <c r="GB147" i="9"/>
  <c r="FZ147" i="9"/>
  <c r="FY147" i="9"/>
  <c r="FP147" i="9"/>
  <c r="FO147" i="9"/>
  <c r="FH147" i="9"/>
  <c r="FC147" i="9"/>
  <c r="FB147" i="9"/>
  <c r="FD147" i="9" s="1"/>
  <c r="FA147" i="9"/>
  <c r="EZ147" i="9"/>
  <c r="ET147" i="9"/>
  <c r="EW147" i="9" s="1"/>
  <c r="FM147" i="9" s="1"/>
  <c r="ES147" i="9"/>
  <c r="ED147" i="9"/>
  <c r="EB147" i="9"/>
  <c r="DZ147" i="9"/>
  <c r="DP147" i="9"/>
  <c r="CB147" i="9"/>
  <c r="CA147" i="9"/>
  <c r="AY147" i="9"/>
  <c r="AZ147" i="9" s="1"/>
  <c r="K147" i="9"/>
  <c r="J147" i="9"/>
  <c r="GW146" i="9"/>
  <c r="HA146" i="9" s="1"/>
  <c r="GV146" i="9"/>
  <c r="GX146" i="9" s="1"/>
  <c r="HB146" i="9" s="1"/>
  <c r="GS146" i="9"/>
  <c r="GR146" i="9"/>
  <c r="GP146" i="9"/>
  <c r="GO146" i="9"/>
  <c r="GJ146" i="9"/>
  <c r="GK146" i="9" s="1"/>
  <c r="GH146" i="9"/>
  <c r="GC146" i="9"/>
  <c r="GB146" i="9"/>
  <c r="FZ146" i="9"/>
  <c r="FY146" i="9"/>
  <c r="FP146" i="9"/>
  <c r="FO146" i="9"/>
  <c r="FM146" i="9"/>
  <c r="FH146" i="9"/>
  <c r="FA146" i="9"/>
  <c r="EZ146" i="9"/>
  <c r="ET146" i="9"/>
  <c r="FT146" i="9" s="1"/>
  <c r="ES146" i="9"/>
  <c r="EX146" i="9" s="1"/>
  <c r="ED146" i="9"/>
  <c r="EB146" i="9"/>
  <c r="DZ146" i="9"/>
  <c r="DP146" i="9"/>
  <c r="CE146" i="9"/>
  <c r="CG146" i="9" s="1"/>
  <c r="CB146" i="9"/>
  <c r="CA146" i="9"/>
  <c r="AZ146" i="9"/>
  <c r="AY146" i="9"/>
  <c r="K146" i="9"/>
  <c r="J146" i="9"/>
  <c r="I146" i="9"/>
  <c r="GW145" i="9"/>
  <c r="HA145" i="9" s="1"/>
  <c r="GV145" i="9"/>
  <c r="GZ145" i="9" s="1"/>
  <c r="GS145" i="9"/>
  <c r="GR145" i="9"/>
  <c r="GP145" i="9"/>
  <c r="GO145" i="9"/>
  <c r="GJ145" i="9"/>
  <c r="GK145" i="9" s="1"/>
  <c r="GH145" i="9"/>
  <c r="GC145" i="9"/>
  <c r="GB145" i="9"/>
  <c r="FZ145" i="9"/>
  <c r="FY145" i="9"/>
  <c r="FP145" i="9"/>
  <c r="FO145" i="9"/>
  <c r="FM145" i="9"/>
  <c r="FH145" i="9"/>
  <c r="FA145" i="9"/>
  <c r="EZ145" i="9"/>
  <c r="ET145" i="9"/>
  <c r="FT145" i="9" s="1"/>
  <c r="ES145" i="9"/>
  <c r="EX145" i="9" s="1"/>
  <c r="ED145" i="9"/>
  <c r="EB145" i="9"/>
  <c r="DZ145" i="9"/>
  <c r="DP145" i="9"/>
  <c r="CE145" i="9"/>
  <c r="CG145" i="9" s="1"/>
  <c r="CB145" i="9"/>
  <c r="CA145" i="9"/>
  <c r="AY145" i="9"/>
  <c r="AZ145" i="9" s="1"/>
  <c r="K145" i="9"/>
  <c r="J145" i="9"/>
  <c r="I145" i="9" s="1"/>
  <c r="GW144" i="9"/>
  <c r="HA144" i="9" s="1"/>
  <c r="GV144" i="9"/>
  <c r="GS144" i="9"/>
  <c r="GR144" i="9"/>
  <c r="GP144" i="9"/>
  <c r="GO144" i="9"/>
  <c r="GJ144" i="9"/>
  <c r="GH144" i="9"/>
  <c r="GK144" i="9" s="1"/>
  <c r="GC144" i="9"/>
  <c r="GB144" i="9"/>
  <c r="FZ144" i="9"/>
  <c r="FY144" i="9"/>
  <c r="FP144" i="9"/>
  <c r="FO144" i="9"/>
  <c r="FM144" i="9"/>
  <c r="FH144" i="9"/>
  <c r="FA144" i="9"/>
  <c r="EZ144" i="9"/>
  <c r="ET144" i="9"/>
  <c r="FT144" i="9" s="1"/>
  <c r="ES144" i="9"/>
  <c r="EX144" i="9" s="1"/>
  <c r="ED144" i="9"/>
  <c r="EB144" i="9"/>
  <c r="DZ144" i="9"/>
  <c r="DP144" i="9"/>
  <c r="CB144" i="9"/>
  <c r="CA144" i="9"/>
  <c r="AY144" i="9"/>
  <c r="AZ144" i="9" s="1"/>
  <c r="K144" i="9"/>
  <c r="J144" i="9"/>
  <c r="GW143" i="9"/>
  <c r="HA143" i="9" s="1"/>
  <c r="GV143" i="9"/>
  <c r="GZ143" i="9" s="1"/>
  <c r="GS143" i="9"/>
  <c r="GR143" i="9"/>
  <c r="GP143" i="9"/>
  <c r="GO143" i="9"/>
  <c r="GJ143" i="9"/>
  <c r="GH143" i="9"/>
  <c r="GC143" i="9"/>
  <c r="GB143" i="9"/>
  <c r="FZ143" i="9"/>
  <c r="FY143" i="9"/>
  <c r="FP143" i="9"/>
  <c r="FO143" i="9"/>
  <c r="FM143" i="9"/>
  <c r="FH143" i="9"/>
  <c r="FA143" i="9"/>
  <c r="EZ143" i="9"/>
  <c r="ET143" i="9"/>
  <c r="FT143" i="9" s="1"/>
  <c r="ES143" i="9"/>
  <c r="EX143" i="9" s="1"/>
  <c r="ED143" i="9"/>
  <c r="EB143" i="9"/>
  <c r="DZ143" i="9"/>
  <c r="DP143" i="9"/>
  <c r="CB143" i="9"/>
  <c r="CA143" i="9"/>
  <c r="AY143" i="9"/>
  <c r="AZ143" i="9" s="1"/>
  <c r="K143" i="9"/>
  <c r="J143" i="9"/>
  <c r="GW142" i="9"/>
  <c r="HA142" i="9" s="1"/>
  <c r="GV142" i="9"/>
  <c r="GS142" i="9"/>
  <c r="GR142" i="9"/>
  <c r="GP142" i="9"/>
  <c r="GO142" i="9"/>
  <c r="GJ142" i="9"/>
  <c r="GH142" i="9"/>
  <c r="GC142" i="9"/>
  <c r="GB142" i="9"/>
  <c r="FZ142" i="9"/>
  <c r="FY142" i="9"/>
  <c r="FP142" i="9"/>
  <c r="FO142" i="9"/>
  <c r="FM142" i="9"/>
  <c r="FH142" i="9"/>
  <c r="FA142" i="9"/>
  <c r="EZ142" i="9"/>
  <c r="ET142" i="9"/>
  <c r="FT142" i="9" s="1"/>
  <c r="ES142" i="9"/>
  <c r="ED142" i="9"/>
  <c r="EB142" i="9"/>
  <c r="DZ142" i="9"/>
  <c r="DP142" i="9"/>
  <c r="CB142" i="9"/>
  <c r="CA142" i="9"/>
  <c r="AY142" i="9"/>
  <c r="AZ142" i="9" s="1"/>
  <c r="K142" i="9"/>
  <c r="J142" i="9"/>
  <c r="GW141" i="9"/>
  <c r="HA141" i="9" s="1"/>
  <c r="GV141" i="9"/>
  <c r="GZ141" i="9" s="1"/>
  <c r="GS141" i="9"/>
  <c r="GR141" i="9"/>
  <c r="GP141" i="9"/>
  <c r="GO141" i="9"/>
  <c r="GJ141" i="9"/>
  <c r="GH141" i="9"/>
  <c r="GC141" i="9"/>
  <c r="GB141" i="9"/>
  <c r="FZ141" i="9"/>
  <c r="FY141" i="9"/>
  <c r="FP141" i="9"/>
  <c r="FO141" i="9"/>
  <c r="FM141" i="9"/>
  <c r="FH141" i="9"/>
  <c r="FA141" i="9"/>
  <c r="EZ141" i="9"/>
  <c r="ET141" i="9"/>
  <c r="FT141" i="9" s="1"/>
  <c r="ES141" i="9"/>
  <c r="EX141" i="9" s="1"/>
  <c r="ED141" i="9"/>
  <c r="EB141" i="9"/>
  <c r="DZ141" i="9"/>
  <c r="DP141" i="9"/>
  <c r="CB141" i="9"/>
  <c r="CA141" i="9"/>
  <c r="AY141" i="9"/>
  <c r="AZ141" i="9" s="1"/>
  <c r="K141" i="9"/>
  <c r="J141" i="9"/>
  <c r="I141" i="9" s="1"/>
  <c r="GX140" i="9"/>
  <c r="HB140" i="9" s="1"/>
  <c r="GW140" i="9"/>
  <c r="HA140" i="9" s="1"/>
  <c r="GV140" i="9"/>
  <c r="GZ140" i="9" s="1"/>
  <c r="GS140" i="9"/>
  <c r="GR140" i="9"/>
  <c r="GP140" i="9"/>
  <c r="GO140" i="9"/>
  <c r="GJ140" i="9"/>
  <c r="GH140" i="9"/>
  <c r="GC140" i="9"/>
  <c r="GB140" i="9"/>
  <c r="FZ140" i="9"/>
  <c r="FY140" i="9"/>
  <c r="FP140" i="9"/>
  <c r="FO140" i="9"/>
  <c r="FH140" i="9"/>
  <c r="FC140" i="9"/>
  <c r="FB140" i="9"/>
  <c r="FD140" i="9" s="1"/>
  <c r="FA140" i="9"/>
  <c r="EZ140" i="9"/>
  <c r="ET140" i="9"/>
  <c r="ES140" i="9"/>
  <c r="FS140" i="9" s="1"/>
  <c r="ED140" i="9"/>
  <c r="EB140" i="9"/>
  <c r="DZ140" i="9"/>
  <c r="DP140" i="9"/>
  <c r="CB140" i="9"/>
  <c r="CA140" i="9"/>
  <c r="AY140" i="9"/>
  <c r="AZ140" i="9" s="1"/>
  <c r="K140" i="9"/>
  <c r="I140" i="9" s="1"/>
  <c r="J140" i="9"/>
  <c r="GW139" i="9"/>
  <c r="HA139" i="9" s="1"/>
  <c r="GV139" i="9"/>
  <c r="GZ139" i="9" s="1"/>
  <c r="GS139" i="9"/>
  <c r="GR139" i="9"/>
  <c r="GP139" i="9"/>
  <c r="GO139" i="9"/>
  <c r="GJ139" i="9"/>
  <c r="GH139" i="9"/>
  <c r="GC139" i="9"/>
  <c r="GB139" i="9"/>
  <c r="FZ139" i="9"/>
  <c r="FY139" i="9"/>
  <c r="FP139" i="9"/>
  <c r="FO139" i="9"/>
  <c r="FH139" i="9"/>
  <c r="FC139" i="9"/>
  <c r="FB139" i="9"/>
  <c r="FD139" i="9" s="1"/>
  <c r="FA139" i="9"/>
  <c r="EZ139" i="9"/>
  <c r="ET139" i="9"/>
  <c r="FT139" i="9" s="1"/>
  <c r="ES139" i="9"/>
  <c r="FS139" i="9" s="1"/>
  <c r="ED139" i="9"/>
  <c r="EB139" i="9"/>
  <c r="DZ139" i="9"/>
  <c r="DP139" i="9"/>
  <c r="CB139" i="9"/>
  <c r="CA139" i="9"/>
  <c r="AY139" i="9"/>
  <c r="AZ139" i="9" s="1"/>
  <c r="K139" i="9"/>
  <c r="J139" i="9"/>
  <c r="GW138" i="9"/>
  <c r="GV138" i="9"/>
  <c r="GZ138" i="9" s="1"/>
  <c r="GS138" i="9"/>
  <c r="GR138" i="9"/>
  <c r="GP138" i="9"/>
  <c r="GO138" i="9"/>
  <c r="GJ138" i="9"/>
  <c r="GH138" i="9"/>
  <c r="GC138" i="9"/>
  <c r="GB138" i="9"/>
  <c r="FZ138" i="9"/>
  <c r="FY138" i="9"/>
  <c r="FP138" i="9"/>
  <c r="FO138" i="9"/>
  <c r="FM138" i="9"/>
  <c r="FH138" i="9"/>
  <c r="FA138" i="9"/>
  <c r="EZ138" i="9"/>
  <c r="ET138" i="9"/>
  <c r="FT138" i="9" s="1"/>
  <c r="ES138" i="9"/>
  <c r="FS138" i="9" s="1"/>
  <c r="ED138" i="9"/>
  <c r="EB138" i="9"/>
  <c r="DZ138" i="9"/>
  <c r="DP138" i="9"/>
  <c r="CB138" i="9"/>
  <c r="CA138" i="9"/>
  <c r="AY138" i="9"/>
  <c r="AZ138" i="9" s="1"/>
  <c r="K138" i="9"/>
  <c r="J138" i="9"/>
  <c r="GW137" i="9"/>
  <c r="GV137" i="9"/>
  <c r="GZ137" i="9" s="1"/>
  <c r="GS137" i="9"/>
  <c r="GR137" i="9"/>
  <c r="GP137" i="9"/>
  <c r="GO137" i="9"/>
  <c r="GJ137" i="9"/>
  <c r="GH137" i="9"/>
  <c r="GC137" i="9"/>
  <c r="GB137" i="9"/>
  <c r="FZ137" i="9"/>
  <c r="FY137" i="9"/>
  <c r="FP137" i="9"/>
  <c r="FO137" i="9"/>
  <c r="FM137" i="9"/>
  <c r="FH137" i="9"/>
  <c r="FA137" i="9"/>
  <c r="EZ137" i="9"/>
  <c r="ET137" i="9"/>
  <c r="FT137" i="9" s="1"/>
  <c r="ES137" i="9"/>
  <c r="FS137" i="9" s="1"/>
  <c r="ED137" i="9"/>
  <c r="EB137" i="9"/>
  <c r="DZ137" i="9"/>
  <c r="DP137" i="9"/>
  <c r="CB137" i="9"/>
  <c r="CA137" i="9"/>
  <c r="AY137" i="9"/>
  <c r="AZ137" i="9" s="1"/>
  <c r="K137" i="9"/>
  <c r="J137" i="9"/>
  <c r="I137" i="9" s="1"/>
  <c r="GZ136" i="9"/>
  <c r="GW136" i="9"/>
  <c r="GX136" i="9" s="1"/>
  <c r="HB136" i="9" s="1"/>
  <c r="GV136" i="9"/>
  <c r="GS136" i="9"/>
  <c r="GR136" i="9"/>
  <c r="GP136" i="9"/>
  <c r="GO136" i="9"/>
  <c r="GJ136" i="9"/>
  <c r="GH136" i="9"/>
  <c r="GC136" i="9"/>
  <c r="GB136" i="9"/>
  <c r="FZ136" i="9"/>
  <c r="FY136" i="9"/>
  <c r="FP136" i="9"/>
  <c r="FO136" i="9"/>
  <c r="FM136" i="9"/>
  <c r="FH136" i="9"/>
  <c r="FA136" i="9"/>
  <c r="EZ136" i="9"/>
  <c r="EV136" i="9"/>
  <c r="FK136" i="9" s="1"/>
  <c r="ET136" i="9"/>
  <c r="FT136" i="9" s="1"/>
  <c r="ES136" i="9"/>
  <c r="FS136" i="9" s="1"/>
  <c r="ED136" i="9"/>
  <c r="EB136" i="9"/>
  <c r="DZ136" i="9"/>
  <c r="DP136" i="9"/>
  <c r="CB136" i="9"/>
  <c r="CA136" i="9"/>
  <c r="AY136" i="9"/>
  <c r="AZ136" i="9" s="1"/>
  <c r="K136" i="9"/>
  <c r="J136" i="9"/>
  <c r="GZ135" i="9"/>
  <c r="GW135" i="9"/>
  <c r="GV135" i="9"/>
  <c r="GS135" i="9"/>
  <c r="GR135" i="9"/>
  <c r="GP135" i="9"/>
  <c r="GO135" i="9"/>
  <c r="GJ135" i="9"/>
  <c r="GH135" i="9"/>
  <c r="GC135" i="9"/>
  <c r="GB135" i="9"/>
  <c r="FZ135" i="9"/>
  <c r="FY135" i="9"/>
  <c r="FP135" i="9"/>
  <c r="FO135" i="9"/>
  <c r="FM135" i="9"/>
  <c r="FH135" i="9"/>
  <c r="FA135" i="9"/>
  <c r="EZ135" i="9"/>
  <c r="ET135" i="9"/>
  <c r="FT135" i="9" s="1"/>
  <c r="ES135" i="9"/>
  <c r="FS135" i="9" s="1"/>
  <c r="ED135" i="9"/>
  <c r="EB135" i="9"/>
  <c r="DZ135" i="9"/>
  <c r="DP135" i="9"/>
  <c r="CB135" i="9"/>
  <c r="CA135" i="9"/>
  <c r="AY135" i="9"/>
  <c r="AZ135" i="9" s="1"/>
  <c r="K135" i="9"/>
  <c r="J135" i="9"/>
  <c r="GW134" i="9"/>
  <c r="GX134" i="9" s="1"/>
  <c r="HB134" i="9" s="1"/>
  <c r="GV134" i="9"/>
  <c r="GZ134" i="9" s="1"/>
  <c r="GS134" i="9"/>
  <c r="GR134" i="9"/>
  <c r="GP134" i="9"/>
  <c r="GO134" i="9"/>
  <c r="GJ134" i="9"/>
  <c r="GH134" i="9"/>
  <c r="GC134" i="9"/>
  <c r="GB134" i="9"/>
  <c r="FZ134" i="9"/>
  <c r="FY134" i="9"/>
  <c r="FP134" i="9"/>
  <c r="FO134" i="9"/>
  <c r="FM134" i="9"/>
  <c r="FH134" i="9"/>
  <c r="FA134" i="9"/>
  <c r="EZ134" i="9"/>
  <c r="ET134" i="9"/>
  <c r="FT134" i="9" s="1"/>
  <c r="ES134" i="9"/>
  <c r="FS134" i="9" s="1"/>
  <c r="ED134" i="9"/>
  <c r="EB134" i="9"/>
  <c r="DZ134" i="9"/>
  <c r="DP134" i="9"/>
  <c r="CB134" i="9"/>
  <c r="CA134" i="9"/>
  <c r="AY134" i="9"/>
  <c r="AZ134" i="9" s="1"/>
  <c r="K134" i="9"/>
  <c r="J134" i="9"/>
  <c r="GW133" i="9"/>
  <c r="GV133" i="9"/>
  <c r="GZ133" i="9" s="1"/>
  <c r="GS133" i="9"/>
  <c r="GR133" i="9"/>
  <c r="GP133" i="9"/>
  <c r="GO133" i="9"/>
  <c r="GJ133" i="9"/>
  <c r="GH133" i="9"/>
  <c r="GC133" i="9"/>
  <c r="GB133" i="9"/>
  <c r="FZ133" i="9"/>
  <c r="FY133" i="9"/>
  <c r="FP133" i="9"/>
  <c r="FO133" i="9"/>
  <c r="FM133" i="9"/>
  <c r="FH133" i="9"/>
  <c r="FA133" i="9"/>
  <c r="EZ133" i="9"/>
  <c r="ET133" i="9"/>
  <c r="FT133" i="9" s="1"/>
  <c r="ES133" i="9"/>
  <c r="FS133" i="9" s="1"/>
  <c r="ED133" i="9"/>
  <c r="EB133" i="9"/>
  <c r="DZ133" i="9"/>
  <c r="DP133" i="9"/>
  <c r="CB133" i="9"/>
  <c r="CA133" i="9"/>
  <c r="AY133" i="9"/>
  <c r="AZ133" i="9" s="1"/>
  <c r="K133" i="9"/>
  <c r="J133" i="9"/>
  <c r="GZ132" i="9"/>
  <c r="GW132" i="9"/>
  <c r="GX132" i="9" s="1"/>
  <c r="HB132" i="9" s="1"/>
  <c r="GV132" i="9"/>
  <c r="GS132" i="9"/>
  <c r="GR132" i="9"/>
  <c r="GP132" i="9"/>
  <c r="GO132" i="9"/>
  <c r="GJ132" i="9"/>
  <c r="GH132" i="9"/>
  <c r="GK132" i="9" s="1"/>
  <c r="GC132" i="9"/>
  <c r="GB132" i="9"/>
  <c r="FZ132" i="9"/>
  <c r="FY132" i="9"/>
  <c r="FP132" i="9"/>
  <c r="FO132" i="9"/>
  <c r="FM132" i="9"/>
  <c r="FH132" i="9"/>
  <c r="FA132" i="9"/>
  <c r="EZ132" i="9"/>
  <c r="ET132" i="9"/>
  <c r="FT132" i="9" s="1"/>
  <c r="ES132" i="9"/>
  <c r="FS132" i="9" s="1"/>
  <c r="ED132" i="9"/>
  <c r="EB132" i="9"/>
  <c r="DZ132" i="9"/>
  <c r="DP132" i="9"/>
  <c r="CB132" i="9"/>
  <c r="CA132" i="9"/>
  <c r="AY132" i="9"/>
  <c r="AZ132" i="9" s="1"/>
  <c r="K132" i="9"/>
  <c r="J132" i="9"/>
  <c r="GW131" i="9"/>
  <c r="GV131" i="9"/>
  <c r="GZ131" i="9" s="1"/>
  <c r="GS131" i="9"/>
  <c r="GR131" i="9"/>
  <c r="GP131" i="9"/>
  <c r="GO131" i="9"/>
  <c r="GJ131" i="9"/>
  <c r="GK131" i="9" s="1"/>
  <c r="GH131" i="9"/>
  <c r="GC131" i="9"/>
  <c r="GB131" i="9"/>
  <c r="FZ131" i="9"/>
  <c r="FY131" i="9"/>
  <c r="FP131" i="9"/>
  <c r="FV131" i="9" s="1"/>
  <c r="FO131" i="9"/>
  <c r="FM131" i="9"/>
  <c r="FH131" i="9"/>
  <c r="FA131" i="9"/>
  <c r="EZ131" i="9"/>
  <c r="ET131" i="9"/>
  <c r="FT131" i="9" s="1"/>
  <c r="ES131" i="9"/>
  <c r="FS131" i="9" s="1"/>
  <c r="ED131" i="9"/>
  <c r="EB131" i="9"/>
  <c r="DZ131" i="9"/>
  <c r="DP131" i="9"/>
  <c r="CB131" i="9"/>
  <c r="CA131" i="9"/>
  <c r="AY131" i="9"/>
  <c r="AZ131" i="9" s="1"/>
  <c r="K131" i="9"/>
  <c r="J131" i="9"/>
  <c r="I131" i="9" s="1"/>
  <c r="GW130" i="9"/>
  <c r="GX130" i="9" s="1"/>
  <c r="HB130" i="9" s="1"/>
  <c r="GV130" i="9"/>
  <c r="GZ130" i="9" s="1"/>
  <c r="GS130" i="9"/>
  <c r="GR130" i="9"/>
  <c r="GP130" i="9"/>
  <c r="GO130" i="9"/>
  <c r="GJ130" i="9"/>
  <c r="GH130" i="9"/>
  <c r="GK130" i="9" s="1"/>
  <c r="GC130" i="9"/>
  <c r="GB130" i="9"/>
  <c r="FZ130" i="9"/>
  <c r="FY130" i="9"/>
  <c r="FP130" i="9"/>
  <c r="FO130" i="9"/>
  <c r="FM130" i="9"/>
  <c r="FH130" i="9"/>
  <c r="FA130" i="9"/>
  <c r="EZ130" i="9"/>
  <c r="ET130" i="9"/>
  <c r="FT130" i="9" s="1"/>
  <c r="ES130" i="9"/>
  <c r="FS130" i="9" s="1"/>
  <c r="ED130" i="9"/>
  <c r="EB130" i="9"/>
  <c r="DZ130" i="9"/>
  <c r="DP130" i="9"/>
  <c r="CB130" i="9"/>
  <c r="CA130" i="9"/>
  <c r="AY130" i="9"/>
  <c r="AZ130" i="9" s="1"/>
  <c r="K130" i="9"/>
  <c r="J130" i="9"/>
  <c r="GW129" i="9"/>
  <c r="GV129" i="9"/>
  <c r="GZ129" i="9" s="1"/>
  <c r="GS129" i="9"/>
  <c r="GR129" i="9"/>
  <c r="GP129" i="9"/>
  <c r="GO129" i="9"/>
  <c r="GJ129" i="9"/>
  <c r="GH129" i="9"/>
  <c r="GC129" i="9"/>
  <c r="GB129" i="9"/>
  <c r="FZ129" i="9"/>
  <c r="FY129" i="9"/>
  <c r="FP129" i="9"/>
  <c r="FO129" i="9"/>
  <c r="FM129" i="9"/>
  <c r="FH129" i="9"/>
  <c r="FA129" i="9"/>
  <c r="EZ129" i="9"/>
  <c r="ET129" i="9"/>
  <c r="FT129" i="9" s="1"/>
  <c r="ES129" i="9"/>
  <c r="FS129" i="9" s="1"/>
  <c r="ED129" i="9"/>
  <c r="EB129" i="9"/>
  <c r="DZ129" i="9"/>
  <c r="DP129" i="9"/>
  <c r="CG129" i="9"/>
  <c r="CE129" i="9"/>
  <c r="CD129" i="9"/>
  <c r="CF129" i="9" s="1"/>
  <c r="CB129" i="9"/>
  <c r="CA129" i="9"/>
  <c r="AY129" i="9"/>
  <c r="AZ129" i="9" s="1"/>
  <c r="K129" i="9"/>
  <c r="J129" i="9"/>
  <c r="GW128" i="9"/>
  <c r="GV128" i="9"/>
  <c r="GZ128" i="9" s="1"/>
  <c r="GS128" i="9"/>
  <c r="GR128" i="9"/>
  <c r="GP128" i="9"/>
  <c r="GO128" i="9"/>
  <c r="GJ128" i="9"/>
  <c r="GH128" i="9"/>
  <c r="GC128" i="9"/>
  <c r="GB128" i="9"/>
  <c r="FZ128" i="9"/>
  <c r="FY128" i="9"/>
  <c r="FP128" i="9"/>
  <c r="FO128" i="9"/>
  <c r="FM128" i="9"/>
  <c r="FH128" i="9"/>
  <c r="FA128" i="9"/>
  <c r="EZ128" i="9"/>
  <c r="EV128" i="9"/>
  <c r="FK128" i="9" s="1"/>
  <c r="ET128" i="9"/>
  <c r="FT128" i="9" s="1"/>
  <c r="ES128" i="9"/>
  <c r="FS128" i="9" s="1"/>
  <c r="ED128" i="9"/>
  <c r="EB128" i="9"/>
  <c r="DZ128" i="9"/>
  <c r="DP128" i="9"/>
  <c r="CB128" i="9"/>
  <c r="CA128" i="9"/>
  <c r="AY128" i="9"/>
  <c r="AZ128" i="9" s="1"/>
  <c r="K128" i="9"/>
  <c r="J128" i="9"/>
  <c r="GW127" i="9"/>
  <c r="GV127" i="9"/>
  <c r="GZ127" i="9" s="1"/>
  <c r="GS127" i="9"/>
  <c r="GR127" i="9"/>
  <c r="GP127" i="9"/>
  <c r="GO127" i="9"/>
  <c r="GJ127" i="9"/>
  <c r="GK127" i="9" s="1"/>
  <c r="GH127" i="9"/>
  <c r="GC127" i="9"/>
  <c r="GB127" i="9"/>
  <c r="FZ127" i="9"/>
  <c r="FY127" i="9"/>
  <c r="FP127" i="9"/>
  <c r="FO127" i="9"/>
  <c r="FM127" i="9"/>
  <c r="FH127" i="9"/>
  <c r="FA127" i="9"/>
  <c r="EZ127" i="9"/>
  <c r="ET127" i="9"/>
  <c r="FT127" i="9" s="1"/>
  <c r="ES127" i="9"/>
  <c r="FS127" i="9" s="1"/>
  <c r="ED127" i="9"/>
  <c r="EB127" i="9"/>
  <c r="DZ127" i="9"/>
  <c r="DP127" i="9"/>
  <c r="CB127" i="9"/>
  <c r="CA127" i="9"/>
  <c r="AY127" i="9"/>
  <c r="AZ127" i="9" s="1"/>
  <c r="K127" i="9"/>
  <c r="J127" i="9"/>
  <c r="I127" i="9" s="1"/>
  <c r="GW126" i="9"/>
  <c r="GX126" i="9" s="1"/>
  <c r="HB126" i="9" s="1"/>
  <c r="GV126" i="9"/>
  <c r="GZ126" i="9" s="1"/>
  <c r="GS126" i="9"/>
  <c r="GR126" i="9"/>
  <c r="GP126" i="9"/>
  <c r="GO126" i="9"/>
  <c r="GJ126" i="9"/>
  <c r="GH126" i="9"/>
  <c r="GK126" i="9" s="1"/>
  <c r="GC126" i="9"/>
  <c r="GB126" i="9"/>
  <c r="FZ126" i="9"/>
  <c r="FY126" i="9"/>
  <c r="FP126" i="9"/>
  <c r="FO126" i="9"/>
  <c r="FM126" i="9"/>
  <c r="FH126" i="9"/>
  <c r="FA126" i="9"/>
  <c r="EZ126" i="9"/>
  <c r="ET126" i="9"/>
  <c r="FT126" i="9" s="1"/>
  <c r="ES126" i="9"/>
  <c r="FS126" i="9" s="1"/>
  <c r="FU126" i="9" s="1"/>
  <c r="ED126" i="9"/>
  <c r="EB126" i="9"/>
  <c r="DZ126" i="9"/>
  <c r="DP126" i="9"/>
  <c r="CB126" i="9"/>
  <c r="CA126" i="9"/>
  <c r="AY126" i="9"/>
  <c r="AZ126" i="9" s="1"/>
  <c r="K126" i="9"/>
  <c r="J126" i="9"/>
  <c r="GW125" i="9"/>
  <c r="GX125" i="9" s="1"/>
  <c r="HB125" i="9" s="1"/>
  <c r="GV125" i="9"/>
  <c r="GZ125" i="9" s="1"/>
  <c r="GS125" i="9"/>
  <c r="GR125" i="9"/>
  <c r="GP125" i="9"/>
  <c r="GO125" i="9"/>
  <c r="GJ125" i="9"/>
  <c r="GH125" i="9"/>
  <c r="GC125" i="9"/>
  <c r="GB125" i="9"/>
  <c r="FZ125" i="9"/>
  <c r="FY125" i="9"/>
  <c r="FP125" i="9"/>
  <c r="FO125" i="9"/>
  <c r="FM125" i="9"/>
  <c r="FH125" i="9"/>
  <c r="FA125" i="9"/>
  <c r="EZ125" i="9"/>
  <c r="ET125" i="9"/>
  <c r="FT125" i="9" s="1"/>
  <c r="ES125" i="9"/>
  <c r="FS125" i="9" s="1"/>
  <c r="ED125" i="9"/>
  <c r="EB125" i="9"/>
  <c r="DZ125" i="9"/>
  <c r="DP125" i="9"/>
  <c r="CB125" i="9"/>
  <c r="CA125" i="9"/>
  <c r="AY125" i="9"/>
  <c r="AZ125" i="9" s="1"/>
  <c r="K125" i="9"/>
  <c r="J125" i="9"/>
  <c r="GW124" i="9"/>
  <c r="GV124" i="9"/>
  <c r="GZ124" i="9" s="1"/>
  <c r="GS124" i="9"/>
  <c r="GR124" i="9"/>
  <c r="GP124" i="9"/>
  <c r="GO124" i="9"/>
  <c r="GJ124" i="9"/>
  <c r="GK124" i="9" s="1"/>
  <c r="GH124" i="9"/>
  <c r="GC124" i="9"/>
  <c r="GB124" i="9"/>
  <c r="FZ124" i="9"/>
  <c r="FY124" i="9"/>
  <c r="FP124" i="9"/>
  <c r="FO124" i="9"/>
  <c r="FU124" i="9" s="1"/>
  <c r="FM124" i="9"/>
  <c r="FH124" i="9"/>
  <c r="FA124" i="9"/>
  <c r="EZ124" i="9"/>
  <c r="ET124" i="9"/>
  <c r="FT124" i="9" s="1"/>
  <c r="ES124" i="9"/>
  <c r="FS124" i="9" s="1"/>
  <c r="ED124" i="9"/>
  <c r="EB124" i="9"/>
  <c r="DZ124" i="9"/>
  <c r="DP124" i="9"/>
  <c r="CB124" i="9"/>
  <c r="CA124" i="9"/>
  <c r="AY124" i="9"/>
  <c r="AZ124" i="9" s="1"/>
  <c r="K124" i="9"/>
  <c r="J124" i="9"/>
  <c r="GZ123" i="9"/>
  <c r="GW123" i="9"/>
  <c r="GV123" i="9"/>
  <c r="GS123" i="9"/>
  <c r="GR123" i="9"/>
  <c r="GP123" i="9"/>
  <c r="GO123" i="9"/>
  <c r="GJ123" i="9"/>
  <c r="GH123" i="9"/>
  <c r="GC123" i="9"/>
  <c r="GB123" i="9"/>
  <c r="FZ123" i="9"/>
  <c r="FY123" i="9"/>
  <c r="FP123" i="9"/>
  <c r="FO123" i="9"/>
  <c r="FH123" i="9"/>
  <c r="FC123" i="9"/>
  <c r="FB123" i="9"/>
  <c r="FD123" i="9" s="1"/>
  <c r="FA123" i="9"/>
  <c r="EZ123" i="9"/>
  <c r="ET123" i="9"/>
  <c r="ES123" i="9"/>
  <c r="EV123" i="9" s="1"/>
  <c r="FK123" i="9" s="1"/>
  <c r="ED123" i="9"/>
  <c r="EB123" i="9"/>
  <c r="DZ123" i="9"/>
  <c r="DP123" i="9"/>
  <c r="CB123" i="9"/>
  <c r="CA123" i="9"/>
  <c r="AZ123" i="9"/>
  <c r="AY123" i="9"/>
  <c r="K123" i="9"/>
  <c r="J123" i="9"/>
  <c r="I123" i="9" s="1"/>
  <c r="HA122" i="9"/>
  <c r="GW122" i="9"/>
  <c r="GV122" i="9"/>
  <c r="GZ122" i="9" s="1"/>
  <c r="GS122" i="9"/>
  <c r="GR122" i="9"/>
  <c r="GP122" i="9"/>
  <c r="GO122" i="9"/>
  <c r="GJ122" i="9"/>
  <c r="GH122" i="9"/>
  <c r="GC122" i="9"/>
  <c r="GB122" i="9"/>
  <c r="FZ122" i="9"/>
  <c r="FY122" i="9"/>
  <c r="FP122" i="9"/>
  <c r="FO122" i="9"/>
  <c r="FU122" i="9" s="1"/>
  <c r="FM122" i="9"/>
  <c r="FH122" i="9"/>
  <c r="FA122" i="9"/>
  <c r="EZ122" i="9"/>
  <c r="EX122" i="9"/>
  <c r="ET122" i="9"/>
  <c r="FT122" i="9" s="1"/>
  <c r="ES122" i="9"/>
  <c r="FS122" i="9" s="1"/>
  <c r="ED122" i="9"/>
  <c r="EB122" i="9"/>
  <c r="DZ122" i="9"/>
  <c r="DP122" i="9"/>
  <c r="CB122" i="9"/>
  <c r="CA122" i="9"/>
  <c r="AZ122" i="9"/>
  <c r="AY122" i="9"/>
  <c r="K122" i="9"/>
  <c r="I122" i="9" s="1"/>
  <c r="J122" i="9"/>
  <c r="GW121" i="9"/>
  <c r="HA121" i="9" s="1"/>
  <c r="GV121" i="9"/>
  <c r="GZ121" i="9" s="1"/>
  <c r="GS121" i="9"/>
  <c r="GR121" i="9"/>
  <c r="GP121" i="9"/>
  <c r="GO121" i="9"/>
  <c r="GJ121" i="9"/>
  <c r="GH121" i="9"/>
  <c r="GC121" i="9"/>
  <c r="GB121" i="9"/>
  <c r="FZ121" i="9"/>
  <c r="FY121" i="9"/>
  <c r="FP121" i="9"/>
  <c r="FO121" i="9"/>
  <c r="FM121" i="9"/>
  <c r="FH121" i="9"/>
  <c r="FA121" i="9"/>
  <c r="EZ121" i="9"/>
  <c r="ET121" i="9"/>
  <c r="FT121" i="9" s="1"/>
  <c r="ES121" i="9"/>
  <c r="FS121" i="9" s="1"/>
  <c r="ED121" i="9"/>
  <c r="EB121" i="9"/>
  <c r="DZ121" i="9"/>
  <c r="DP121" i="9"/>
  <c r="CB121" i="9"/>
  <c r="CA121" i="9"/>
  <c r="AZ121" i="9"/>
  <c r="AY121" i="9"/>
  <c r="K121" i="9"/>
  <c r="J121" i="9"/>
  <c r="HA120" i="9"/>
  <c r="GW120" i="9"/>
  <c r="GV120" i="9"/>
  <c r="GZ120" i="9" s="1"/>
  <c r="GS120" i="9"/>
  <c r="GR120" i="9"/>
  <c r="GP120" i="9"/>
  <c r="GO120" i="9"/>
  <c r="GJ120" i="9"/>
  <c r="GH120" i="9"/>
  <c r="GC120" i="9"/>
  <c r="GB120" i="9"/>
  <c r="FZ120" i="9"/>
  <c r="FY120" i="9"/>
  <c r="FP120" i="9"/>
  <c r="FO120" i="9"/>
  <c r="FU120" i="9" s="1"/>
  <c r="FM120" i="9"/>
  <c r="FH120" i="9"/>
  <c r="FA120" i="9"/>
  <c r="EZ120" i="9"/>
  <c r="EX120" i="9"/>
  <c r="ET120" i="9"/>
  <c r="FT120" i="9" s="1"/>
  <c r="ES120" i="9"/>
  <c r="FS120" i="9" s="1"/>
  <c r="ED120" i="9"/>
  <c r="EB120" i="9"/>
  <c r="DZ120" i="9"/>
  <c r="DP120" i="9"/>
  <c r="CB120" i="9"/>
  <c r="CA120" i="9"/>
  <c r="AZ120" i="9"/>
  <c r="AY120" i="9"/>
  <c r="K120" i="9"/>
  <c r="J120" i="9"/>
  <c r="I120" i="9" s="1"/>
  <c r="GW119" i="9"/>
  <c r="HA119" i="9" s="1"/>
  <c r="GV119" i="9"/>
  <c r="GZ119" i="9" s="1"/>
  <c r="GS119" i="9"/>
  <c r="GR119" i="9"/>
  <c r="GP119" i="9"/>
  <c r="GO119" i="9"/>
  <c r="GJ119" i="9"/>
  <c r="GH119" i="9"/>
  <c r="GC119" i="9"/>
  <c r="GB119" i="9"/>
  <c r="FZ119" i="9"/>
  <c r="FY119" i="9"/>
  <c r="FP119" i="9"/>
  <c r="FO119" i="9"/>
  <c r="FM119" i="9"/>
  <c r="FH119" i="9"/>
  <c r="FA119" i="9"/>
  <c r="EZ119" i="9"/>
  <c r="ET119" i="9"/>
  <c r="FT119" i="9" s="1"/>
  <c r="ES119" i="9"/>
  <c r="FS119" i="9" s="1"/>
  <c r="ED119" i="9"/>
  <c r="EB119" i="9"/>
  <c r="DZ119" i="9"/>
  <c r="DP119" i="9"/>
  <c r="CB119" i="9"/>
  <c r="CA119" i="9"/>
  <c r="AZ119" i="9"/>
  <c r="AY119" i="9"/>
  <c r="K119" i="9"/>
  <c r="J119" i="9"/>
  <c r="I119" i="9" s="1"/>
  <c r="HA118" i="9"/>
  <c r="GW118" i="9"/>
  <c r="GV118" i="9"/>
  <c r="GZ118" i="9" s="1"/>
  <c r="GS118" i="9"/>
  <c r="GR118" i="9"/>
  <c r="GP118" i="9"/>
  <c r="GO118" i="9"/>
  <c r="GJ118" i="9"/>
  <c r="GH118" i="9"/>
  <c r="GC118" i="9"/>
  <c r="GB118" i="9"/>
  <c r="FZ118" i="9"/>
  <c r="FY118" i="9"/>
  <c r="FP118" i="9"/>
  <c r="FO118" i="9"/>
  <c r="FU118" i="9" s="1"/>
  <c r="FM118" i="9"/>
  <c r="FH118" i="9"/>
  <c r="FA118" i="9"/>
  <c r="EZ118" i="9"/>
  <c r="EX118" i="9"/>
  <c r="ET118" i="9"/>
  <c r="FT118" i="9" s="1"/>
  <c r="ES118" i="9"/>
  <c r="FS118" i="9" s="1"/>
  <c r="ED118" i="9"/>
  <c r="EB118" i="9"/>
  <c r="DZ118" i="9"/>
  <c r="DP118" i="9"/>
  <c r="CG118" i="9"/>
  <c r="CE118" i="9"/>
  <c r="CD118" i="9" s="1"/>
  <c r="CF118" i="9" s="1"/>
  <c r="CB118" i="9"/>
  <c r="CA118" i="9"/>
  <c r="AZ118" i="9"/>
  <c r="AY118" i="9"/>
  <c r="K118" i="9"/>
  <c r="I118" i="9" s="1"/>
  <c r="J118" i="9"/>
  <c r="HA117" i="9"/>
  <c r="GW117" i="9"/>
  <c r="GX117" i="9" s="1"/>
  <c r="HB117" i="9" s="1"/>
  <c r="GV117" i="9"/>
  <c r="GZ117" i="9" s="1"/>
  <c r="GS117" i="9"/>
  <c r="GR117" i="9"/>
  <c r="GP117" i="9"/>
  <c r="GO117" i="9"/>
  <c r="GJ117" i="9"/>
  <c r="GH117" i="9"/>
  <c r="GC117" i="9"/>
  <c r="GB117" i="9"/>
  <c r="FZ117" i="9"/>
  <c r="FY117" i="9"/>
  <c r="FP117" i="9"/>
  <c r="FO117" i="9"/>
  <c r="FM117" i="9"/>
  <c r="FH117" i="9"/>
  <c r="FA117" i="9"/>
  <c r="EZ117" i="9"/>
  <c r="ET117" i="9"/>
  <c r="FT117" i="9" s="1"/>
  <c r="ES117" i="9"/>
  <c r="FS117" i="9" s="1"/>
  <c r="ED117" i="9"/>
  <c r="EB117" i="9"/>
  <c r="DZ117" i="9"/>
  <c r="DP117" i="9"/>
  <c r="CE117" i="9"/>
  <c r="CB117" i="9"/>
  <c r="CA117" i="9"/>
  <c r="AY117" i="9"/>
  <c r="AZ117" i="9" s="1"/>
  <c r="K117" i="9"/>
  <c r="J117" i="9"/>
  <c r="HA116" i="9"/>
  <c r="GW116" i="9"/>
  <c r="GV116" i="9"/>
  <c r="GZ116" i="9" s="1"/>
  <c r="GS116" i="9"/>
  <c r="GR116" i="9"/>
  <c r="GP116" i="9"/>
  <c r="GO116" i="9"/>
  <c r="GJ116" i="9"/>
  <c r="GH116" i="9"/>
  <c r="GK116" i="9" s="1"/>
  <c r="GC116" i="9"/>
  <c r="GB116" i="9"/>
  <c r="FZ116" i="9"/>
  <c r="FY116" i="9"/>
  <c r="FP116" i="9"/>
  <c r="FO116" i="9"/>
  <c r="FM116" i="9"/>
  <c r="FH116" i="9"/>
  <c r="FA116" i="9"/>
  <c r="EZ116" i="9"/>
  <c r="ET116" i="9"/>
  <c r="FT116" i="9" s="1"/>
  <c r="ES116" i="9"/>
  <c r="FS116" i="9" s="1"/>
  <c r="ED116" i="9"/>
  <c r="EB116" i="9"/>
  <c r="DZ116" i="9"/>
  <c r="DP116" i="9"/>
  <c r="CB116" i="9"/>
  <c r="CA116" i="9"/>
  <c r="AY116" i="9"/>
  <c r="AZ116" i="9" s="1"/>
  <c r="K116" i="9"/>
  <c r="J116" i="9"/>
  <c r="I116" i="9" s="1"/>
  <c r="GW115" i="9"/>
  <c r="HA115" i="9" s="1"/>
  <c r="GV115" i="9"/>
  <c r="GZ115" i="9" s="1"/>
  <c r="GS115" i="9"/>
  <c r="GR115" i="9"/>
  <c r="GP115" i="9"/>
  <c r="GO115" i="9"/>
  <c r="GJ115" i="9"/>
  <c r="GH115" i="9"/>
  <c r="GC115" i="9"/>
  <c r="GB115" i="9"/>
  <c r="FZ115" i="9"/>
  <c r="FY115" i="9"/>
  <c r="FP115" i="9"/>
  <c r="FO115" i="9"/>
  <c r="FM115" i="9"/>
  <c r="FH115" i="9"/>
  <c r="FA115" i="9"/>
  <c r="EZ115" i="9"/>
  <c r="ET115" i="9"/>
  <c r="FT115" i="9" s="1"/>
  <c r="ES115" i="9"/>
  <c r="FS115" i="9" s="1"/>
  <c r="ED115" i="9"/>
  <c r="EB115" i="9"/>
  <c r="DZ115" i="9"/>
  <c r="DP115" i="9"/>
  <c r="CE115" i="9"/>
  <c r="CB115" i="9"/>
  <c r="CA115" i="9"/>
  <c r="AY115" i="9"/>
  <c r="AZ115" i="9" s="1"/>
  <c r="K115" i="9"/>
  <c r="J115" i="9"/>
  <c r="GW114" i="9"/>
  <c r="HA114" i="9" s="1"/>
  <c r="GV114" i="9"/>
  <c r="GZ114" i="9" s="1"/>
  <c r="GS114" i="9"/>
  <c r="GR114" i="9"/>
  <c r="GP114" i="9"/>
  <c r="GO114" i="9"/>
  <c r="GJ114" i="9"/>
  <c r="GH114" i="9"/>
  <c r="GC114" i="9"/>
  <c r="GB114" i="9"/>
  <c r="FZ114" i="9"/>
  <c r="FY114" i="9"/>
  <c r="FP114" i="9"/>
  <c r="FO114" i="9"/>
  <c r="FM114" i="9"/>
  <c r="FH114" i="9"/>
  <c r="FA114" i="9"/>
  <c r="EZ114" i="9"/>
  <c r="ET114" i="9"/>
  <c r="FT114" i="9" s="1"/>
  <c r="FV114" i="9" s="1"/>
  <c r="ES114" i="9"/>
  <c r="ED114" i="9"/>
  <c r="EB114" i="9"/>
  <c r="DZ114" i="9"/>
  <c r="DP114" i="9"/>
  <c r="CE114" i="9"/>
  <c r="CD114" i="9" s="1"/>
  <c r="CF114" i="9" s="1"/>
  <c r="CB114" i="9"/>
  <c r="CA114" i="9"/>
  <c r="AY114" i="9"/>
  <c r="AZ114" i="9" s="1"/>
  <c r="K114" i="9"/>
  <c r="J114" i="9"/>
  <c r="GW113" i="9"/>
  <c r="HA113" i="9" s="1"/>
  <c r="GV113" i="9"/>
  <c r="GZ113" i="9" s="1"/>
  <c r="GS113" i="9"/>
  <c r="GR113" i="9"/>
  <c r="GP113" i="9"/>
  <c r="GO113" i="9"/>
  <c r="GJ113" i="9"/>
  <c r="GH113" i="9"/>
  <c r="GC113" i="9"/>
  <c r="GB113" i="9"/>
  <c r="FZ113" i="9"/>
  <c r="FY113" i="9"/>
  <c r="FP113" i="9"/>
  <c r="FO113" i="9"/>
  <c r="FM113" i="9"/>
  <c r="FH113" i="9"/>
  <c r="FA113" i="9"/>
  <c r="EZ113" i="9"/>
  <c r="ET113" i="9"/>
  <c r="FT113" i="9" s="1"/>
  <c r="ES113" i="9"/>
  <c r="EX113" i="9" s="1"/>
  <c r="ED113" i="9"/>
  <c r="EB113" i="9"/>
  <c r="DZ113" i="9"/>
  <c r="DP113" i="9"/>
  <c r="CB113" i="9"/>
  <c r="CA113" i="9"/>
  <c r="AY113" i="9"/>
  <c r="AZ113" i="9" s="1"/>
  <c r="K113" i="9"/>
  <c r="J113" i="9"/>
  <c r="GW112" i="9"/>
  <c r="GX112" i="9" s="1"/>
  <c r="HB112" i="9" s="1"/>
  <c r="GV112" i="9"/>
  <c r="GZ112" i="9" s="1"/>
  <c r="GS112" i="9"/>
  <c r="GR112" i="9"/>
  <c r="GP112" i="9"/>
  <c r="GO112" i="9"/>
  <c r="GJ112" i="9"/>
  <c r="GH112" i="9"/>
  <c r="GC112" i="9"/>
  <c r="GB112" i="9"/>
  <c r="FZ112" i="9"/>
  <c r="FY112" i="9"/>
  <c r="FP112" i="9"/>
  <c r="FV112" i="9" s="1"/>
  <c r="FO112" i="9"/>
  <c r="FH112" i="9"/>
  <c r="FC112" i="9"/>
  <c r="FE112" i="9" s="1"/>
  <c r="FB112" i="9"/>
  <c r="FD112" i="9" s="1"/>
  <c r="FA112" i="9"/>
  <c r="EZ112" i="9"/>
  <c r="EW112" i="9"/>
  <c r="FM112" i="9" s="1"/>
  <c r="ET112" i="9"/>
  <c r="FT112" i="9" s="1"/>
  <c r="ES112" i="9"/>
  <c r="FS112" i="9" s="1"/>
  <c r="ED112" i="9"/>
  <c r="EB112" i="9"/>
  <c r="DZ112" i="9"/>
  <c r="DP112" i="9"/>
  <c r="CB112" i="9"/>
  <c r="CA112" i="9"/>
  <c r="AY112" i="9"/>
  <c r="AZ112" i="9" s="1"/>
  <c r="K112" i="9"/>
  <c r="J112" i="9"/>
  <c r="GW111" i="9"/>
  <c r="HA111" i="9" s="1"/>
  <c r="GV111" i="9"/>
  <c r="GZ111" i="9" s="1"/>
  <c r="GS111" i="9"/>
  <c r="GR111" i="9"/>
  <c r="GP111" i="9"/>
  <c r="GO111" i="9"/>
  <c r="GK111" i="9"/>
  <c r="GJ111" i="9"/>
  <c r="GH111" i="9"/>
  <c r="GC111" i="9"/>
  <c r="GB111" i="9"/>
  <c r="FZ111" i="9"/>
  <c r="FY111" i="9"/>
  <c r="FP111" i="9"/>
  <c r="FO111" i="9"/>
  <c r="FH111" i="9"/>
  <c r="FC111" i="9"/>
  <c r="FE111" i="9" s="1"/>
  <c r="FB111" i="9"/>
  <c r="FD111" i="9" s="1"/>
  <c r="FA111" i="9"/>
  <c r="EZ111" i="9"/>
  <c r="ET111" i="9"/>
  <c r="FT111" i="9" s="1"/>
  <c r="ES111" i="9"/>
  <c r="EV111" i="9" s="1"/>
  <c r="FK111" i="9" s="1"/>
  <c r="ED111" i="9"/>
  <c r="EB111" i="9"/>
  <c r="DZ111" i="9"/>
  <c r="DP111" i="9"/>
  <c r="CB111" i="9"/>
  <c r="CA111" i="9"/>
  <c r="AZ111" i="9"/>
  <c r="AY111" i="9"/>
  <c r="K111" i="9"/>
  <c r="J111" i="9"/>
  <c r="GW110" i="9"/>
  <c r="HA110" i="9" s="1"/>
  <c r="GV110" i="9"/>
  <c r="GS110" i="9"/>
  <c r="GR110" i="9"/>
  <c r="GP110" i="9"/>
  <c r="GO110" i="9"/>
  <c r="GJ110" i="9"/>
  <c r="GK110" i="9" s="1"/>
  <c r="GH110" i="9"/>
  <c r="GC110" i="9"/>
  <c r="GB110" i="9"/>
  <c r="FZ110" i="9"/>
  <c r="FY110" i="9"/>
  <c r="FP110" i="9"/>
  <c r="FO110" i="9"/>
  <c r="FM110" i="9"/>
  <c r="FH110" i="9"/>
  <c r="FA110" i="9"/>
  <c r="EZ110" i="9"/>
  <c r="ET110" i="9"/>
  <c r="FT110" i="9" s="1"/>
  <c r="ES110" i="9"/>
  <c r="EV110" i="9" s="1"/>
  <c r="FK110" i="9" s="1"/>
  <c r="ED110" i="9"/>
  <c r="EB110" i="9"/>
  <c r="DZ110" i="9"/>
  <c r="DP110" i="9"/>
  <c r="CB110" i="9"/>
  <c r="CA110" i="9"/>
  <c r="AY110" i="9"/>
  <c r="AZ110" i="9" s="1"/>
  <c r="K110" i="9"/>
  <c r="J110" i="9"/>
  <c r="GW109" i="9"/>
  <c r="HA109" i="9" s="1"/>
  <c r="GV109" i="9"/>
  <c r="GZ109" i="9" s="1"/>
  <c r="GS109" i="9"/>
  <c r="GR109" i="9"/>
  <c r="GP109" i="9"/>
  <c r="GO109" i="9"/>
  <c r="GJ109" i="9"/>
  <c r="GH109" i="9"/>
  <c r="GC109" i="9"/>
  <c r="GB109" i="9"/>
  <c r="FZ109" i="9"/>
  <c r="FY109" i="9"/>
  <c r="FP109" i="9"/>
  <c r="FO109" i="9"/>
  <c r="FU109" i="9" s="1"/>
  <c r="FH109" i="9"/>
  <c r="FC109" i="9"/>
  <c r="FB109" i="9"/>
  <c r="FD109" i="9" s="1"/>
  <c r="FA109" i="9"/>
  <c r="EZ109" i="9"/>
  <c r="ET109" i="9"/>
  <c r="EW109" i="9" s="1"/>
  <c r="FM109" i="9" s="1"/>
  <c r="ES109" i="9"/>
  <c r="FS109" i="9" s="1"/>
  <c r="ED109" i="9"/>
  <c r="EB109" i="9"/>
  <c r="DZ109" i="9"/>
  <c r="DP109" i="9"/>
  <c r="CB109" i="9"/>
  <c r="CA109" i="9"/>
  <c r="AZ109" i="9"/>
  <c r="AY109" i="9"/>
  <c r="K109" i="9"/>
  <c r="J109" i="9"/>
  <c r="I109" i="9" s="1"/>
  <c r="GW108" i="9"/>
  <c r="HA108" i="9" s="1"/>
  <c r="GV108" i="9"/>
  <c r="GZ108" i="9" s="1"/>
  <c r="GS108" i="9"/>
  <c r="GR108" i="9"/>
  <c r="GP108" i="9"/>
  <c r="GO108" i="9"/>
  <c r="GJ108" i="9"/>
  <c r="GH108" i="9"/>
  <c r="GC108" i="9"/>
  <c r="GB108" i="9"/>
  <c r="FZ108" i="9"/>
  <c r="FY108" i="9"/>
  <c r="FP108" i="9"/>
  <c r="FO108" i="9"/>
  <c r="FH108" i="9"/>
  <c r="FC108" i="9"/>
  <c r="FB108" i="9"/>
  <c r="FD108" i="9" s="1"/>
  <c r="FA108" i="9"/>
  <c r="EZ108" i="9"/>
  <c r="ET108" i="9"/>
  <c r="EW108" i="9" s="1"/>
  <c r="FM108" i="9" s="1"/>
  <c r="ES108" i="9"/>
  <c r="EV108" i="9" s="1"/>
  <c r="FK108" i="9" s="1"/>
  <c r="ED108" i="9"/>
  <c r="EB108" i="9"/>
  <c r="DZ108" i="9"/>
  <c r="DP108" i="9"/>
  <c r="CB108" i="9"/>
  <c r="CA108" i="9"/>
  <c r="AY108" i="9"/>
  <c r="AZ108" i="9" s="1"/>
  <c r="K108" i="9"/>
  <c r="J108" i="9"/>
  <c r="GW107" i="9"/>
  <c r="GX107" i="9" s="1"/>
  <c r="HB107" i="9" s="1"/>
  <c r="GV107" i="9"/>
  <c r="GZ107" i="9" s="1"/>
  <c r="GS107" i="9"/>
  <c r="GR107" i="9"/>
  <c r="GP107" i="9"/>
  <c r="GO107" i="9"/>
  <c r="GJ107" i="9"/>
  <c r="GH107" i="9"/>
  <c r="GC107" i="9"/>
  <c r="GB107" i="9"/>
  <c r="FZ107" i="9"/>
  <c r="FY107" i="9"/>
  <c r="FP107" i="9"/>
  <c r="FO107" i="9"/>
  <c r="FM107" i="9"/>
  <c r="FH107" i="9"/>
  <c r="FA107" i="9"/>
  <c r="EZ107" i="9"/>
  <c r="ET107" i="9"/>
  <c r="FT107" i="9" s="1"/>
  <c r="FV107" i="9" s="1"/>
  <c r="ES107" i="9"/>
  <c r="EV107" i="9" s="1"/>
  <c r="FK107" i="9" s="1"/>
  <c r="ED107" i="9"/>
  <c r="EB107" i="9"/>
  <c r="DZ107" i="9"/>
  <c r="DP107" i="9"/>
  <c r="CB107" i="9"/>
  <c r="CA107" i="9"/>
  <c r="AY107" i="9"/>
  <c r="AZ107" i="9" s="1"/>
  <c r="K107" i="9"/>
  <c r="I107" i="9" s="1"/>
  <c r="J107" i="9"/>
  <c r="GW106" i="9"/>
  <c r="HA106" i="9" s="1"/>
  <c r="GV106" i="9"/>
  <c r="GZ106" i="9" s="1"/>
  <c r="GS106" i="9"/>
  <c r="GR106" i="9"/>
  <c r="GP106" i="9"/>
  <c r="GO106" i="9"/>
  <c r="GJ106" i="9"/>
  <c r="GH106" i="9"/>
  <c r="GC106" i="9"/>
  <c r="GB106" i="9"/>
  <c r="FZ106" i="9"/>
  <c r="FY106" i="9"/>
  <c r="FP106" i="9"/>
  <c r="FO106" i="9"/>
  <c r="FM106" i="9"/>
  <c r="FH106" i="9"/>
  <c r="FA106" i="9"/>
  <c r="EZ106" i="9"/>
  <c r="ET106" i="9"/>
  <c r="FT106" i="9" s="1"/>
  <c r="ES106" i="9"/>
  <c r="EV106" i="9" s="1"/>
  <c r="FK106" i="9" s="1"/>
  <c r="ED106" i="9"/>
  <c r="EB106" i="9"/>
  <c r="DZ106" i="9"/>
  <c r="DP106" i="9"/>
  <c r="CB106" i="9"/>
  <c r="CA106" i="9"/>
  <c r="AY106" i="9"/>
  <c r="AZ106" i="9" s="1"/>
  <c r="K106" i="9"/>
  <c r="J106" i="9"/>
  <c r="GW105" i="9"/>
  <c r="GX105" i="9" s="1"/>
  <c r="HB105" i="9" s="1"/>
  <c r="GV105" i="9"/>
  <c r="GZ105" i="9" s="1"/>
  <c r="GS105" i="9"/>
  <c r="GR105" i="9"/>
  <c r="GP105" i="9"/>
  <c r="GO105" i="9"/>
  <c r="GJ105" i="9"/>
  <c r="GH105" i="9"/>
  <c r="GC105" i="9"/>
  <c r="GB105" i="9"/>
  <c r="FZ105" i="9"/>
  <c r="FY105" i="9"/>
  <c r="FP105" i="9"/>
  <c r="FO105" i="9"/>
  <c r="FM105" i="9"/>
  <c r="FH105" i="9"/>
  <c r="FA105" i="9"/>
  <c r="EZ105" i="9"/>
  <c r="ET105" i="9"/>
  <c r="FT105" i="9" s="1"/>
  <c r="FV105" i="9" s="1"/>
  <c r="ES105" i="9"/>
  <c r="EV105" i="9" s="1"/>
  <c r="FK105" i="9" s="1"/>
  <c r="ED105" i="9"/>
  <c r="EB105" i="9"/>
  <c r="DZ105" i="9"/>
  <c r="DP105" i="9"/>
  <c r="CE105" i="9"/>
  <c r="CB105" i="9"/>
  <c r="CA105" i="9"/>
  <c r="AY105" i="9"/>
  <c r="AZ105" i="9" s="1"/>
  <c r="K105" i="9"/>
  <c r="J105" i="9"/>
  <c r="GX104" i="9"/>
  <c r="HB104" i="9" s="1"/>
  <c r="GW104" i="9"/>
  <c r="HA104" i="9" s="1"/>
  <c r="GV104" i="9"/>
  <c r="GZ104" i="9" s="1"/>
  <c r="GS104" i="9"/>
  <c r="GR104" i="9"/>
  <c r="GP104" i="9"/>
  <c r="GO104" i="9"/>
  <c r="GJ104" i="9"/>
  <c r="GH104" i="9"/>
  <c r="GK104" i="9" s="1"/>
  <c r="GC104" i="9"/>
  <c r="GB104" i="9"/>
  <c r="FZ104" i="9"/>
  <c r="FY104" i="9"/>
  <c r="FP104" i="9"/>
  <c r="FO104" i="9"/>
  <c r="FM104" i="9"/>
  <c r="FH104" i="9"/>
  <c r="FA104" i="9"/>
  <c r="EZ104" i="9"/>
  <c r="ET104" i="9"/>
  <c r="FT104" i="9" s="1"/>
  <c r="ES104" i="9"/>
  <c r="EV104" i="9" s="1"/>
  <c r="FK104" i="9" s="1"/>
  <c r="ED104" i="9"/>
  <c r="EB104" i="9"/>
  <c r="DZ104" i="9"/>
  <c r="DP104" i="9"/>
  <c r="CF104" i="9"/>
  <c r="CE104" i="9"/>
  <c r="CD104" i="9" s="1"/>
  <c r="CB104" i="9"/>
  <c r="CA104" i="9"/>
  <c r="AZ104" i="9"/>
  <c r="AY104" i="9"/>
  <c r="K104" i="9"/>
  <c r="J104" i="9"/>
  <c r="I104" i="9" s="1"/>
  <c r="GW103" i="9"/>
  <c r="HA103" i="9" s="1"/>
  <c r="GV103" i="9"/>
  <c r="GZ103" i="9" s="1"/>
  <c r="GS103" i="9"/>
  <c r="GR103" i="9"/>
  <c r="GP103" i="9"/>
  <c r="GO103" i="9"/>
  <c r="GJ103" i="9"/>
  <c r="GH103" i="9"/>
  <c r="GC103" i="9"/>
  <c r="GB103" i="9"/>
  <c r="FZ103" i="9"/>
  <c r="FY103" i="9"/>
  <c r="FP103" i="9"/>
  <c r="FO103" i="9"/>
  <c r="FM103" i="9"/>
  <c r="FH103" i="9"/>
  <c r="FA103" i="9"/>
  <c r="EZ103" i="9"/>
  <c r="ET103" i="9"/>
  <c r="FT103" i="9" s="1"/>
  <c r="ES103" i="9"/>
  <c r="FS103" i="9" s="1"/>
  <c r="ED103" i="9"/>
  <c r="EB103" i="9"/>
  <c r="DZ103" i="9"/>
  <c r="DP103" i="9"/>
  <c r="CB103" i="9"/>
  <c r="CA103" i="9"/>
  <c r="AZ103" i="9"/>
  <c r="AY103" i="9"/>
  <c r="K103" i="9"/>
  <c r="J103" i="9"/>
  <c r="HA102" i="9"/>
  <c r="GW102" i="9"/>
  <c r="GV102" i="9"/>
  <c r="GZ102" i="9" s="1"/>
  <c r="GS102" i="9"/>
  <c r="GR102" i="9"/>
  <c r="GP102" i="9"/>
  <c r="GO102" i="9"/>
  <c r="GJ102" i="9"/>
  <c r="GH102" i="9"/>
  <c r="GC102" i="9"/>
  <c r="GB102" i="9"/>
  <c r="FZ102" i="9"/>
  <c r="FY102" i="9"/>
  <c r="FP102" i="9"/>
  <c r="FO102" i="9"/>
  <c r="FU102" i="9" s="1"/>
  <c r="FM102" i="9"/>
  <c r="FH102" i="9"/>
  <c r="FA102" i="9"/>
  <c r="EZ102" i="9"/>
  <c r="EX102" i="9"/>
  <c r="ET102" i="9"/>
  <c r="FT102" i="9" s="1"/>
  <c r="ES102" i="9"/>
  <c r="FS102" i="9" s="1"/>
  <c r="ED102" i="9"/>
  <c r="EB102" i="9"/>
  <c r="DZ102" i="9"/>
  <c r="DP102" i="9"/>
  <c r="CB102" i="9"/>
  <c r="CA102" i="9"/>
  <c r="AZ102" i="9"/>
  <c r="AY102" i="9"/>
  <c r="K102" i="9"/>
  <c r="J102" i="9"/>
  <c r="I102" i="9" s="1"/>
  <c r="GW101" i="9"/>
  <c r="HA101" i="9" s="1"/>
  <c r="GV101" i="9"/>
  <c r="GZ101" i="9" s="1"/>
  <c r="GS101" i="9"/>
  <c r="GR101" i="9"/>
  <c r="GP101" i="9"/>
  <c r="GO101" i="9"/>
  <c r="GJ101" i="9"/>
  <c r="GH101" i="9"/>
  <c r="GC101" i="9"/>
  <c r="GB101" i="9"/>
  <c r="FZ101" i="9"/>
  <c r="FY101" i="9"/>
  <c r="FP101" i="9"/>
  <c r="FO101" i="9"/>
  <c r="FM101" i="9"/>
  <c r="FH101" i="9"/>
  <c r="FA101" i="9"/>
  <c r="EZ101" i="9"/>
  <c r="ET101" i="9"/>
  <c r="FT101" i="9" s="1"/>
  <c r="ES101" i="9"/>
  <c r="FS101" i="9" s="1"/>
  <c r="ED101" i="9"/>
  <c r="EB101" i="9"/>
  <c r="DZ101" i="9"/>
  <c r="DP101" i="9"/>
  <c r="CB101" i="9"/>
  <c r="CA101" i="9"/>
  <c r="AZ101" i="9"/>
  <c r="AY101" i="9"/>
  <c r="K101" i="9"/>
  <c r="J101" i="9"/>
  <c r="HA100" i="9"/>
  <c r="GW100" i="9"/>
  <c r="GV100" i="9"/>
  <c r="GZ100" i="9" s="1"/>
  <c r="GS100" i="9"/>
  <c r="GR100" i="9"/>
  <c r="GP100" i="9"/>
  <c r="GO100" i="9"/>
  <c r="GJ100" i="9"/>
  <c r="GH100" i="9"/>
  <c r="GC100" i="9"/>
  <c r="GB100" i="9"/>
  <c r="FZ100" i="9"/>
  <c r="FY100" i="9"/>
  <c r="FP100" i="9"/>
  <c r="FO100" i="9"/>
  <c r="FU100" i="9" s="1"/>
  <c r="FM100" i="9"/>
  <c r="FH100" i="9"/>
  <c r="FA100" i="9"/>
  <c r="EZ100" i="9"/>
  <c r="EX100" i="9"/>
  <c r="ET100" i="9"/>
  <c r="FT100" i="9" s="1"/>
  <c r="ES100" i="9"/>
  <c r="FS100" i="9" s="1"/>
  <c r="ED100" i="9"/>
  <c r="EB100" i="9"/>
  <c r="DZ100" i="9"/>
  <c r="DP100" i="9"/>
  <c r="CG100" i="9"/>
  <c r="CE100" i="9"/>
  <c r="CD100" i="9" s="1"/>
  <c r="CF100" i="9" s="1"/>
  <c r="CB100" i="9"/>
  <c r="CA100" i="9"/>
  <c r="AZ100" i="9"/>
  <c r="AY100" i="9"/>
  <c r="K100" i="9"/>
  <c r="I100" i="9" s="1"/>
  <c r="J100" i="9"/>
  <c r="HA99" i="9"/>
  <c r="GX99" i="9"/>
  <c r="HB99" i="9" s="1"/>
  <c r="GW99" i="9"/>
  <c r="GV99" i="9"/>
  <c r="GZ99" i="9" s="1"/>
  <c r="GS99" i="9"/>
  <c r="GR99" i="9"/>
  <c r="GP99" i="9"/>
  <c r="GO99" i="9"/>
  <c r="GJ99" i="9"/>
  <c r="GH99" i="9"/>
  <c r="GC99" i="9"/>
  <c r="GB99" i="9"/>
  <c r="FZ99" i="9"/>
  <c r="FY99" i="9"/>
  <c r="FP99" i="9"/>
  <c r="FO99" i="9"/>
  <c r="FH99" i="9"/>
  <c r="FC99" i="9"/>
  <c r="FE99" i="9" s="1"/>
  <c r="FB99" i="9"/>
  <c r="FD99" i="9" s="1"/>
  <c r="FA99" i="9"/>
  <c r="EZ99" i="9"/>
  <c r="ET99" i="9"/>
  <c r="FT99" i="9" s="1"/>
  <c r="ES99" i="9"/>
  <c r="ED99" i="9"/>
  <c r="EB99" i="9"/>
  <c r="DZ99" i="9"/>
  <c r="DP99" i="9"/>
  <c r="CE99" i="9"/>
  <c r="CG99" i="9" s="1"/>
  <c r="CB99" i="9"/>
  <c r="CA99" i="9"/>
  <c r="AY99" i="9"/>
  <c r="AZ99" i="9" s="1"/>
  <c r="K99" i="9"/>
  <c r="J99" i="9"/>
  <c r="I99" i="9" s="1"/>
  <c r="GZ98" i="9"/>
  <c r="GW98" i="9"/>
  <c r="HA98" i="9" s="1"/>
  <c r="GV98" i="9"/>
  <c r="GS98" i="9"/>
  <c r="GR98" i="9"/>
  <c r="GP98" i="9"/>
  <c r="GO98" i="9"/>
  <c r="GJ98" i="9"/>
  <c r="GH98" i="9"/>
  <c r="GC98" i="9"/>
  <c r="GB98" i="9"/>
  <c r="FZ98" i="9"/>
  <c r="FY98" i="9"/>
  <c r="FP98" i="9"/>
  <c r="FO98" i="9"/>
  <c r="FH98" i="9"/>
  <c r="FC98" i="9"/>
  <c r="FB98" i="9"/>
  <c r="FD98" i="9" s="1"/>
  <c r="FA98" i="9"/>
  <c r="EZ98" i="9"/>
  <c r="ET98" i="9"/>
  <c r="FT98" i="9" s="1"/>
  <c r="ES98" i="9"/>
  <c r="FS98" i="9" s="1"/>
  <c r="ED98" i="9"/>
  <c r="EB98" i="9"/>
  <c r="DZ98" i="9"/>
  <c r="DP98" i="9"/>
  <c r="CE98" i="9"/>
  <c r="CB98" i="9"/>
  <c r="CA98" i="9"/>
  <c r="AZ98" i="9"/>
  <c r="AY98" i="9"/>
  <c r="K98" i="9"/>
  <c r="I98" i="9" s="1"/>
  <c r="J98" i="9"/>
  <c r="HA97" i="9"/>
  <c r="GW97" i="9"/>
  <c r="GV97" i="9"/>
  <c r="GS97" i="9"/>
  <c r="GR97" i="9"/>
  <c r="GP97" i="9"/>
  <c r="GO97" i="9"/>
  <c r="GJ97" i="9"/>
  <c r="GH97" i="9"/>
  <c r="GC97" i="9"/>
  <c r="GB97" i="9"/>
  <c r="FZ97" i="9"/>
  <c r="FY97" i="9"/>
  <c r="FP97" i="9"/>
  <c r="FO97" i="9"/>
  <c r="FM97" i="9"/>
  <c r="FH97" i="9"/>
  <c r="FA97" i="9"/>
  <c r="EZ97" i="9"/>
  <c r="EX97" i="9"/>
  <c r="ET97" i="9"/>
  <c r="FT97" i="9" s="1"/>
  <c r="ES97" i="9"/>
  <c r="FS97" i="9" s="1"/>
  <c r="ED97" i="9"/>
  <c r="EB97" i="9"/>
  <c r="DZ97" i="9"/>
  <c r="DP97" i="9"/>
  <c r="CE97" i="9"/>
  <c r="CB97" i="9"/>
  <c r="CA97" i="9"/>
  <c r="AY97" i="9"/>
  <c r="AZ97" i="9" s="1"/>
  <c r="K97" i="9"/>
  <c r="J97" i="9"/>
  <c r="GW96" i="9"/>
  <c r="HA96" i="9" s="1"/>
  <c r="GV96" i="9"/>
  <c r="GS96" i="9"/>
  <c r="GR96" i="9"/>
  <c r="GP96" i="9"/>
  <c r="GO96" i="9"/>
  <c r="GJ96" i="9"/>
  <c r="GK96" i="9" s="1"/>
  <c r="GH96" i="9"/>
  <c r="GC96" i="9"/>
  <c r="GB96" i="9"/>
  <c r="FZ96" i="9"/>
  <c r="FY96" i="9"/>
  <c r="FP96" i="9"/>
  <c r="FO96" i="9"/>
  <c r="FM96" i="9"/>
  <c r="FH96" i="9"/>
  <c r="FA96" i="9"/>
  <c r="EZ96" i="9"/>
  <c r="EX96" i="9"/>
  <c r="EV96" i="9"/>
  <c r="FK96" i="9" s="1"/>
  <c r="ET96" i="9"/>
  <c r="FT96" i="9" s="1"/>
  <c r="ES96" i="9"/>
  <c r="FS96" i="9" s="1"/>
  <c r="ED96" i="9"/>
  <c r="EB96" i="9"/>
  <c r="DZ96" i="9"/>
  <c r="DP96" i="9"/>
  <c r="CE96" i="9"/>
  <c r="CB96" i="9"/>
  <c r="CA96" i="9"/>
  <c r="AY96" i="9"/>
  <c r="AZ96" i="9" s="1"/>
  <c r="K96" i="9"/>
  <c r="J96" i="9"/>
  <c r="GW95" i="9"/>
  <c r="HA95" i="9" s="1"/>
  <c r="GV95" i="9"/>
  <c r="GS95" i="9"/>
  <c r="GR95" i="9"/>
  <c r="GP95" i="9"/>
  <c r="GO95" i="9"/>
  <c r="GJ95" i="9"/>
  <c r="GK95" i="9" s="1"/>
  <c r="GH95" i="9"/>
  <c r="GC95" i="9"/>
  <c r="GB95" i="9"/>
  <c r="FZ95" i="9"/>
  <c r="FY95" i="9"/>
  <c r="FP95" i="9"/>
  <c r="FO95" i="9"/>
  <c r="FM95" i="9"/>
  <c r="FH95" i="9"/>
  <c r="FA95" i="9"/>
  <c r="EZ95" i="9"/>
  <c r="ET95" i="9"/>
  <c r="FT95" i="9" s="1"/>
  <c r="FV95" i="9" s="1"/>
  <c r="ES95" i="9"/>
  <c r="FS95" i="9" s="1"/>
  <c r="ED95" i="9"/>
  <c r="EB95" i="9"/>
  <c r="DZ95" i="9"/>
  <c r="DP95" i="9"/>
  <c r="CE95" i="9"/>
  <c r="CB95" i="9"/>
  <c r="CA95" i="9"/>
  <c r="AZ95" i="9"/>
  <c r="AY95" i="9"/>
  <c r="K95" i="9"/>
  <c r="I95" i="9" s="1"/>
  <c r="J95" i="9"/>
  <c r="HA94" i="9"/>
  <c r="GW94" i="9"/>
  <c r="GV94" i="9"/>
  <c r="GS94" i="9"/>
  <c r="GR94" i="9"/>
  <c r="GP94" i="9"/>
  <c r="GO94" i="9"/>
  <c r="GJ94" i="9"/>
  <c r="GH94" i="9"/>
  <c r="GC94" i="9"/>
  <c r="GB94" i="9"/>
  <c r="FZ94" i="9"/>
  <c r="FY94" i="9"/>
  <c r="FP94" i="9"/>
  <c r="FO94" i="9"/>
  <c r="FU94" i="9" s="1"/>
  <c r="FH94" i="9"/>
  <c r="FA94" i="9"/>
  <c r="EZ94" i="9"/>
  <c r="EV94" i="9"/>
  <c r="FK94" i="9" s="1"/>
  <c r="ET94" i="9"/>
  <c r="EW94" i="9" s="1"/>
  <c r="FM94" i="9" s="1"/>
  <c r="ES94" i="9"/>
  <c r="FS94" i="9" s="1"/>
  <c r="ED94" i="9"/>
  <c r="EB94" i="9"/>
  <c r="DZ94" i="9"/>
  <c r="DP94" i="9"/>
  <c r="CG94" i="9"/>
  <c r="CE94" i="9"/>
  <c r="CD94" i="9" s="1"/>
  <c r="CF94" i="9" s="1"/>
  <c r="CB94" i="9"/>
  <c r="CA94" i="9"/>
  <c r="AY94" i="9"/>
  <c r="AZ94" i="9" s="1"/>
  <c r="K94" i="9"/>
  <c r="J94" i="9"/>
  <c r="GZ93" i="9"/>
  <c r="GW93" i="9"/>
  <c r="GV93" i="9"/>
  <c r="GS93" i="9"/>
  <c r="GR93" i="9"/>
  <c r="GP93" i="9"/>
  <c r="GO93" i="9"/>
  <c r="GJ93" i="9"/>
  <c r="GH93" i="9"/>
  <c r="GC93" i="9"/>
  <c r="GB93" i="9"/>
  <c r="FZ93" i="9"/>
  <c r="FY93" i="9"/>
  <c r="FP93" i="9"/>
  <c r="FO93" i="9"/>
  <c r="FH93" i="9"/>
  <c r="FC93" i="9"/>
  <c r="FB93" i="9"/>
  <c r="FD93" i="9" s="1"/>
  <c r="FA93" i="9"/>
  <c r="EZ93" i="9"/>
  <c r="ET93" i="9"/>
  <c r="ES93" i="9"/>
  <c r="EV93" i="9" s="1"/>
  <c r="FK93" i="9" s="1"/>
  <c r="ED93" i="9"/>
  <c r="EB93" i="9"/>
  <c r="DZ93" i="9"/>
  <c r="DP93" i="9"/>
  <c r="CG93" i="9"/>
  <c r="CE93" i="9"/>
  <c r="CD93" i="9" s="1"/>
  <c r="CF93" i="9" s="1"/>
  <c r="CB93" i="9"/>
  <c r="CA93" i="9"/>
  <c r="AZ93" i="9"/>
  <c r="AY93" i="9"/>
  <c r="K93" i="9"/>
  <c r="J93" i="9"/>
  <c r="HA92" i="9"/>
  <c r="GW92" i="9"/>
  <c r="GV92" i="9"/>
  <c r="GZ92" i="9" s="1"/>
  <c r="GS92" i="9"/>
  <c r="GR92" i="9"/>
  <c r="GP92" i="9"/>
  <c r="GO92" i="9"/>
  <c r="GJ92" i="9"/>
  <c r="GH92" i="9"/>
  <c r="GC92" i="9"/>
  <c r="GB92" i="9"/>
  <c r="FZ92" i="9"/>
  <c r="FY92" i="9"/>
  <c r="FP92" i="9"/>
  <c r="FO92" i="9"/>
  <c r="FH92" i="9"/>
  <c r="FC92" i="9"/>
  <c r="FB92" i="9"/>
  <c r="FD92" i="9" s="1"/>
  <c r="FA92" i="9"/>
  <c r="EZ92" i="9"/>
  <c r="ET92" i="9"/>
  <c r="FT92" i="9" s="1"/>
  <c r="ES92" i="9"/>
  <c r="ED92" i="9"/>
  <c r="EB92" i="9"/>
  <c r="DZ92" i="9"/>
  <c r="DP92" i="9"/>
  <c r="CB92" i="9"/>
  <c r="CA92" i="9"/>
  <c r="AY92" i="9"/>
  <c r="AZ92" i="9" s="1"/>
  <c r="K92" i="9"/>
  <c r="J92" i="9"/>
  <c r="GZ91" i="9"/>
  <c r="GW91" i="9"/>
  <c r="HA91" i="9" s="1"/>
  <c r="GV91" i="9"/>
  <c r="GS91" i="9"/>
  <c r="GR91" i="9"/>
  <c r="GP91" i="9"/>
  <c r="GO91" i="9"/>
  <c r="GJ91" i="9"/>
  <c r="GH91" i="9"/>
  <c r="GC91" i="9"/>
  <c r="GB91" i="9"/>
  <c r="FZ91" i="9"/>
  <c r="FY91" i="9"/>
  <c r="FP91" i="9"/>
  <c r="FO91" i="9"/>
  <c r="FH91" i="9"/>
  <c r="FC91" i="9"/>
  <c r="FB91" i="9"/>
  <c r="FD91" i="9" s="1"/>
  <c r="FA91" i="9"/>
  <c r="EZ91" i="9"/>
  <c r="ET91" i="9"/>
  <c r="FT91" i="9" s="1"/>
  <c r="ES91" i="9"/>
  <c r="FS91" i="9" s="1"/>
  <c r="ED91" i="9"/>
  <c r="EB91" i="9"/>
  <c r="DZ91" i="9"/>
  <c r="DP91" i="9"/>
  <c r="CE91" i="9"/>
  <c r="CB91" i="9"/>
  <c r="CA91" i="9"/>
  <c r="AY91" i="9"/>
  <c r="AZ91" i="9" s="1"/>
  <c r="K91" i="9"/>
  <c r="J91" i="9"/>
  <c r="GW90" i="9"/>
  <c r="HA90" i="9" s="1"/>
  <c r="GV90" i="9"/>
  <c r="GS90" i="9"/>
  <c r="GR90" i="9"/>
  <c r="GP90" i="9"/>
  <c r="GO90" i="9"/>
  <c r="GJ90" i="9"/>
  <c r="GK90" i="9" s="1"/>
  <c r="GH90" i="9"/>
  <c r="GC90" i="9"/>
  <c r="GB90" i="9"/>
  <c r="FZ90" i="9"/>
  <c r="FY90" i="9"/>
  <c r="FP90" i="9"/>
  <c r="FO90" i="9"/>
  <c r="FH90" i="9"/>
  <c r="FC90" i="9"/>
  <c r="FB90" i="9"/>
  <c r="FD90" i="9" s="1"/>
  <c r="FA90" i="9"/>
  <c r="EZ90" i="9"/>
  <c r="ET90" i="9"/>
  <c r="EW90" i="9" s="1"/>
  <c r="FM90" i="9" s="1"/>
  <c r="ES90" i="9"/>
  <c r="FS90" i="9" s="1"/>
  <c r="ED90" i="9"/>
  <c r="EB90" i="9"/>
  <c r="DZ90" i="9"/>
  <c r="DP90" i="9"/>
  <c r="CB90" i="9"/>
  <c r="CA90" i="9"/>
  <c r="AY90" i="9"/>
  <c r="AZ90" i="9" s="1"/>
  <c r="K90" i="9"/>
  <c r="J90" i="9"/>
  <c r="GW89" i="9"/>
  <c r="GV89" i="9"/>
  <c r="GZ89" i="9" s="1"/>
  <c r="GS89" i="9"/>
  <c r="GR89" i="9"/>
  <c r="GP89" i="9"/>
  <c r="GO89" i="9"/>
  <c r="GJ89" i="9"/>
  <c r="GK89" i="9" s="1"/>
  <c r="GH89" i="9"/>
  <c r="GC89" i="9"/>
  <c r="GB89" i="9"/>
  <c r="FZ89" i="9"/>
  <c r="FY89" i="9"/>
  <c r="FS89" i="9"/>
  <c r="FP89" i="9"/>
  <c r="FO89" i="9"/>
  <c r="FU89" i="9" s="1"/>
  <c r="FH89" i="9"/>
  <c r="FD89" i="9"/>
  <c r="FC89" i="9"/>
  <c r="FB89" i="9"/>
  <c r="FA89" i="9"/>
  <c r="EZ89" i="9"/>
  <c r="ET89" i="9"/>
  <c r="ES89" i="9"/>
  <c r="EV89" i="9" s="1"/>
  <c r="FK89" i="9" s="1"/>
  <c r="ED89" i="9"/>
  <c r="EB89" i="9"/>
  <c r="DZ89" i="9"/>
  <c r="DP89" i="9"/>
  <c r="CB89" i="9"/>
  <c r="CA89" i="9"/>
  <c r="AZ89" i="9"/>
  <c r="AY89" i="9"/>
  <c r="K89" i="9"/>
  <c r="J89" i="9"/>
  <c r="I89" i="9" s="1"/>
  <c r="GW88" i="9"/>
  <c r="HA88" i="9" s="1"/>
  <c r="GV88" i="9"/>
  <c r="GZ88" i="9" s="1"/>
  <c r="GS88" i="9"/>
  <c r="GR88" i="9"/>
  <c r="GP88" i="9"/>
  <c r="GO88" i="9"/>
  <c r="GJ88" i="9"/>
  <c r="GH88" i="9"/>
  <c r="GC88" i="9"/>
  <c r="GB88" i="9"/>
  <c r="FZ88" i="9"/>
  <c r="FY88" i="9"/>
  <c r="FP88" i="9"/>
  <c r="FO88" i="9"/>
  <c r="FH88" i="9"/>
  <c r="FA88" i="9"/>
  <c r="EZ88" i="9"/>
  <c r="ET88" i="9"/>
  <c r="EW88" i="9" s="1"/>
  <c r="FM88" i="9" s="1"/>
  <c r="ES88" i="9"/>
  <c r="ED88" i="9"/>
  <c r="EB88" i="9"/>
  <c r="DZ88" i="9"/>
  <c r="DP88" i="9"/>
  <c r="CB88" i="9"/>
  <c r="CA88" i="9"/>
  <c r="AY88" i="9"/>
  <c r="AZ88" i="9" s="1"/>
  <c r="K88" i="9"/>
  <c r="J88" i="9"/>
  <c r="GW87" i="9"/>
  <c r="HA87" i="9" s="1"/>
  <c r="GV87" i="9"/>
  <c r="GZ87" i="9" s="1"/>
  <c r="GS87" i="9"/>
  <c r="GR87" i="9"/>
  <c r="GP87" i="9"/>
  <c r="GO87" i="9"/>
  <c r="GJ87" i="9"/>
  <c r="GH87" i="9"/>
  <c r="GC87" i="9"/>
  <c r="GB87" i="9"/>
  <c r="FZ87" i="9"/>
  <c r="FY87" i="9"/>
  <c r="FP87" i="9"/>
  <c r="FO87" i="9"/>
  <c r="FH87" i="9"/>
  <c r="FA87" i="9"/>
  <c r="EZ87" i="9"/>
  <c r="EW87" i="9"/>
  <c r="FM87" i="9" s="1"/>
  <c r="ET87" i="9"/>
  <c r="FT87" i="9" s="1"/>
  <c r="ES87" i="9"/>
  <c r="EV87" i="9" s="1"/>
  <c r="FK87" i="9" s="1"/>
  <c r="ED87" i="9"/>
  <c r="EB87" i="9"/>
  <c r="DZ87" i="9"/>
  <c r="DP87" i="9"/>
  <c r="CE87" i="9"/>
  <c r="CB87" i="9"/>
  <c r="CA87" i="9"/>
  <c r="AY87" i="9"/>
  <c r="AZ87" i="9" s="1"/>
  <c r="K87" i="9"/>
  <c r="I87" i="9" s="1"/>
  <c r="J87" i="9"/>
  <c r="GW86" i="9"/>
  <c r="HA86" i="9" s="1"/>
  <c r="GV86" i="9"/>
  <c r="GS86" i="9"/>
  <c r="GR86" i="9"/>
  <c r="GP86" i="9"/>
  <c r="GO86" i="9"/>
  <c r="GJ86" i="9"/>
  <c r="GH86" i="9"/>
  <c r="GC86" i="9"/>
  <c r="GB86" i="9"/>
  <c r="FZ86" i="9"/>
  <c r="FY86" i="9"/>
  <c r="FP86" i="9"/>
  <c r="FO86" i="9"/>
  <c r="FM86" i="9"/>
  <c r="FH86" i="9"/>
  <c r="FA86" i="9"/>
  <c r="EZ86" i="9"/>
  <c r="ET86" i="9"/>
  <c r="FT86" i="9" s="1"/>
  <c r="ES86" i="9"/>
  <c r="FS86" i="9" s="1"/>
  <c r="ED86" i="9"/>
  <c r="EB86" i="9"/>
  <c r="DZ86" i="9"/>
  <c r="DP86" i="9"/>
  <c r="CB86" i="9"/>
  <c r="CA86" i="9"/>
  <c r="AY86" i="9"/>
  <c r="AZ86" i="9" s="1"/>
  <c r="K86" i="9"/>
  <c r="J86" i="9"/>
  <c r="GW85" i="9"/>
  <c r="HA85" i="9" s="1"/>
  <c r="GV85" i="9"/>
  <c r="GS85" i="9"/>
  <c r="GR85" i="9"/>
  <c r="GP85" i="9"/>
  <c r="GO85" i="9"/>
  <c r="GJ85" i="9"/>
  <c r="GH85" i="9"/>
  <c r="GC85" i="9"/>
  <c r="GB85" i="9"/>
  <c r="FZ85" i="9"/>
  <c r="FY85" i="9"/>
  <c r="FP85" i="9"/>
  <c r="FO85" i="9"/>
  <c r="FH85" i="9"/>
  <c r="FA85" i="9"/>
  <c r="EZ85" i="9"/>
  <c r="EW85" i="9"/>
  <c r="FM85" i="9" s="1"/>
  <c r="ET85" i="9"/>
  <c r="FT85" i="9" s="1"/>
  <c r="ES85" i="9"/>
  <c r="FS85" i="9" s="1"/>
  <c r="ED85" i="9"/>
  <c r="EB85" i="9"/>
  <c r="DZ85" i="9"/>
  <c r="DP85" i="9"/>
  <c r="CB85" i="9"/>
  <c r="CA85" i="9"/>
  <c r="AY85" i="9"/>
  <c r="AZ85" i="9" s="1"/>
  <c r="K85" i="9"/>
  <c r="J85" i="9"/>
  <c r="GW84" i="9"/>
  <c r="HA84" i="9" s="1"/>
  <c r="GV84" i="9"/>
  <c r="GS84" i="9"/>
  <c r="GR84" i="9"/>
  <c r="GP84" i="9"/>
  <c r="GO84" i="9"/>
  <c r="GJ84" i="9"/>
  <c r="GH84" i="9"/>
  <c r="GK84" i="9" s="1"/>
  <c r="GC84" i="9"/>
  <c r="GB84" i="9"/>
  <c r="FZ84" i="9"/>
  <c r="FY84" i="9"/>
  <c r="FP84" i="9"/>
  <c r="FV84" i="9" s="1"/>
  <c r="FO84" i="9"/>
  <c r="FM84" i="9"/>
  <c r="FH84" i="9"/>
  <c r="FA84" i="9"/>
  <c r="EZ84" i="9"/>
  <c r="ET84" i="9"/>
  <c r="FT84" i="9" s="1"/>
  <c r="ES84" i="9"/>
  <c r="FS84" i="9" s="1"/>
  <c r="FU84" i="9" s="1"/>
  <c r="ED84" i="9"/>
  <c r="EB84" i="9"/>
  <c r="DZ84" i="9"/>
  <c r="DP84" i="9"/>
  <c r="CB84" i="9"/>
  <c r="CA84" i="9"/>
  <c r="AY84" i="9"/>
  <c r="AZ84" i="9" s="1"/>
  <c r="K84" i="9"/>
  <c r="J84" i="9"/>
  <c r="GW83" i="9"/>
  <c r="HA83" i="9" s="1"/>
  <c r="GV83" i="9"/>
  <c r="GZ83" i="9" s="1"/>
  <c r="GS83" i="9"/>
  <c r="GR83" i="9"/>
  <c r="GP83" i="9"/>
  <c r="GO83" i="9"/>
  <c r="GJ83" i="9"/>
  <c r="GH83" i="9"/>
  <c r="GC83" i="9"/>
  <c r="GB83" i="9"/>
  <c r="FZ83" i="9"/>
  <c r="FY83" i="9"/>
  <c r="FP83" i="9"/>
  <c r="FO83" i="9"/>
  <c r="FU83" i="9" s="1"/>
  <c r="FM83" i="9"/>
  <c r="FH83" i="9"/>
  <c r="FA83" i="9"/>
  <c r="EZ83" i="9"/>
  <c r="EV83" i="9"/>
  <c r="FK83" i="9" s="1"/>
  <c r="ET83" i="9"/>
  <c r="FT83" i="9" s="1"/>
  <c r="ES83" i="9"/>
  <c r="FS83" i="9" s="1"/>
  <c r="ED83" i="9"/>
  <c r="EB83" i="9"/>
  <c r="DZ83" i="9"/>
  <c r="DP83" i="9"/>
  <c r="CB83" i="9"/>
  <c r="CA83" i="9"/>
  <c r="AY83" i="9"/>
  <c r="AZ83" i="9" s="1"/>
  <c r="K83" i="9"/>
  <c r="J83" i="9"/>
  <c r="I83" i="9" s="1"/>
  <c r="GZ82" i="9"/>
  <c r="GW82" i="9"/>
  <c r="HA82" i="9" s="1"/>
  <c r="GV82" i="9"/>
  <c r="GS82" i="9"/>
  <c r="GR82" i="9"/>
  <c r="GP82" i="9"/>
  <c r="GO82" i="9"/>
  <c r="GJ82" i="9"/>
  <c r="GK82" i="9" s="1"/>
  <c r="GH82" i="9"/>
  <c r="GC82" i="9"/>
  <c r="GB82" i="9"/>
  <c r="FZ82" i="9"/>
  <c r="FY82" i="9"/>
  <c r="FP82" i="9"/>
  <c r="FO82" i="9"/>
  <c r="FM82" i="9"/>
  <c r="FH82" i="9"/>
  <c r="FA82" i="9"/>
  <c r="EZ82" i="9"/>
  <c r="EV82" i="9"/>
  <c r="FK82" i="9" s="1"/>
  <c r="ET82" i="9"/>
  <c r="FT82" i="9" s="1"/>
  <c r="ES82" i="9"/>
  <c r="FS82" i="9" s="1"/>
  <c r="ED82" i="9"/>
  <c r="EB82" i="9"/>
  <c r="DZ82" i="9"/>
  <c r="DP82" i="9"/>
  <c r="CB82" i="9"/>
  <c r="CA82" i="9"/>
  <c r="AY82" i="9"/>
  <c r="AZ82" i="9" s="1"/>
  <c r="K82" i="9"/>
  <c r="J82" i="9"/>
  <c r="GW81" i="9"/>
  <c r="HA81" i="9" s="1"/>
  <c r="GV81" i="9"/>
  <c r="GS81" i="9"/>
  <c r="GR81" i="9"/>
  <c r="GP81" i="9"/>
  <c r="GO81" i="9"/>
  <c r="GJ81" i="9"/>
  <c r="GH81" i="9"/>
  <c r="GK81" i="9" s="1"/>
  <c r="GC81" i="9"/>
  <c r="GB81" i="9"/>
  <c r="FZ81" i="9"/>
  <c r="FY81" i="9"/>
  <c r="FS81" i="9"/>
  <c r="FP81" i="9"/>
  <c r="FO81" i="9"/>
  <c r="FH81" i="9"/>
  <c r="FC81" i="9"/>
  <c r="FB81" i="9"/>
  <c r="FD81" i="9" s="1"/>
  <c r="FA81" i="9"/>
  <c r="EZ81" i="9"/>
  <c r="EV81" i="9"/>
  <c r="FK81" i="9" s="1"/>
  <c r="ET81" i="9"/>
  <c r="ES81" i="9"/>
  <c r="ED81" i="9"/>
  <c r="EB81" i="9"/>
  <c r="DZ81" i="9"/>
  <c r="DP81" i="9"/>
  <c r="CB81" i="9"/>
  <c r="CA81" i="9"/>
  <c r="AY81" i="9"/>
  <c r="AZ81" i="9" s="1"/>
  <c r="K81" i="9"/>
  <c r="J81" i="9"/>
  <c r="I81" i="9" s="1"/>
  <c r="GW80" i="9"/>
  <c r="HA80" i="9" s="1"/>
  <c r="GV80" i="9"/>
  <c r="GZ80" i="9" s="1"/>
  <c r="GS80" i="9"/>
  <c r="GR80" i="9"/>
  <c r="GP80" i="9"/>
  <c r="GO80" i="9"/>
  <c r="GJ80" i="9"/>
  <c r="GH80" i="9"/>
  <c r="GC80" i="9"/>
  <c r="GB80" i="9"/>
  <c r="FZ80" i="9"/>
  <c r="FY80" i="9"/>
  <c r="FT80" i="9"/>
  <c r="FP80" i="9"/>
  <c r="FO80" i="9"/>
  <c r="FM80" i="9"/>
  <c r="FH80" i="9"/>
  <c r="FA80" i="9"/>
  <c r="EZ80" i="9"/>
  <c r="EX80" i="9"/>
  <c r="EV80" i="9"/>
  <c r="FK80" i="9" s="1"/>
  <c r="ET80" i="9"/>
  <c r="ES80" i="9"/>
  <c r="FS80" i="9" s="1"/>
  <c r="ED80" i="9"/>
  <c r="EB80" i="9"/>
  <c r="DZ80" i="9"/>
  <c r="DP80" i="9"/>
  <c r="CE80" i="9"/>
  <c r="CD80" i="9" s="1"/>
  <c r="CF80" i="9" s="1"/>
  <c r="CB80" i="9"/>
  <c r="CA80" i="9"/>
  <c r="AY80" i="9"/>
  <c r="AZ80" i="9" s="1"/>
  <c r="K80" i="9"/>
  <c r="J80" i="9"/>
  <c r="I80" i="9" s="1"/>
  <c r="GW79" i="9"/>
  <c r="HA79" i="9" s="1"/>
  <c r="GV79" i="9"/>
  <c r="GZ79" i="9" s="1"/>
  <c r="GS79" i="9"/>
  <c r="GR79" i="9"/>
  <c r="GP79" i="9"/>
  <c r="GO79" i="9"/>
  <c r="GJ79" i="9"/>
  <c r="GK79" i="9" s="1"/>
  <c r="GH79" i="9"/>
  <c r="GC79" i="9"/>
  <c r="GB79" i="9"/>
  <c r="FZ79" i="9"/>
  <c r="FY79" i="9"/>
  <c r="FP79" i="9"/>
  <c r="FO79" i="9"/>
  <c r="FM79" i="9"/>
  <c r="FH79" i="9"/>
  <c r="FA79" i="9"/>
  <c r="EZ79" i="9"/>
  <c r="ET79" i="9"/>
  <c r="FT79" i="9" s="1"/>
  <c r="ES79" i="9"/>
  <c r="FS79" i="9" s="1"/>
  <c r="ED79" i="9"/>
  <c r="EB79" i="9"/>
  <c r="DZ79" i="9"/>
  <c r="DP79" i="9"/>
  <c r="CB79" i="9"/>
  <c r="CA79" i="9"/>
  <c r="AY79" i="9"/>
  <c r="AZ79" i="9" s="1"/>
  <c r="K79" i="9"/>
  <c r="J79" i="9"/>
  <c r="I79" i="9" s="1"/>
  <c r="HA78" i="9"/>
  <c r="GW78" i="9"/>
  <c r="GV78" i="9"/>
  <c r="GZ78" i="9" s="1"/>
  <c r="GS78" i="9"/>
  <c r="GR78" i="9"/>
  <c r="GP78" i="9"/>
  <c r="GO78" i="9"/>
  <c r="GJ78" i="9"/>
  <c r="GK78" i="9" s="1"/>
  <c r="GH78" i="9"/>
  <c r="GC78" i="9"/>
  <c r="GB78" i="9"/>
  <c r="FZ78" i="9"/>
  <c r="FY78" i="9"/>
  <c r="FP78" i="9"/>
  <c r="FO78" i="9"/>
  <c r="FM78" i="9"/>
  <c r="FH78" i="9"/>
  <c r="FA78" i="9"/>
  <c r="EZ78" i="9"/>
  <c r="ET78" i="9"/>
  <c r="FT78" i="9" s="1"/>
  <c r="ES78" i="9"/>
  <c r="FS78" i="9" s="1"/>
  <c r="ED78" i="9"/>
  <c r="EB78" i="9"/>
  <c r="DZ78" i="9"/>
  <c r="DP78" i="9"/>
  <c r="CB78" i="9"/>
  <c r="CA78" i="9"/>
  <c r="AY78" i="9"/>
  <c r="AZ78" i="9" s="1"/>
  <c r="K78" i="9"/>
  <c r="J78" i="9"/>
  <c r="I78" i="9"/>
  <c r="HA77" i="9"/>
  <c r="GW77" i="9"/>
  <c r="GV77" i="9"/>
  <c r="GZ77" i="9" s="1"/>
  <c r="GS77" i="9"/>
  <c r="GR77" i="9"/>
  <c r="GP77" i="9"/>
  <c r="GO77" i="9"/>
  <c r="GJ77" i="9"/>
  <c r="GK77" i="9" s="1"/>
  <c r="GH77" i="9"/>
  <c r="GC77" i="9"/>
  <c r="GB77" i="9"/>
  <c r="FZ77" i="9"/>
  <c r="FY77" i="9"/>
  <c r="FP77" i="9"/>
  <c r="FO77" i="9"/>
  <c r="FM77" i="9"/>
  <c r="FH77" i="9"/>
  <c r="FA77" i="9"/>
  <c r="EZ77" i="9"/>
  <c r="ET77" i="9"/>
  <c r="FT77" i="9" s="1"/>
  <c r="ES77" i="9"/>
  <c r="FS77" i="9" s="1"/>
  <c r="ED77" i="9"/>
  <c r="EB77" i="9"/>
  <c r="DZ77" i="9"/>
  <c r="DP77" i="9"/>
  <c r="CB77" i="9"/>
  <c r="CA77" i="9"/>
  <c r="AY77" i="9"/>
  <c r="AZ77" i="9" s="1"/>
  <c r="K77" i="9"/>
  <c r="J77" i="9"/>
  <c r="I77" i="9" s="1"/>
  <c r="HA76" i="9"/>
  <c r="GW76" i="9"/>
  <c r="GV76" i="9"/>
  <c r="GZ76" i="9" s="1"/>
  <c r="GS76" i="9"/>
  <c r="GR76" i="9"/>
  <c r="GP76" i="9"/>
  <c r="GO76" i="9"/>
  <c r="GJ76" i="9"/>
  <c r="GH76" i="9"/>
  <c r="GC76" i="9"/>
  <c r="GB76" i="9"/>
  <c r="FZ76" i="9"/>
  <c r="FY76" i="9"/>
  <c r="FP76" i="9"/>
  <c r="FO76" i="9"/>
  <c r="FM76" i="9"/>
  <c r="FH76" i="9"/>
  <c r="FA76" i="9"/>
  <c r="EZ76" i="9"/>
  <c r="ET76" i="9"/>
  <c r="FT76" i="9" s="1"/>
  <c r="ES76" i="9"/>
  <c r="FS76" i="9" s="1"/>
  <c r="ED76" i="9"/>
  <c r="EB76" i="9"/>
  <c r="DZ76" i="9"/>
  <c r="DP76" i="9"/>
  <c r="CB76" i="9"/>
  <c r="CA76" i="9"/>
  <c r="AY76" i="9"/>
  <c r="AZ76" i="9" s="1"/>
  <c r="K76" i="9"/>
  <c r="J76" i="9"/>
  <c r="I76" i="9" s="1"/>
  <c r="GW75" i="9"/>
  <c r="HA75" i="9" s="1"/>
  <c r="GV75" i="9"/>
  <c r="GZ75" i="9" s="1"/>
  <c r="GS75" i="9"/>
  <c r="GR75" i="9"/>
  <c r="GP75" i="9"/>
  <c r="GO75" i="9"/>
  <c r="GJ75" i="9"/>
  <c r="GK75" i="9" s="1"/>
  <c r="GH75" i="9"/>
  <c r="GC75" i="9"/>
  <c r="GB75" i="9"/>
  <c r="FZ75" i="9"/>
  <c r="FY75" i="9"/>
  <c r="FP75" i="9"/>
  <c r="FO75" i="9"/>
  <c r="FM75" i="9"/>
  <c r="FH75" i="9"/>
  <c r="FA75" i="9"/>
  <c r="EZ75" i="9"/>
  <c r="ET75" i="9"/>
  <c r="FT75" i="9" s="1"/>
  <c r="ES75" i="9"/>
  <c r="FS75" i="9" s="1"/>
  <c r="ED75" i="9"/>
  <c r="EB75" i="9"/>
  <c r="DZ75" i="9"/>
  <c r="DP75" i="9"/>
  <c r="CB75" i="9"/>
  <c r="CA75" i="9"/>
  <c r="AY75" i="9"/>
  <c r="AZ75" i="9" s="1"/>
  <c r="K75" i="9"/>
  <c r="J75" i="9"/>
  <c r="I75" i="9" s="1"/>
  <c r="HA74" i="9"/>
  <c r="GW74" i="9"/>
  <c r="GV74" i="9"/>
  <c r="GZ74" i="9" s="1"/>
  <c r="GS74" i="9"/>
  <c r="GR74" i="9"/>
  <c r="GP74" i="9"/>
  <c r="GO74" i="9"/>
  <c r="GJ74" i="9"/>
  <c r="GK74" i="9" s="1"/>
  <c r="GH74" i="9"/>
  <c r="GC74" i="9"/>
  <c r="GB74" i="9"/>
  <c r="FZ74" i="9"/>
  <c r="FY74" i="9"/>
  <c r="FP74" i="9"/>
  <c r="FO74" i="9"/>
  <c r="FH74" i="9"/>
  <c r="FC74" i="9"/>
  <c r="FB74" i="9"/>
  <c r="FD74" i="9" s="1"/>
  <c r="FA74" i="9"/>
  <c r="EZ74" i="9"/>
  <c r="ET74" i="9"/>
  <c r="EW74" i="9" s="1"/>
  <c r="FM74" i="9" s="1"/>
  <c r="ES74" i="9"/>
  <c r="ED74" i="9"/>
  <c r="EB74" i="9"/>
  <c r="DZ74" i="9"/>
  <c r="DP74" i="9"/>
  <c r="CE74" i="9"/>
  <c r="CD74" i="9" s="1"/>
  <c r="CF74" i="9" s="1"/>
  <c r="CB74" i="9"/>
  <c r="CA74" i="9"/>
  <c r="AY74" i="9"/>
  <c r="AZ74" i="9" s="1"/>
  <c r="K74" i="9"/>
  <c r="J74" i="9"/>
  <c r="GW73" i="9"/>
  <c r="GV73" i="9"/>
  <c r="GZ73" i="9" s="1"/>
  <c r="GS73" i="9"/>
  <c r="GR73" i="9"/>
  <c r="GP73" i="9"/>
  <c r="GO73" i="9"/>
  <c r="GJ73" i="9"/>
  <c r="GH73" i="9"/>
  <c r="GC73" i="9"/>
  <c r="GB73" i="9"/>
  <c r="FZ73" i="9"/>
  <c r="FY73" i="9"/>
  <c r="FP73" i="9"/>
  <c r="FO73" i="9"/>
  <c r="FM73" i="9"/>
  <c r="FH73" i="9"/>
  <c r="FA73" i="9"/>
  <c r="EZ73" i="9"/>
  <c r="ET73" i="9"/>
  <c r="FT73" i="9" s="1"/>
  <c r="ES73" i="9"/>
  <c r="EY73" i="9" s="1"/>
  <c r="ED73" i="9"/>
  <c r="EB73" i="9"/>
  <c r="DZ73" i="9"/>
  <c r="DP73" i="9"/>
  <c r="CG73" i="9"/>
  <c r="CE73" i="9"/>
  <c r="CD73" i="9"/>
  <c r="CF73" i="9" s="1"/>
  <c r="CB73" i="9"/>
  <c r="CA73" i="9"/>
  <c r="AY73" i="9"/>
  <c r="AZ73" i="9" s="1"/>
  <c r="K73" i="9"/>
  <c r="J73" i="9"/>
  <c r="GW72" i="9"/>
  <c r="GV72" i="9"/>
  <c r="GZ72" i="9" s="1"/>
  <c r="GS72" i="9"/>
  <c r="GR72" i="9"/>
  <c r="GP72" i="9"/>
  <c r="GO72" i="9"/>
  <c r="GJ72" i="9"/>
  <c r="GH72" i="9"/>
  <c r="GC72" i="9"/>
  <c r="GB72" i="9"/>
  <c r="FZ72" i="9"/>
  <c r="FY72" i="9"/>
  <c r="FP72" i="9"/>
  <c r="FO72" i="9"/>
  <c r="FM72" i="9"/>
  <c r="FH72" i="9"/>
  <c r="FA72" i="9"/>
  <c r="EZ72" i="9"/>
  <c r="ET72" i="9"/>
  <c r="FT72" i="9" s="1"/>
  <c r="ES72" i="9"/>
  <c r="FS72" i="9" s="1"/>
  <c r="ED72" i="9"/>
  <c r="EB72" i="9"/>
  <c r="DZ72" i="9"/>
  <c r="DP72" i="9"/>
  <c r="CE72" i="9"/>
  <c r="CD72" i="9" s="1"/>
  <c r="CF72" i="9" s="1"/>
  <c r="CB72" i="9"/>
  <c r="CA72" i="9"/>
  <c r="AY72" i="9"/>
  <c r="AZ72" i="9" s="1"/>
  <c r="K72" i="9"/>
  <c r="J72" i="9"/>
  <c r="I72" i="9" s="1"/>
  <c r="GZ71" i="9"/>
  <c r="GW71" i="9"/>
  <c r="HA71" i="9" s="1"/>
  <c r="GV71" i="9"/>
  <c r="GS71" i="9"/>
  <c r="GR71" i="9"/>
  <c r="GP71" i="9"/>
  <c r="GO71" i="9"/>
  <c r="GJ71" i="9"/>
  <c r="GH71" i="9"/>
  <c r="GC71" i="9"/>
  <c r="GB71" i="9"/>
  <c r="FZ71" i="9"/>
  <c r="FY71" i="9"/>
  <c r="FP71" i="9"/>
  <c r="FO71" i="9"/>
  <c r="FM71" i="9"/>
  <c r="FH71" i="9"/>
  <c r="FA71" i="9"/>
  <c r="EZ71" i="9"/>
  <c r="ET71" i="9"/>
  <c r="FT71" i="9" s="1"/>
  <c r="ES71" i="9"/>
  <c r="ED71" i="9"/>
  <c r="EB71" i="9"/>
  <c r="DZ71" i="9"/>
  <c r="DP71" i="9"/>
  <c r="CB71" i="9"/>
  <c r="CA71" i="9"/>
  <c r="AY71" i="9"/>
  <c r="AZ71" i="9" s="1"/>
  <c r="K71" i="9"/>
  <c r="J71" i="9"/>
  <c r="GW70" i="9"/>
  <c r="HA70" i="9" s="1"/>
  <c r="GV70" i="9"/>
  <c r="GX70" i="9" s="1"/>
  <c r="HB70" i="9" s="1"/>
  <c r="GS70" i="9"/>
  <c r="GR70" i="9"/>
  <c r="GP70" i="9"/>
  <c r="GO70" i="9"/>
  <c r="GJ70" i="9"/>
  <c r="GH70" i="9"/>
  <c r="GC70" i="9"/>
  <c r="GB70" i="9"/>
  <c r="FZ70" i="9"/>
  <c r="FY70" i="9"/>
  <c r="FP70" i="9"/>
  <c r="FO70" i="9"/>
  <c r="FM70" i="9"/>
  <c r="FH70" i="9"/>
  <c r="FA70" i="9"/>
  <c r="EZ70" i="9"/>
  <c r="ET70" i="9"/>
  <c r="FT70" i="9" s="1"/>
  <c r="ES70" i="9"/>
  <c r="EY70" i="9" s="1"/>
  <c r="ED70" i="9"/>
  <c r="EB70" i="9"/>
  <c r="DZ70" i="9"/>
  <c r="DP70" i="9"/>
  <c r="CB70" i="9"/>
  <c r="CA70" i="9"/>
  <c r="AY70" i="9"/>
  <c r="AZ70" i="9" s="1"/>
  <c r="K70" i="9"/>
  <c r="J70" i="9"/>
  <c r="GZ69" i="9"/>
  <c r="GW69" i="9"/>
  <c r="HA69" i="9" s="1"/>
  <c r="GV69" i="9"/>
  <c r="GS69" i="9"/>
  <c r="GR69" i="9"/>
  <c r="GP69" i="9"/>
  <c r="GO69" i="9"/>
  <c r="GJ69" i="9"/>
  <c r="GH69" i="9"/>
  <c r="GK69" i="9" s="1"/>
  <c r="GC69" i="9"/>
  <c r="GB69" i="9"/>
  <c r="FZ69" i="9"/>
  <c r="FY69" i="9"/>
  <c r="FS69" i="9"/>
  <c r="FP69" i="9"/>
  <c r="FO69" i="9"/>
  <c r="FH69" i="9"/>
  <c r="FC69" i="9"/>
  <c r="FB69" i="9"/>
  <c r="FD69" i="9" s="1"/>
  <c r="FA69" i="9"/>
  <c r="EZ69" i="9"/>
  <c r="ET69" i="9"/>
  <c r="FT69" i="9" s="1"/>
  <c r="ES69" i="9"/>
  <c r="EV69" i="9" s="1"/>
  <c r="FK69" i="9" s="1"/>
  <c r="ED69" i="9"/>
  <c r="EB69" i="9"/>
  <c r="DZ69" i="9"/>
  <c r="DP69" i="9"/>
  <c r="CE69" i="9"/>
  <c r="CB69" i="9"/>
  <c r="CA69" i="9"/>
  <c r="AZ69" i="9"/>
  <c r="AY69" i="9"/>
  <c r="K69" i="9"/>
  <c r="J69" i="9"/>
  <c r="HA68" i="9"/>
  <c r="GW68" i="9"/>
  <c r="GV68" i="9"/>
  <c r="GS68" i="9"/>
  <c r="GR68" i="9"/>
  <c r="GP68" i="9"/>
  <c r="GO68" i="9"/>
  <c r="GJ68" i="9"/>
  <c r="GH68" i="9"/>
  <c r="GC68" i="9"/>
  <c r="GB68" i="9"/>
  <c r="FZ68" i="9"/>
  <c r="FY68" i="9"/>
  <c r="FP68" i="9"/>
  <c r="FO68" i="9"/>
  <c r="FM68" i="9"/>
  <c r="FH68" i="9"/>
  <c r="FA68" i="9"/>
  <c r="EZ68" i="9"/>
  <c r="EX68" i="9"/>
  <c r="ET68" i="9"/>
  <c r="FT68" i="9" s="1"/>
  <c r="ES68" i="9"/>
  <c r="EV68" i="9" s="1"/>
  <c r="FK68" i="9" s="1"/>
  <c r="ED68" i="9"/>
  <c r="EB68" i="9"/>
  <c r="DZ68" i="9"/>
  <c r="DP68" i="9"/>
  <c r="CE68" i="9"/>
  <c r="CB68" i="9"/>
  <c r="CA68" i="9"/>
  <c r="AY68" i="9"/>
  <c r="AZ68" i="9" s="1"/>
  <c r="K68" i="9"/>
  <c r="J68" i="9"/>
  <c r="GW67" i="9"/>
  <c r="HA67" i="9" s="1"/>
  <c r="GV67" i="9"/>
  <c r="GS67" i="9"/>
  <c r="GR67" i="9"/>
  <c r="GP67" i="9"/>
  <c r="GO67" i="9"/>
  <c r="GJ67" i="9"/>
  <c r="GH67" i="9"/>
  <c r="GC67" i="9"/>
  <c r="GB67" i="9"/>
  <c r="FZ67" i="9"/>
  <c r="FY67" i="9"/>
  <c r="FP67" i="9"/>
  <c r="FO67" i="9"/>
  <c r="FM67" i="9"/>
  <c r="FH67" i="9"/>
  <c r="FA67" i="9"/>
  <c r="EZ67" i="9"/>
  <c r="EX67" i="9"/>
  <c r="ET67" i="9"/>
  <c r="FT67" i="9" s="1"/>
  <c r="ES67" i="9"/>
  <c r="EV67" i="9" s="1"/>
  <c r="FK67" i="9" s="1"/>
  <c r="ED67" i="9"/>
  <c r="EB67" i="9"/>
  <c r="DZ67" i="9"/>
  <c r="DP67" i="9"/>
  <c r="CE67" i="9"/>
  <c r="CB67" i="9"/>
  <c r="CA67" i="9"/>
  <c r="AY67" i="9"/>
  <c r="AZ67" i="9" s="1"/>
  <c r="K67" i="9"/>
  <c r="J67" i="9"/>
  <c r="GW66" i="9"/>
  <c r="HA66" i="9" s="1"/>
  <c r="GV66" i="9"/>
  <c r="GS66" i="9"/>
  <c r="GR66" i="9"/>
  <c r="GP66" i="9"/>
  <c r="GO66" i="9"/>
  <c r="GJ66" i="9"/>
  <c r="GH66" i="9"/>
  <c r="GK66" i="9" s="1"/>
  <c r="GC66" i="9"/>
  <c r="GB66" i="9"/>
  <c r="FZ66" i="9"/>
  <c r="FY66" i="9"/>
  <c r="FP66" i="9"/>
  <c r="FO66" i="9"/>
  <c r="FH66" i="9"/>
  <c r="FC66" i="9"/>
  <c r="FB66" i="9"/>
  <c r="FD66" i="9" s="1"/>
  <c r="FA66" i="9"/>
  <c r="EZ66" i="9"/>
  <c r="ET66" i="9"/>
  <c r="EW66" i="9" s="1"/>
  <c r="FM66" i="9" s="1"/>
  <c r="ES66" i="9"/>
  <c r="ED66" i="9"/>
  <c r="EB66" i="9"/>
  <c r="DZ66" i="9"/>
  <c r="DP66" i="9"/>
  <c r="CE66" i="9"/>
  <c r="CG66" i="9" s="1"/>
  <c r="CD66" i="9"/>
  <c r="CF66" i="9" s="1"/>
  <c r="CB66" i="9"/>
  <c r="CA66" i="9"/>
  <c r="AY66" i="9"/>
  <c r="AZ66" i="9" s="1"/>
  <c r="K66" i="9"/>
  <c r="J66" i="9"/>
  <c r="GW65" i="9"/>
  <c r="HA65" i="9" s="1"/>
  <c r="GV65" i="9"/>
  <c r="GS65" i="9"/>
  <c r="GR65" i="9"/>
  <c r="GP65" i="9"/>
  <c r="GO65" i="9"/>
  <c r="GK65" i="9"/>
  <c r="GJ65" i="9"/>
  <c r="GH65" i="9"/>
  <c r="GC65" i="9"/>
  <c r="GB65" i="9"/>
  <c r="FZ65" i="9"/>
  <c r="FY65" i="9"/>
  <c r="FP65" i="9"/>
  <c r="FO65" i="9"/>
  <c r="FH65" i="9"/>
  <c r="FC65" i="9"/>
  <c r="FB65" i="9"/>
  <c r="FD65" i="9" s="1"/>
  <c r="FA65" i="9"/>
  <c r="EZ65" i="9"/>
  <c r="ET65" i="9"/>
  <c r="ES65" i="9"/>
  <c r="FS65" i="9" s="1"/>
  <c r="ED65" i="9"/>
  <c r="EB65" i="9"/>
  <c r="DZ65" i="9"/>
  <c r="DP65" i="9"/>
  <c r="CE65" i="9"/>
  <c r="CD65" i="9" s="1"/>
  <c r="CF65" i="9" s="1"/>
  <c r="CB65" i="9"/>
  <c r="CA65" i="9"/>
  <c r="AY65" i="9"/>
  <c r="AZ65" i="9" s="1"/>
  <c r="K65" i="9"/>
  <c r="J65" i="9"/>
  <c r="I65" i="9"/>
  <c r="HA64" i="9"/>
  <c r="GW64" i="9"/>
  <c r="GV64" i="9"/>
  <c r="GZ64" i="9" s="1"/>
  <c r="GS64" i="9"/>
  <c r="GR64" i="9"/>
  <c r="GP64" i="9"/>
  <c r="GO64" i="9"/>
  <c r="GJ64" i="9"/>
  <c r="GK64" i="9" s="1"/>
  <c r="GH64" i="9"/>
  <c r="GC64" i="9"/>
  <c r="GB64" i="9"/>
  <c r="FZ64" i="9"/>
  <c r="FY64" i="9"/>
  <c r="FP64" i="9"/>
  <c r="FO64" i="9"/>
  <c r="FH64" i="9"/>
  <c r="FC64" i="9"/>
  <c r="FB64" i="9"/>
  <c r="FD64" i="9" s="1"/>
  <c r="FA64" i="9"/>
  <c r="EZ64" i="9"/>
  <c r="ET64" i="9"/>
  <c r="EW64" i="9" s="1"/>
  <c r="FM64" i="9" s="1"/>
  <c r="ES64" i="9"/>
  <c r="ED64" i="9"/>
  <c r="EB64" i="9"/>
  <c r="DZ64" i="9"/>
  <c r="DP64" i="9"/>
  <c r="CB64" i="9"/>
  <c r="CA64" i="9"/>
  <c r="AY64" i="9"/>
  <c r="AZ64" i="9" s="1"/>
  <c r="K64" i="9"/>
  <c r="J64" i="9"/>
  <c r="GW63" i="9"/>
  <c r="HA63" i="9" s="1"/>
  <c r="GV63" i="9"/>
  <c r="GZ63" i="9" s="1"/>
  <c r="GS63" i="9"/>
  <c r="GR63" i="9"/>
  <c r="GP63" i="9"/>
  <c r="GO63" i="9"/>
  <c r="GJ63" i="9"/>
  <c r="GH63" i="9"/>
  <c r="GC63" i="9"/>
  <c r="GB63" i="9"/>
  <c r="FZ63" i="9"/>
  <c r="FY63" i="9"/>
  <c r="FS63" i="9"/>
  <c r="FP63" i="9"/>
  <c r="FO63" i="9"/>
  <c r="FH63" i="9"/>
  <c r="FC63" i="9"/>
  <c r="FE63" i="9" s="1"/>
  <c r="FB63" i="9"/>
  <c r="FD63" i="9" s="1"/>
  <c r="FA63" i="9"/>
  <c r="EZ63" i="9"/>
  <c r="EW63" i="9"/>
  <c r="FM63" i="9" s="1"/>
  <c r="ET63" i="9"/>
  <c r="FT63" i="9" s="1"/>
  <c r="ES63" i="9"/>
  <c r="EV63" i="9" s="1"/>
  <c r="FK63" i="9" s="1"/>
  <c r="ED63" i="9"/>
  <c r="EB63" i="9"/>
  <c r="DZ63" i="9"/>
  <c r="DP63" i="9"/>
  <c r="CB63" i="9"/>
  <c r="CA63" i="9"/>
  <c r="AY63" i="9"/>
  <c r="AZ63" i="9" s="1"/>
  <c r="K63" i="9"/>
  <c r="I63" i="9" s="1"/>
  <c r="J63" i="9"/>
  <c r="GW62" i="9"/>
  <c r="HA62" i="9" s="1"/>
  <c r="GV62" i="9"/>
  <c r="GS62" i="9"/>
  <c r="GR62" i="9"/>
  <c r="GP62" i="9"/>
  <c r="GO62" i="9"/>
  <c r="GJ62" i="9"/>
  <c r="GH62" i="9"/>
  <c r="GC62" i="9"/>
  <c r="GB62" i="9"/>
  <c r="FZ62" i="9"/>
  <c r="FY62" i="9"/>
  <c r="FP62" i="9"/>
  <c r="FO62" i="9"/>
  <c r="FH62" i="9"/>
  <c r="FC62" i="9"/>
  <c r="FB62" i="9"/>
  <c r="FD62" i="9" s="1"/>
  <c r="FA62" i="9"/>
  <c r="EZ62" i="9"/>
  <c r="ET62" i="9"/>
  <c r="FT62" i="9" s="1"/>
  <c r="ES62" i="9"/>
  <c r="FS62" i="9" s="1"/>
  <c r="ED62" i="9"/>
  <c r="EB62" i="9"/>
  <c r="DZ62" i="9"/>
  <c r="DP62" i="9"/>
  <c r="CB62" i="9"/>
  <c r="CA62" i="9"/>
  <c r="AY62" i="9"/>
  <c r="AZ62" i="9" s="1"/>
  <c r="K62" i="9"/>
  <c r="J62" i="9"/>
  <c r="GW61" i="9"/>
  <c r="HA61" i="9" s="1"/>
  <c r="GV61" i="9"/>
  <c r="GZ61" i="9" s="1"/>
  <c r="GS61" i="9"/>
  <c r="GR61" i="9"/>
  <c r="GP61" i="9"/>
  <c r="GO61" i="9"/>
  <c r="GJ61" i="9"/>
  <c r="GH61" i="9"/>
  <c r="GC61" i="9"/>
  <c r="GB61" i="9"/>
  <c r="FZ61" i="9"/>
  <c r="FY61" i="9"/>
  <c r="FP61" i="9"/>
  <c r="FO61" i="9"/>
  <c r="FM61" i="9"/>
  <c r="FH61" i="9"/>
  <c r="FA61" i="9"/>
  <c r="EZ61" i="9"/>
  <c r="ET61" i="9"/>
  <c r="FT61" i="9" s="1"/>
  <c r="ES61" i="9"/>
  <c r="ED61" i="9"/>
  <c r="EB61" i="9"/>
  <c r="DZ61" i="9"/>
  <c r="DP61" i="9"/>
  <c r="CB61" i="9"/>
  <c r="CA61" i="9"/>
  <c r="AY61" i="9"/>
  <c r="AZ61" i="9" s="1"/>
  <c r="K61" i="9"/>
  <c r="J61" i="9"/>
  <c r="GW60" i="9"/>
  <c r="HA60" i="9" s="1"/>
  <c r="GV60" i="9"/>
  <c r="GS60" i="9"/>
  <c r="GR60" i="9"/>
  <c r="GP60" i="9"/>
  <c r="GO60" i="9"/>
  <c r="GJ60" i="9"/>
  <c r="GK60" i="9" s="1"/>
  <c r="GH60" i="9"/>
  <c r="GC60" i="9"/>
  <c r="GB60" i="9"/>
  <c r="FZ60" i="9"/>
  <c r="FY60" i="9"/>
  <c r="FP60" i="9"/>
  <c r="FO60" i="9"/>
  <c r="FM60" i="9"/>
  <c r="FH60" i="9"/>
  <c r="FA60" i="9"/>
  <c r="EZ60" i="9"/>
  <c r="ET60" i="9"/>
  <c r="FT60" i="9" s="1"/>
  <c r="ES60" i="9"/>
  <c r="FS60" i="9" s="1"/>
  <c r="FU60" i="9" s="1"/>
  <c r="ED60" i="9"/>
  <c r="EB60" i="9"/>
  <c r="DZ60" i="9"/>
  <c r="DP60" i="9"/>
  <c r="CE60" i="9"/>
  <c r="CG60" i="9" s="1"/>
  <c r="CB60" i="9"/>
  <c r="CA60" i="9"/>
  <c r="AY60" i="9"/>
  <c r="AZ60" i="9" s="1"/>
  <c r="K60" i="9"/>
  <c r="J60" i="9"/>
  <c r="GZ59" i="9"/>
  <c r="GW59" i="9"/>
  <c r="HA59" i="9" s="1"/>
  <c r="GV59" i="9"/>
  <c r="GS59" i="9"/>
  <c r="GR59" i="9"/>
  <c r="GP59" i="9"/>
  <c r="GO59" i="9"/>
  <c r="GJ59" i="9"/>
  <c r="GH59" i="9"/>
  <c r="GK59" i="9" s="1"/>
  <c r="GC59" i="9"/>
  <c r="GB59" i="9"/>
  <c r="FZ59" i="9"/>
  <c r="FY59" i="9"/>
  <c r="FP59" i="9"/>
  <c r="FO59" i="9"/>
  <c r="FM59" i="9"/>
  <c r="FH59" i="9"/>
  <c r="FA59" i="9"/>
  <c r="EZ59" i="9"/>
  <c r="ET59" i="9"/>
  <c r="FT59" i="9" s="1"/>
  <c r="ES59" i="9"/>
  <c r="FS59" i="9" s="1"/>
  <c r="ED59" i="9"/>
  <c r="EB59" i="9"/>
  <c r="DZ59" i="9"/>
  <c r="DP59" i="9"/>
  <c r="CE59" i="9"/>
  <c r="CG59" i="9" s="1"/>
  <c r="CB59" i="9"/>
  <c r="CA59" i="9"/>
  <c r="AY59" i="9"/>
  <c r="AZ59" i="9" s="1"/>
  <c r="K59" i="9"/>
  <c r="J59" i="9"/>
  <c r="GW58" i="9"/>
  <c r="HA58" i="9" s="1"/>
  <c r="GV58" i="9"/>
  <c r="GS58" i="9"/>
  <c r="GR58" i="9"/>
  <c r="GP58" i="9"/>
  <c r="GO58" i="9"/>
  <c r="GJ58" i="9"/>
  <c r="GH58" i="9"/>
  <c r="GK58" i="9" s="1"/>
  <c r="GC58" i="9"/>
  <c r="GB58" i="9"/>
  <c r="FZ58" i="9"/>
  <c r="FY58" i="9"/>
  <c r="FP58" i="9"/>
  <c r="FV58" i="9" s="1"/>
  <c r="FO58" i="9"/>
  <c r="FM58" i="9"/>
  <c r="FH58" i="9"/>
  <c r="FA58" i="9"/>
  <c r="EZ58" i="9"/>
  <c r="ET58" i="9"/>
  <c r="FT58" i="9" s="1"/>
  <c r="ES58" i="9"/>
  <c r="FS58" i="9" s="1"/>
  <c r="FU58" i="9" s="1"/>
  <c r="ED58" i="9"/>
  <c r="EB58" i="9"/>
  <c r="DZ58" i="9"/>
  <c r="DP58" i="9"/>
  <c r="CE58" i="9"/>
  <c r="CE250" i="9" s="1"/>
  <c r="CB58" i="9"/>
  <c r="CA58" i="9"/>
  <c r="AY58" i="9"/>
  <c r="AZ58" i="9" s="1"/>
  <c r="K58" i="9"/>
  <c r="J58" i="9"/>
  <c r="GW57" i="9"/>
  <c r="HA57" i="9" s="1"/>
  <c r="GV57" i="9"/>
  <c r="GZ57" i="9" s="1"/>
  <c r="GS57" i="9"/>
  <c r="GR57" i="9"/>
  <c r="GP57" i="9"/>
  <c r="GO57" i="9"/>
  <c r="GJ57" i="9"/>
  <c r="GH57" i="9"/>
  <c r="GC57" i="9"/>
  <c r="GB57" i="9"/>
  <c r="FZ57" i="9"/>
  <c r="FY57" i="9"/>
  <c r="FP57" i="9"/>
  <c r="FO57" i="9"/>
  <c r="FH57" i="9"/>
  <c r="FC57" i="9"/>
  <c r="FB57" i="9"/>
  <c r="FD57" i="9" s="1"/>
  <c r="FA57" i="9"/>
  <c r="FE57" i="9" s="1"/>
  <c r="EZ57" i="9"/>
  <c r="ET57" i="9"/>
  <c r="ES57" i="9"/>
  <c r="FS57" i="9" s="1"/>
  <c r="ED57" i="9"/>
  <c r="EB57" i="9"/>
  <c r="DZ57" i="9"/>
  <c r="DP57" i="9"/>
  <c r="CE57" i="9"/>
  <c r="CD57" i="9" s="1"/>
  <c r="CF57" i="9" s="1"/>
  <c r="CB57" i="9"/>
  <c r="CA57" i="9"/>
  <c r="AY57" i="9"/>
  <c r="AZ57" i="9" s="1"/>
  <c r="K57" i="9"/>
  <c r="J57" i="9"/>
  <c r="I57" i="9" s="1"/>
  <c r="GW56" i="9"/>
  <c r="HA56" i="9" s="1"/>
  <c r="GV56" i="9"/>
  <c r="GZ56" i="9" s="1"/>
  <c r="GS56" i="9"/>
  <c r="GR56" i="9"/>
  <c r="GP56" i="9"/>
  <c r="GO56" i="9"/>
  <c r="GJ56" i="9"/>
  <c r="GH56" i="9"/>
  <c r="GC56" i="9"/>
  <c r="GB56" i="9"/>
  <c r="FZ56" i="9"/>
  <c r="FY56" i="9"/>
  <c r="FP56" i="9"/>
  <c r="FO56" i="9"/>
  <c r="FH56" i="9"/>
  <c r="FA56" i="9"/>
  <c r="EZ56" i="9"/>
  <c r="ET56" i="9"/>
  <c r="ES56" i="9"/>
  <c r="ED56" i="9"/>
  <c r="EB56" i="9"/>
  <c r="DZ56" i="9"/>
  <c r="DP56" i="9"/>
  <c r="CG56" i="9"/>
  <c r="CE56" i="9"/>
  <c r="CD56" i="9"/>
  <c r="CF56" i="9" s="1"/>
  <c r="CB56" i="9"/>
  <c r="CA56" i="9"/>
  <c r="AY56" i="9"/>
  <c r="AZ56" i="9" s="1"/>
  <c r="K56" i="9"/>
  <c r="J56" i="9"/>
  <c r="GW55" i="9"/>
  <c r="GV55" i="9"/>
  <c r="GZ55" i="9" s="1"/>
  <c r="GS55" i="9"/>
  <c r="GR55" i="9"/>
  <c r="GP55" i="9"/>
  <c r="GO55" i="9"/>
  <c r="GJ55" i="9"/>
  <c r="GH55" i="9"/>
  <c r="GC55" i="9"/>
  <c r="GB55" i="9"/>
  <c r="FZ55" i="9"/>
  <c r="FY55" i="9"/>
  <c r="FP55" i="9"/>
  <c r="FO55" i="9"/>
  <c r="FH55" i="9"/>
  <c r="FA55" i="9"/>
  <c r="EZ55" i="9"/>
  <c r="EV55" i="9"/>
  <c r="FK55" i="9" s="1"/>
  <c r="ET55" i="9"/>
  <c r="FT55" i="9" s="1"/>
  <c r="ES55" i="9"/>
  <c r="FS55" i="9" s="1"/>
  <c r="ED55" i="9"/>
  <c r="EB55" i="9"/>
  <c r="DZ55" i="9"/>
  <c r="DP55" i="9"/>
  <c r="CE55" i="9"/>
  <c r="CB55" i="9"/>
  <c r="CA55" i="9"/>
  <c r="AY55" i="9"/>
  <c r="AZ55" i="9" s="1"/>
  <c r="K55" i="9"/>
  <c r="J55" i="9"/>
  <c r="GW54" i="9"/>
  <c r="HA54" i="9" s="1"/>
  <c r="GV54" i="9"/>
  <c r="GS54" i="9"/>
  <c r="GR54" i="9"/>
  <c r="GP54" i="9"/>
  <c r="GO54" i="9"/>
  <c r="GJ54" i="9"/>
  <c r="GK54" i="9" s="1"/>
  <c r="GH54" i="9"/>
  <c r="GC54" i="9"/>
  <c r="GB54" i="9"/>
  <c r="FZ54" i="9"/>
  <c r="FY54" i="9"/>
  <c r="FP54" i="9"/>
  <c r="FO54" i="9"/>
  <c r="FH54" i="9"/>
  <c r="FC54" i="9"/>
  <c r="FB54" i="9"/>
  <c r="FD54" i="9" s="1"/>
  <c r="FA54" i="9"/>
  <c r="EZ54" i="9"/>
  <c r="ET54" i="9"/>
  <c r="EW54" i="9" s="1"/>
  <c r="FM54" i="9" s="1"/>
  <c r="ES54" i="9"/>
  <c r="FS54" i="9" s="1"/>
  <c r="ED54" i="9"/>
  <c r="EB54" i="9"/>
  <c r="DZ54" i="9"/>
  <c r="DP54" i="9"/>
  <c r="CE54" i="9"/>
  <c r="CG54" i="9" s="1"/>
  <c r="CD54" i="9"/>
  <c r="CF54" i="9" s="1"/>
  <c r="CB54" i="9"/>
  <c r="CA54" i="9"/>
  <c r="AY54" i="9"/>
  <c r="AZ54" i="9" s="1"/>
  <c r="K54" i="9"/>
  <c r="J54" i="9"/>
  <c r="GW53" i="9"/>
  <c r="GV53" i="9"/>
  <c r="GZ53" i="9" s="1"/>
  <c r="GS53" i="9"/>
  <c r="GR53" i="9"/>
  <c r="GP53" i="9"/>
  <c r="GO53" i="9"/>
  <c r="GJ53" i="9"/>
  <c r="GH53" i="9"/>
  <c r="GC53" i="9"/>
  <c r="GB53" i="9"/>
  <c r="FZ53" i="9"/>
  <c r="FY53" i="9"/>
  <c r="FP53" i="9"/>
  <c r="FO53" i="9"/>
  <c r="FH53" i="9"/>
  <c r="FC53" i="9"/>
  <c r="FB53" i="9"/>
  <c r="FD53" i="9" s="1"/>
  <c r="FA53" i="9"/>
  <c r="FE53" i="9" s="1"/>
  <c r="EZ53" i="9"/>
  <c r="ET53" i="9"/>
  <c r="ES53" i="9"/>
  <c r="ED53" i="9"/>
  <c r="EB53" i="9"/>
  <c r="DZ53" i="9"/>
  <c r="DP53" i="9"/>
  <c r="CE53" i="9"/>
  <c r="CD53" i="9" s="1"/>
  <c r="CF53" i="9" s="1"/>
  <c r="CB53" i="9"/>
  <c r="CA53" i="9"/>
  <c r="AY53" i="9"/>
  <c r="AZ53" i="9" s="1"/>
  <c r="K53" i="9"/>
  <c r="I53" i="9" s="1"/>
  <c r="J53" i="9"/>
  <c r="GW52" i="9"/>
  <c r="HA52" i="9" s="1"/>
  <c r="GV52" i="9"/>
  <c r="GZ52" i="9" s="1"/>
  <c r="GS52" i="9"/>
  <c r="GR52" i="9"/>
  <c r="GP52" i="9"/>
  <c r="GO52" i="9"/>
  <c r="GJ52" i="9"/>
  <c r="GH52" i="9"/>
  <c r="GC52" i="9"/>
  <c r="GB52" i="9"/>
  <c r="FZ52" i="9"/>
  <c r="FY52" i="9"/>
  <c r="FT52" i="9"/>
  <c r="FP52" i="9"/>
  <c r="FO52" i="9"/>
  <c r="FH52" i="9"/>
  <c r="FD52" i="9"/>
  <c r="FC52" i="9"/>
  <c r="FE52" i="9" s="1"/>
  <c r="FB52" i="9"/>
  <c r="FA52" i="9"/>
  <c r="EZ52" i="9"/>
  <c r="EW52" i="9"/>
  <c r="FM52" i="9" s="1"/>
  <c r="ET52" i="9"/>
  <c r="ES52" i="9"/>
  <c r="ED52" i="9"/>
  <c r="EB52" i="9"/>
  <c r="DZ52" i="9"/>
  <c r="DP52" i="9"/>
  <c r="CE52" i="9"/>
  <c r="CG52" i="9" s="1"/>
  <c r="CB52" i="9"/>
  <c r="CA52" i="9"/>
  <c r="AY52" i="9"/>
  <c r="AZ52" i="9" s="1"/>
  <c r="K52" i="9"/>
  <c r="J52" i="9"/>
  <c r="GZ51" i="9"/>
  <c r="GW51" i="9"/>
  <c r="HA51" i="9" s="1"/>
  <c r="GV51" i="9"/>
  <c r="GS51" i="9"/>
  <c r="GR51" i="9"/>
  <c r="GP51" i="9"/>
  <c r="GO51" i="9"/>
  <c r="GJ51" i="9"/>
  <c r="GH51" i="9"/>
  <c r="GK51" i="9" s="1"/>
  <c r="GC51" i="9"/>
  <c r="GB51" i="9"/>
  <c r="FZ51" i="9"/>
  <c r="FY51" i="9"/>
  <c r="FP51" i="9"/>
  <c r="FO51" i="9"/>
  <c r="FH51" i="9"/>
  <c r="FC51" i="9"/>
  <c r="FB51" i="9"/>
  <c r="FD51" i="9" s="1"/>
  <c r="FA51" i="9"/>
  <c r="EZ51" i="9"/>
  <c r="EV51" i="9"/>
  <c r="FK51" i="9" s="1"/>
  <c r="ET51" i="9"/>
  <c r="FT51" i="9" s="1"/>
  <c r="ES51" i="9"/>
  <c r="FS51" i="9" s="1"/>
  <c r="ED51" i="9"/>
  <c r="EB51" i="9"/>
  <c r="DZ51" i="9"/>
  <c r="DP51" i="9"/>
  <c r="CE51" i="9"/>
  <c r="CB51" i="9"/>
  <c r="CA51" i="9"/>
  <c r="AY51" i="9"/>
  <c r="AZ51" i="9" s="1"/>
  <c r="K51" i="9"/>
  <c r="I51" i="9" s="1"/>
  <c r="J51" i="9"/>
  <c r="GW50" i="9"/>
  <c r="HA50" i="9" s="1"/>
  <c r="GV50" i="9"/>
  <c r="GS50" i="9"/>
  <c r="GR50" i="9"/>
  <c r="GP50" i="9"/>
  <c r="GO50" i="9"/>
  <c r="GJ50" i="9"/>
  <c r="GH50" i="9"/>
  <c r="GC50" i="9"/>
  <c r="GB50" i="9"/>
  <c r="FZ50" i="9"/>
  <c r="FY50" i="9"/>
  <c r="FP50" i="9"/>
  <c r="FO50" i="9"/>
  <c r="FH50" i="9"/>
  <c r="FC50" i="9"/>
  <c r="FB50" i="9"/>
  <c r="FD50" i="9" s="1"/>
  <c r="FA50" i="9"/>
  <c r="EZ50" i="9"/>
  <c r="ET50" i="9"/>
  <c r="EW50" i="9" s="1"/>
  <c r="FM50" i="9" s="1"/>
  <c r="ES50" i="9"/>
  <c r="FS50" i="9" s="1"/>
  <c r="ED50" i="9"/>
  <c r="EB50" i="9"/>
  <c r="DZ50" i="9"/>
  <c r="DP50" i="9"/>
  <c r="CE50" i="9"/>
  <c r="CG50" i="9" s="1"/>
  <c r="CD50" i="9"/>
  <c r="CF50" i="9" s="1"/>
  <c r="CB50" i="9"/>
  <c r="CA50" i="9"/>
  <c r="AY50" i="9"/>
  <c r="AZ50" i="9" s="1"/>
  <c r="K50" i="9"/>
  <c r="J50" i="9"/>
  <c r="GW49" i="9"/>
  <c r="HA49" i="9" s="1"/>
  <c r="GV49" i="9"/>
  <c r="GS49" i="9"/>
  <c r="GR49" i="9"/>
  <c r="GP49" i="9"/>
  <c r="GO49" i="9"/>
  <c r="GK49" i="9"/>
  <c r="GJ49" i="9"/>
  <c r="GH49" i="9"/>
  <c r="GC49" i="9"/>
  <c r="GB49" i="9"/>
  <c r="FZ49" i="9"/>
  <c r="FY49" i="9"/>
  <c r="FS49" i="9"/>
  <c r="FP49" i="9"/>
  <c r="FO49" i="9"/>
  <c r="FU49" i="9" s="1"/>
  <c r="FH49" i="9"/>
  <c r="FC49" i="9"/>
  <c r="FB49" i="9"/>
  <c r="FD49" i="9" s="1"/>
  <c r="FA49" i="9"/>
  <c r="EZ49" i="9"/>
  <c r="ET49" i="9"/>
  <c r="ES49" i="9"/>
  <c r="EV49" i="9" s="1"/>
  <c r="FK49" i="9" s="1"/>
  <c r="ED49" i="9"/>
  <c r="EB49" i="9"/>
  <c r="DZ49" i="9"/>
  <c r="DP49" i="9"/>
  <c r="CG49" i="9"/>
  <c r="CE49" i="9"/>
  <c r="CD49" i="9" s="1"/>
  <c r="CF49" i="9" s="1"/>
  <c r="CB49" i="9"/>
  <c r="CA49" i="9"/>
  <c r="AY49" i="9"/>
  <c r="AZ49" i="9" s="1"/>
  <c r="K49" i="9"/>
  <c r="J49" i="9"/>
  <c r="I49" i="9" s="1"/>
  <c r="GW48" i="9"/>
  <c r="HA48" i="9" s="1"/>
  <c r="GV48" i="9"/>
  <c r="GZ48" i="9" s="1"/>
  <c r="GS48" i="9"/>
  <c r="GR48" i="9"/>
  <c r="GP48" i="9"/>
  <c r="GO48" i="9"/>
  <c r="GJ48" i="9"/>
  <c r="GH48" i="9"/>
  <c r="GC48" i="9"/>
  <c r="GB48" i="9"/>
  <c r="FZ48" i="9"/>
  <c r="FY48" i="9"/>
  <c r="FP48" i="9"/>
  <c r="FO48" i="9"/>
  <c r="FH48" i="9"/>
  <c r="FC48" i="9"/>
  <c r="FB48" i="9"/>
  <c r="FD48" i="9" s="1"/>
  <c r="FA48" i="9"/>
  <c r="EZ48" i="9"/>
  <c r="ET48" i="9"/>
  <c r="FT48" i="9" s="1"/>
  <c r="ES48" i="9"/>
  <c r="ED48" i="9"/>
  <c r="EB48" i="9"/>
  <c r="DZ48" i="9"/>
  <c r="DP48" i="9"/>
  <c r="CE48" i="9"/>
  <c r="CD48" i="9" s="1"/>
  <c r="CF48" i="9" s="1"/>
  <c r="CB48" i="9"/>
  <c r="CA48" i="9"/>
  <c r="AY48" i="9"/>
  <c r="AZ48" i="9" s="1"/>
  <c r="K48" i="9"/>
  <c r="J48" i="9"/>
  <c r="GW47" i="9"/>
  <c r="HA47" i="9" s="1"/>
  <c r="GV47" i="9"/>
  <c r="GZ47" i="9" s="1"/>
  <c r="GS47" i="9"/>
  <c r="GR47" i="9"/>
  <c r="GP47" i="9"/>
  <c r="GO47" i="9"/>
  <c r="GJ47" i="9"/>
  <c r="GH47" i="9"/>
  <c r="GC47" i="9"/>
  <c r="GB47" i="9"/>
  <c r="FZ47" i="9"/>
  <c r="FY47" i="9"/>
  <c r="FP47" i="9"/>
  <c r="FO47" i="9"/>
  <c r="FH47" i="9"/>
  <c r="FC47" i="9"/>
  <c r="FB47" i="9"/>
  <c r="FD47" i="9" s="1"/>
  <c r="FA47" i="9"/>
  <c r="EZ47" i="9"/>
  <c r="EV47" i="9"/>
  <c r="FK47" i="9" s="1"/>
  <c r="ET47" i="9"/>
  <c r="FT47" i="9" s="1"/>
  <c r="ES47" i="9"/>
  <c r="FS47" i="9" s="1"/>
  <c r="ED47" i="9"/>
  <c r="EB47" i="9"/>
  <c r="DZ47" i="9"/>
  <c r="DP47" i="9"/>
  <c r="CE47" i="9"/>
  <c r="CB47" i="9"/>
  <c r="CA47" i="9"/>
  <c r="AY47" i="9"/>
  <c r="AZ47" i="9" s="1"/>
  <c r="K47" i="9"/>
  <c r="J47" i="9"/>
  <c r="HA46" i="9"/>
  <c r="GW46" i="9"/>
  <c r="GV46" i="9"/>
  <c r="GS46" i="9"/>
  <c r="GR46" i="9"/>
  <c r="GP46" i="9"/>
  <c r="GO46" i="9"/>
  <c r="GJ46" i="9"/>
  <c r="GH46" i="9"/>
  <c r="GC46" i="9"/>
  <c r="GB46" i="9"/>
  <c r="FZ46" i="9"/>
  <c r="FY46" i="9"/>
  <c r="FP46" i="9"/>
  <c r="FO46" i="9"/>
  <c r="FH46" i="9"/>
  <c r="FC46" i="9"/>
  <c r="FB46" i="9"/>
  <c r="FD46" i="9" s="1"/>
  <c r="FA46" i="9"/>
  <c r="EZ46" i="9"/>
  <c r="ET46" i="9"/>
  <c r="FT46" i="9" s="1"/>
  <c r="ES46" i="9"/>
  <c r="FS46" i="9" s="1"/>
  <c r="ED46" i="9"/>
  <c r="EB46" i="9"/>
  <c r="DZ46" i="9"/>
  <c r="DP46" i="9"/>
  <c r="CE46" i="9"/>
  <c r="CG46" i="9" s="1"/>
  <c r="CB46" i="9"/>
  <c r="CA46" i="9"/>
  <c r="AZ46" i="9"/>
  <c r="AY46" i="9"/>
  <c r="K46" i="9"/>
  <c r="J46" i="9"/>
  <c r="I46" i="9" s="1"/>
  <c r="HA45" i="9"/>
  <c r="GW45" i="9"/>
  <c r="GV45" i="9"/>
  <c r="GS45" i="9"/>
  <c r="GR45" i="9"/>
  <c r="GP45" i="9"/>
  <c r="GO45" i="9"/>
  <c r="GK45" i="9"/>
  <c r="GJ45" i="9"/>
  <c r="GH45" i="9"/>
  <c r="GC45" i="9"/>
  <c r="GB45" i="9"/>
  <c r="FZ45" i="9"/>
  <c r="FY45" i="9"/>
  <c r="FP45" i="9"/>
  <c r="FO45" i="9"/>
  <c r="FH45" i="9"/>
  <c r="FC45" i="9"/>
  <c r="FB45" i="9"/>
  <c r="FD45" i="9" s="1"/>
  <c r="FA45" i="9"/>
  <c r="EZ45" i="9"/>
  <c r="ET45" i="9"/>
  <c r="ES45" i="9"/>
  <c r="FS45" i="9" s="1"/>
  <c r="ED45" i="9"/>
  <c r="EB45" i="9"/>
  <c r="DZ45" i="9"/>
  <c r="DP45" i="9"/>
  <c r="CG45" i="9"/>
  <c r="CE45" i="9"/>
  <c r="CD45" i="9" s="1"/>
  <c r="CF45" i="9" s="1"/>
  <c r="CB45" i="9"/>
  <c r="CA45" i="9"/>
  <c r="AY45" i="9"/>
  <c r="AZ45" i="9" s="1"/>
  <c r="K45" i="9"/>
  <c r="J45" i="9"/>
  <c r="GZ44" i="9"/>
  <c r="GX44" i="9"/>
  <c r="HB44" i="9" s="1"/>
  <c r="GW44" i="9"/>
  <c r="HA44" i="9" s="1"/>
  <c r="GV44" i="9"/>
  <c r="GS44" i="9"/>
  <c r="GR44" i="9"/>
  <c r="GP44" i="9"/>
  <c r="GO44" i="9"/>
  <c r="GJ44" i="9"/>
  <c r="GH44" i="9"/>
  <c r="GC44" i="9"/>
  <c r="GB44" i="9"/>
  <c r="FZ44" i="9"/>
  <c r="FY44" i="9"/>
  <c r="FP44" i="9"/>
  <c r="FO44" i="9"/>
  <c r="FH44" i="9"/>
  <c r="FC44" i="9"/>
  <c r="FB44" i="9"/>
  <c r="FD44" i="9" s="1"/>
  <c r="FA44" i="9"/>
  <c r="FE44" i="9" s="1"/>
  <c r="EZ44" i="9"/>
  <c r="ET44" i="9"/>
  <c r="EW44" i="9" s="1"/>
  <c r="FM44" i="9" s="1"/>
  <c r="ES44" i="9"/>
  <c r="ED44" i="9"/>
  <c r="EB44" i="9"/>
  <c r="DZ44" i="9"/>
  <c r="DP44" i="9"/>
  <c r="CB44" i="9"/>
  <c r="CA44" i="9"/>
  <c r="AZ44" i="9"/>
  <c r="AY44" i="9"/>
  <c r="K44" i="9"/>
  <c r="J44" i="9"/>
  <c r="I44" i="9" s="1"/>
  <c r="GW43" i="9"/>
  <c r="HA43" i="9" s="1"/>
  <c r="GV43" i="9"/>
  <c r="GZ43" i="9" s="1"/>
  <c r="GS43" i="9"/>
  <c r="GR43" i="9"/>
  <c r="GP43" i="9"/>
  <c r="GO43" i="9"/>
  <c r="GJ43" i="9"/>
  <c r="GH43" i="9"/>
  <c r="GC43" i="9"/>
  <c r="GB43" i="9"/>
  <c r="FZ43" i="9"/>
  <c r="FY43" i="9"/>
  <c r="FT43" i="9"/>
  <c r="FP43" i="9"/>
  <c r="FO43" i="9"/>
  <c r="FU43" i="9" s="1"/>
  <c r="FH43" i="9"/>
  <c r="FD43" i="9"/>
  <c r="FC43" i="9"/>
  <c r="FE43" i="9" s="1"/>
  <c r="FB43" i="9"/>
  <c r="FA43" i="9"/>
  <c r="EZ43" i="9"/>
  <c r="EW43" i="9"/>
  <c r="FM43" i="9" s="1"/>
  <c r="ET43" i="9"/>
  <c r="ES43" i="9"/>
  <c r="FS43" i="9" s="1"/>
  <c r="ED43" i="9"/>
  <c r="EB43" i="9"/>
  <c r="DZ43" i="9"/>
  <c r="DP43" i="9"/>
  <c r="CB43" i="9"/>
  <c r="CA43" i="9"/>
  <c r="AY43" i="9"/>
  <c r="AZ43" i="9" s="1"/>
  <c r="K43" i="9"/>
  <c r="J43" i="9"/>
  <c r="GW42" i="9"/>
  <c r="HA257" i="9" s="1"/>
  <c r="HE257" i="9" s="1"/>
  <c r="GV42" i="9"/>
  <c r="GZ257" i="9" s="1"/>
  <c r="HD257" i="9" s="1"/>
  <c r="GS42" i="9"/>
  <c r="GR42" i="9"/>
  <c r="GP42" i="9"/>
  <c r="GO42" i="9"/>
  <c r="GJ42" i="9"/>
  <c r="GH42" i="9"/>
  <c r="GC42" i="9"/>
  <c r="GB42" i="9"/>
  <c r="FZ42" i="9"/>
  <c r="FY42" i="9"/>
  <c r="FP42" i="9"/>
  <c r="FO42" i="9"/>
  <c r="FH42" i="9"/>
  <c r="FA42" i="9"/>
  <c r="EZ42" i="9"/>
  <c r="ET42" i="9"/>
  <c r="FT42" i="9" s="1"/>
  <c r="ES42" i="9"/>
  <c r="FS42" i="9" s="1"/>
  <c r="ED42" i="9"/>
  <c r="EB42" i="9"/>
  <c r="DZ42" i="9"/>
  <c r="DP42" i="9"/>
  <c r="CB42" i="9"/>
  <c r="CA42" i="9"/>
  <c r="AY42" i="9"/>
  <c r="AZ42" i="9" s="1"/>
  <c r="K42" i="9"/>
  <c r="J42" i="9"/>
  <c r="GW41" i="9"/>
  <c r="HA41" i="9" s="1"/>
  <c r="GV41" i="9"/>
  <c r="GZ41" i="9" s="1"/>
  <c r="GS41" i="9"/>
  <c r="GR41" i="9"/>
  <c r="GP41" i="9"/>
  <c r="GO41" i="9"/>
  <c r="GJ41" i="9"/>
  <c r="GH41" i="9"/>
  <c r="GC41" i="9"/>
  <c r="GB41" i="9"/>
  <c r="FZ41" i="9"/>
  <c r="FY41" i="9"/>
  <c r="FP41" i="9"/>
  <c r="FO41" i="9"/>
  <c r="FM41" i="9"/>
  <c r="FH41" i="9"/>
  <c r="FA41" i="9"/>
  <c r="EZ41" i="9"/>
  <c r="ET41" i="9"/>
  <c r="FT41" i="9" s="1"/>
  <c r="ES41" i="9"/>
  <c r="FS41" i="9" s="1"/>
  <c r="ED41" i="9"/>
  <c r="EB41" i="9"/>
  <c r="DZ41" i="9"/>
  <c r="DP41" i="9"/>
  <c r="CB41" i="9"/>
  <c r="CA41" i="9"/>
  <c r="AZ41" i="9"/>
  <c r="AY41" i="9"/>
  <c r="K41" i="9"/>
  <c r="J41" i="9"/>
  <c r="HA40" i="9"/>
  <c r="GW40" i="9"/>
  <c r="GV40" i="9"/>
  <c r="GZ40" i="9" s="1"/>
  <c r="GS40" i="9"/>
  <c r="GR40" i="9"/>
  <c r="GP40" i="9"/>
  <c r="GO40" i="9"/>
  <c r="GJ40" i="9"/>
  <c r="GH40" i="9"/>
  <c r="GC40" i="9"/>
  <c r="GB40" i="9"/>
  <c r="FZ40" i="9"/>
  <c r="FY40" i="9"/>
  <c r="FP40" i="9"/>
  <c r="FO40" i="9"/>
  <c r="FM40" i="9"/>
  <c r="FH40" i="9"/>
  <c r="FA40" i="9"/>
  <c r="EZ40" i="9"/>
  <c r="ET40" i="9"/>
  <c r="FT40" i="9" s="1"/>
  <c r="ES40" i="9"/>
  <c r="FS40" i="9" s="1"/>
  <c r="ED40" i="9"/>
  <c r="EB40" i="9"/>
  <c r="DZ40" i="9"/>
  <c r="DP40" i="9"/>
  <c r="CE40" i="9"/>
  <c r="CD40" i="9" s="1"/>
  <c r="CF40" i="9" s="1"/>
  <c r="CB40" i="9"/>
  <c r="CA40" i="9"/>
  <c r="AY40" i="9"/>
  <c r="AZ40" i="9" s="1"/>
  <c r="K40" i="9"/>
  <c r="J40" i="9"/>
  <c r="GW39" i="9"/>
  <c r="HA39" i="9" s="1"/>
  <c r="GV39" i="9"/>
  <c r="GZ39" i="9" s="1"/>
  <c r="GS39" i="9"/>
  <c r="GR39" i="9"/>
  <c r="GP39" i="9"/>
  <c r="GO39" i="9"/>
  <c r="GJ39" i="9"/>
  <c r="GH39" i="9"/>
  <c r="GC39" i="9"/>
  <c r="GB39" i="9"/>
  <c r="FZ39" i="9"/>
  <c r="FY39" i="9"/>
  <c r="FP39" i="9"/>
  <c r="FO39" i="9"/>
  <c r="FM39" i="9"/>
  <c r="FH39" i="9"/>
  <c r="FA39" i="9"/>
  <c r="EZ39" i="9"/>
  <c r="ET39" i="9"/>
  <c r="FT39" i="9" s="1"/>
  <c r="ES39" i="9"/>
  <c r="FS39" i="9" s="1"/>
  <c r="ED39" i="9"/>
  <c r="EB39" i="9"/>
  <c r="DZ39" i="9"/>
  <c r="DP39" i="9"/>
  <c r="CB39" i="9"/>
  <c r="CA39" i="9"/>
  <c r="AY39" i="9"/>
  <c r="AZ39" i="9" s="1"/>
  <c r="K39" i="9"/>
  <c r="J39" i="9"/>
  <c r="GW38" i="9"/>
  <c r="HA38" i="9" s="1"/>
  <c r="GV38" i="9"/>
  <c r="GZ38" i="9" s="1"/>
  <c r="GS38" i="9"/>
  <c r="GR38" i="9"/>
  <c r="GP38" i="9"/>
  <c r="GO38" i="9"/>
  <c r="GJ38" i="9"/>
  <c r="GH38" i="9"/>
  <c r="GC38" i="9"/>
  <c r="GB38" i="9"/>
  <c r="FZ38" i="9"/>
  <c r="FY38" i="9"/>
  <c r="FP38" i="9"/>
  <c r="FO38" i="9"/>
  <c r="FM38" i="9"/>
  <c r="FH38" i="9"/>
  <c r="FA38" i="9"/>
  <c r="EZ38" i="9"/>
  <c r="ET38" i="9"/>
  <c r="FT38" i="9" s="1"/>
  <c r="ES38" i="9"/>
  <c r="FS38" i="9" s="1"/>
  <c r="ED38" i="9"/>
  <c r="EB38" i="9"/>
  <c r="DZ38" i="9"/>
  <c r="DP38" i="9"/>
  <c r="CE38" i="9"/>
  <c r="CD38" i="9" s="1"/>
  <c r="CF38" i="9" s="1"/>
  <c r="CB38" i="9"/>
  <c r="CA38" i="9"/>
  <c r="AY38" i="9"/>
  <c r="AZ38" i="9" s="1"/>
  <c r="K38" i="9"/>
  <c r="J38" i="9"/>
  <c r="GW37" i="9"/>
  <c r="HA37" i="9" s="1"/>
  <c r="GV37" i="9"/>
  <c r="GZ37" i="9" s="1"/>
  <c r="GS37" i="9"/>
  <c r="GR37" i="9"/>
  <c r="GP37" i="9"/>
  <c r="GO37" i="9"/>
  <c r="GJ37" i="9"/>
  <c r="GH37" i="9"/>
  <c r="GC37" i="9"/>
  <c r="GB37" i="9"/>
  <c r="FZ37" i="9"/>
  <c r="FY37" i="9"/>
  <c r="FP37" i="9"/>
  <c r="FO37" i="9"/>
  <c r="FH37" i="9"/>
  <c r="FC37" i="9"/>
  <c r="FB37" i="9"/>
  <c r="FD37" i="9" s="1"/>
  <c r="FA37" i="9"/>
  <c r="EZ37" i="9"/>
  <c r="ET37" i="9"/>
  <c r="EW37" i="9" s="1"/>
  <c r="FM37" i="9" s="1"/>
  <c r="ES37" i="9"/>
  <c r="FS37" i="9" s="1"/>
  <c r="ED37" i="9"/>
  <c r="EB37" i="9"/>
  <c r="DZ37" i="9"/>
  <c r="DP37" i="9"/>
  <c r="CB37" i="9"/>
  <c r="CA37" i="9"/>
  <c r="AY37" i="9"/>
  <c r="AZ37" i="9" s="1"/>
  <c r="K37" i="9"/>
  <c r="J37" i="9"/>
  <c r="GW36" i="9"/>
  <c r="GX36" i="9" s="1"/>
  <c r="HB36" i="9" s="1"/>
  <c r="GV36" i="9"/>
  <c r="GZ36" i="9" s="1"/>
  <c r="GS36" i="9"/>
  <c r="GR36" i="9"/>
  <c r="GP36" i="9"/>
  <c r="GO36" i="9"/>
  <c r="GJ36" i="9"/>
  <c r="GH36" i="9"/>
  <c r="GC36" i="9"/>
  <c r="GB36" i="9"/>
  <c r="FZ36" i="9"/>
  <c r="FY36" i="9"/>
  <c r="FP36" i="9"/>
  <c r="FO36" i="9"/>
  <c r="FM36" i="9"/>
  <c r="FH36" i="9"/>
  <c r="FA36" i="9"/>
  <c r="EZ36" i="9"/>
  <c r="ET36" i="9"/>
  <c r="FT36" i="9" s="1"/>
  <c r="ES36" i="9"/>
  <c r="FS36" i="9" s="1"/>
  <c r="ED36" i="9"/>
  <c r="EB36" i="9"/>
  <c r="DZ36" i="9"/>
  <c r="DP36" i="9"/>
  <c r="CB36" i="9"/>
  <c r="CA36" i="9"/>
  <c r="AY36" i="9"/>
  <c r="AZ36" i="9" s="1"/>
  <c r="K36" i="9"/>
  <c r="J36" i="9"/>
  <c r="GW35" i="9"/>
  <c r="GV35" i="9"/>
  <c r="GZ35" i="9" s="1"/>
  <c r="GS35" i="9"/>
  <c r="GR35" i="9"/>
  <c r="GP35" i="9"/>
  <c r="GO35" i="9"/>
  <c r="GK35" i="9"/>
  <c r="GJ35" i="9"/>
  <c r="GH35" i="9"/>
  <c r="GC35" i="9"/>
  <c r="GB35" i="9"/>
  <c r="FZ35" i="9"/>
  <c r="FY35" i="9"/>
  <c r="FP35" i="9"/>
  <c r="FO35" i="9"/>
  <c r="FH35" i="9"/>
  <c r="FC35" i="9"/>
  <c r="FB35" i="9"/>
  <c r="FD35" i="9" s="1"/>
  <c r="FA35" i="9"/>
  <c r="EZ35" i="9"/>
  <c r="ET35" i="9"/>
  <c r="FT35" i="9" s="1"/>
  <c r="ES35" i="9"/>
  <c r="EV35" i="9" s="1"/>
  <c r="FK35" i="9" s="1"/>
  <c r="ED35" i="9"/>
  <c r="EB35" i="9"/>
  <c r="DZ35" i="9"/>
  <c r="DP35" i="9"/>
  <c r="CE35" i="9"/>
  <c r="CD35" i="9" s="1"/>
  <c r="CF35" i="9" s="1"/>
  <c r="CB35" i="9"/>
  <c r="CA35" i="9"/>
  <c r="AY35" i="9"/>
  <c r="AZ35" i="9" s="1"/>
  <c r="K35" i="9"/>
  <c r="J35" i="9"/>
  <c r="I35" i="9" s="1"/>
  <c r="HA34" i="9"/>
  <c r="GW34" i="9"/>
  <c r="GV34" i="9"/>
  <c r="GZ34" i="9" s="1"/>
  <c r="GS34" i="9"/>
  <c r="GR34" i="9"/>
  <c r="GP34" i="9"/>
  <c r="GO34" i="9"/>
  <c r="GJ34" i="9"/>
  <c r="GH34" i="9"/>
  <c r="GC34" i="9"/>
  <c r="GB34" i="9"/>
  <c r="FZ34" i="9"/>
  <c r="FY34" i="9"/>
  <c r="FP34" i="9"/>
  <c r="FO34" i="9"/>
  <c r="FM34" i="9"/>
  <c r="FH34" i="9"/>
  <c r="FA34" i="9"/>
  <c r="EZ34" i="9"/>
  <c r="EX34" i="9"/>
  <c r="ET34" i="9"/>
  <c r="FT34" i="9" s="1"/>
  <c r="ES34" i="9"/>
  <c r="FS34" i="9" s="1"/>
  <c r="ED34" i="9"/>
  <c r="EB34" i="9"/>
  <c r="DZ34" i="9"/>
  <c r="DP34" i="9"/>
  <c r="CB34" i="9"/>
  <c r="CA34" i="9"/>
  <c r="AY34" i="9"/>
  <c r="AZ34" i="9" s="1"/>
  <c r="K34" i="9"/>
  <c r="J34" i="9"/>
  <c r="GW33" i="9"/>
  <c r="HA33" i="9" s="1"/>
  <c r="GV33" i="9"/>
  <c r="GZ33" i="9" s="1"/>
  <c r="GS33" i="9"/>
  <c r="GR33" i="9"/>
  <c r="GP33" i="9"/>
  <c r="GO33" i="9"/>
  <c r="GJ33" i="9"/>
  <c r="GH33" i="9"/>
  <c r="GC33" i="9"/>
  <c r="GB33" i="9"/>
  <c r="FZ33" i="9"/>
  <c r="FY33" i="9"/>
  <c r="FP33" i="9"/>
  <c r="FO33" i="9"/>
  <c r="FH33" i="9"/>
  <c r="FC33" i="9"/>
  <c r="FB33" i="9"/>
  <c r="FD33" i="9" s="1"/>
  <c r="FA33" i="9"/>
  <c r="EZ33" i="9"/>
  <c r="ET33" i="9"/>
  <c r="EW33" i="9" s="1"/>
  <c r="FM33" i="9" s="1"/>
  <c r="ES33" i="9"/>
  <c r="FS33" i="9" s="1"/>
  <c r="ED33" i="9"/>
  <c r="EB33" i="9"/>
  <c r="DZ33" i="9"/>
  <c r="DP33" i="9"/>
  <c r="CE33" i="9"/>
  <c r="CG33" i="9" s="1"/>
  <c r="CD33" i="9"/>
  <c r="CF33" i="9" s="1"/>
  <c r="CB33" i="9"/>
  <c r="CA33" i="9"/>
  <c r="AY33" i="9"/>
  <c r="AZ33" i="9" s="1"/>
  <c r="K33" i="9"/>
  <c r="J33" i="9"/>
  <c r="I33" i="9" s="1"/>
  <c r="GW32" i="9"/>
  <c r="HA32" i="9" s="1"/>
  <c r="GV32" i="9"/>
  <c r="GS32" i="9"/>
  <c r="GR32" i="9"/>
  <c r="GP32" i="9"/>
  <c r="GO32" i="9"/>
  <c r="GJ32" i="9"/>
  <c r="GH32" i="9"/>
  <c r="GC32" i="9"/>
  <c r="GB32" i="9"/>
  <c r="FZ32" i="9"/>
  <c r="FY32" i="9"/>
  <c r="FP32" i="9"/>
  <c r="FO32" i="9"/>
  <c r="FM32" i="9"/>
  <c r="FH32" i="9"/>
  <c r="FA32" i="9"/>
  <c r="EZ32" i="9"/>
  <c r="ET32" i="9"/>
  <c r="FT32" i="9" s="1"/>
  <c r="ES32" i="9"/>
  <c r="EX32" i="9" s="1"/>
  <c r="ED32" i="9"/>
  <c r="EB32" i="9"/>
  <c r="DZ32" i="9"/>
  <c r="DP32" i="9"/>
  <c r="CB32" i="9"/>
  <c r="CA32" i="9"/>
  <c r="AY32" i="9"/>
  <c r="AZ32" i="9" s="1"/>
  <c r="K32" i="9"/>
  <c r="J32" i="9"/>
  <c r="GW31" i="9"/>
  <c r="HA31" i="9" s="1"/>
  <c r="GV31" i="9"/>
  <c r="GZ31" i="9" s="1"/>
  <c r="GS31" i="9"/>
  <c r="GR31" i="9"/>
  <c r="GP31" i="9"/>
  <c r="GO31" i="9"/>
  <c r="GJ31" i="9"/>
  <c r="GH31" i="9"/>
  <c r="GC31" i="9"/>
  <c r="GB31" i="9"/>
  <c r="FZ31" i="9"/>
  <c r="FY31" i="9"/>
  <c r="FP31" i="9"/>
  <c r="FO31" i="9"/>
  <c r="FM31" i="9"/>
  <c r="FH31" i="9"/>
  <c r="FA31" i="9"/>
  <c r="EZ31" i="9"/>
  <c r="ET31" i="9"/>
  <c r="FT31" i="9" s="1"/>
  <c r="ES31" i="9"/>
  <c r="EX31" i="9" s="1"/>
  <c r="ED31" i="9"/>
  <c r="EB31" i="9"/>
  <c r="DZ31" i="9"/>
  <c r="DP31" i="9"/>
  <c r="CB31" i="9"/>
  <c r="CA31" i="9"/>
  <c r="AY31" i="9"/>
  <c r="AZ31" i="9" s="1"/>
  <c r="K31" i="9"/>
  <c r="J31" i="9"/>
  <c r="GZ30" i="9"/>
  <c r="GW30" i="9"/>
  <c r="HA30" i="9" s="1"/>
  <c r="GV30" i="9"/>
  <c r="GS30" i="9"/>
  <c r="GR30" i="9"/>
  <c r="GP30" i="9"/>
  <c r="GO30" i="9"/>
  <c r="GJ30" i="9"/>
  <c r="GH30" i="9"/>
  <c r="GK30" i="9" s="1"/>
  <c r="GC30" i="9"/>
  <c r="GB30" i="9"/>
  <c r="FZ30" i="9"/>
  <c r="FY30" i="9"/>
  <c r="FP30" i="9"/>
  <c r="FV30" i="9" s="1"/>
  <c r="FO30" i="9"/>
  <c r="FM30" i="9"/>
  <c r="FH30" i="9"/>
  <c r="FA30" i="9"/>
  <c r="EZ30" i="9"/>
  <c r="ET30" i="9"/>
  <c r="FT30" i="9" s="1"/>
  <c r="ES30" i="9"/>
  <c r="EX30" i="9" s="1"/>
  <c r="ED30" i="9"/>
  <c r="EB30" i="9"/>
  <c r="DZ30" i="9"/>
  <c r="DP30" i="9"/>
  <c r="CB30" i="9"/>
  <c r="CA30" i="9"/>
  <c r="AY30" i="9"/>
  <c r="AZ30" i="9" s="1"/>
  <c r="K30" i="9"/>
  <c r="J30" i="9"/>
  <c r="GW29" i="9"/>
  <c r="GV29" i="9"/>
  <c r="GZ29" i="9" s="1"/>
  <c r="GS29" i="9"/>
  <c r="GR29" i="9"/>
  <c r="GP29" i="9"/>
  <c r="GO29" i="9"/>
  <c r="GJ29" i="9"/>
  <c r="GH29" i="9"/>
  <c r="GC29" i="9"/>
  <c r="GB29" i="9"/>
  <c r="FZ29" i="9"/>
  <c r="FY29" i="9"/>
  <c r="FP29" i="9"/>
  <c r="FO29" i="9"/>
  <c r="FM29" i="9"/>
  <c r="FH29" i="9"/>
  <c r="FA29" i="9"/>
  <c r="EZ29" i="9"/>
  <c r="ET29" i="9"/>
  <c r="FT29" i="9" s="1"/>
  <c r="ES29" i="9"/>
  <c r="EX29" i="9" s="1"/>
  <c r="ED29" i="9"/>
  <c r="EB29" i="9"/>
  <c r="DZ29" i="9"/>
  <c r="DP29" i="9"/>
  <c r="CE29" i="9"/>
  <c r="CG29" i="9" s="1"/>
  <c r="CD29" i="9"/>
  <c r="CF29" i="9" s="1"/>
  <c r="CB29" i="9"/>
  <c r="CA29" i="9"/>
  <c r="AY29" i="9"/>
  <c r="AZ29" i="9" s="1"/>
  <c r="K29" i="9"/>
  <c r="J29" i="9"/>
  <c r="GW28" i="9"/>
  <c r="HA253" i="9" s="1"/>
  <c r="HE253" i="9" s="1"/>
  <c r="GV28" i="9"/>
  <c r="GZ253" i="9" s="1"/>
  <c r="HD253" i="9" s="1"/>
  <c r="GS28" i="9"/>
  <c r="GR28" i="9"/>
  <c r="GP28" i="9"/>
  <c r="GO28" i="9"/>
  <c r="GJ28" i="9"/>
  <c r="GH28" i="9"/>
  <c r="GC28" i="9"/>
  <c r="GB28" i="9"/>
  <c r="FZ28" i="9"/>
  <c r="FY28" i="9"/>
  <c r="FP28" i="9"/>
  <c r="FO28" i="9"/>
  <c r="FH28" i="9"/>
  <c r="FA28" i="9"/>
  <c r="EZ28" i="9"/>
  <c r="ET28" i="9"/>
  <c r="FT28" i="9" s="1"/>
  <c r="ES28" i="9"/>
  <c r="FS28" i="9" s="1"/>
  <c r="ED28" i="9"/>
  <c r="EB28" i="9"/>
  <c r="DZ28" i="9"/>
  <c r="DP28" i="9"/>
  <c r="CB28" i="9"/>
  <c r="CA28" i="9"/>
  <c r="AY28" i="9"/>
  <c r="AZ28" i="9" s="1"/>
  <c r="K28" i="9"/>
  <c r="J28" i="9"/>
  <c r="GW27" i="9"/>
  <c r="HA248" i="9" s="1"/>
  <c r="GV27" i="9"/>
  <c r="GZ248" i="9" s="1"/>
  <c r="GS27" i="9"/>
  <c r="GR27" i="9"/>
  <c r="GP27" i="9"/>
  <c r="GO27" i="9"/>
  <c r="GJ27" i="9"/>
  <c r="GH27" i="9"/>
  <c r="GC27" i="9"/>
  <c r="GB27" i="9"/>
  <c r="FZ27" i="9"/>
  <c r="FY27" i="9"/>
  <c r="FP27" i="9"/>
  <c r="FO27" i="9"/>
  <c r="FM27" i="9"/>
  <c r="FH27" i="9"/>
  <c r="FA27" i="9"/>
  <c r="EZ27" i="9"/>
  <c r="ET27" i="9"/>
  <c r="FT27" i="9" s="1"/>
  <c r="ES27" i="9"/>
  <c r="FS27" i="9" s="1"/>
  <c r="ED27" i="9"/>
  <c r="EB27" i="9"/>
  <c r="DZ27" i="9"/>
  <c r="DP27" i="9"/>
  <c r="CB27" i="9"/>
  <c r="CA27" i="9"/>
  <c r="AY27" i="9"/>
  <c r="AZ27" i="9" s="1"/>
  <c r="K27" i="9"/>
  <c r="J27" i="9"/>
  <c r="I27" i="9"/>
  <c r="GX26" i="9"/>
  <c r="HB26" i="9" s="1"/>
  <c r="GW26" i="9"/>
  <c r="HA26" i="9" s="1"/>
  <c r="GV26" i="9"/>
  <c r="GZ26" i="9" s="1"/>
  <c r="GS26" i="9"/>
  <c r="GR26" i="9"/>
  <c r="GP26" i="9"/>
  <c r="GO26" i="9"/>
  <c r="GJ26" i="9"/>
  <c r="GH26" i="9"/>
  <c r="GC26" i="9"/>
  <c r="GB26" i="9"/>
  <c r="FZ26" i="9"/>
  <c r="FY26" i="9"/>
  <c r="FP26" i="9"/>
  <c r="FO26" i="9"/>
  <c r="FM26" i="9"/>
  <c r="FH26" i="9"/>
  <c r="FA26" i="9"/>
  <c r="EZ26" i="9"/>
  <c r="ET26" i="9"/>
  <c r="FT26" i="9" s="1"/>
  <c r="ES26" i="9"/>
  <c r="EY26" i="9" s="1"/>
  <c r="EX26" i="9" s="1"/>
  <c r="ED26" i="9"/>
  <c r="EB26" i="9"/>
  <c r="DZ26" i="9"/>
  <c r="DP26" i="9"/>
  <c r="CB26" i="9"/>
  <c r="CA26" i="9"/>
  <c r="AY26" i="9"/>
  <c r="AZ26" i="9" s="1"/>
  <c r="K26" i="9"/>
  <c r="J26" i="9"/>
  <c r="GW25" i="9"/>
  <c r="HA25" i="9" s="1"/>
  <c r="GV25" i="9"/>
  <c r="GZ25" i="9" s="1"/>
  <c r="GS25" i="9"/>
  <c r="GR25" i="9"/>
  <c r="GP25" i="9"/>
  <c r="GO25" i="9"/>
  <c r="GJ25" i="9"/>
  <c r="GH25" i="9"/>
  <c r="GC25" i="9"/>
  <c r="GB25" i="9"/>
  <c r="FZ25" i="9"/>
  <c r="FY25" i="9"/>
  <c r="FP25" i="9"/>
  <c r="FO25" i="9"/>
  <c r="FM25" i="9"/>
  <c r="FH25" i="9"/>
  <c r="FA25" i="9"/>
  <c r="EZ25" i="9"/>
  <c r="ET25" i="9"/>
  <c r="FT25" i="9" s="1"/>
  <c r="ES25" i="9"/>
  <c r="EY25" i="9" s="1"/>
  <c r="EX25" i="9" s="1"/>
  <c r="ED25" i="9"/>
  <c r="EB25" i="9"/>
  <c r="DZ25" i="9"/>
  <c r="DP25" i="9"/>
  <c r="CB25" i="9"/>
  <c r="CA25" i="9"/>
  <c r="AY25" i="9"/>
  <c r="AZ25" i="9" s="1"/>
  <c r="K25" i="9"/>
  <c r="J25" i="9"/>
  <c r="I25" i="9"/>
  <c r="GX24" i="9"/>
  <c r="HB24" i="9" s="1"/>
  <c r="GW24" i="9"/>
  <c r="HA24" i="9" s="1"/>
  <c r="GV24" i="9"/>
  <c r="GZ24" i="9" s="1"/>
  <c r="GS24" i="9"/>
  <c r="GR24" i="9"/>
  <c r="GP24" i="9"/>
  <c r="GO24" i="9"/>
  <c r="GJ24" i="9"/>
  <c r="GH24" i="9"/>
  <c r="GC24" i="9"/>
  <c r="GB24" i="9"/>
  <c r="FZ24" i="9"/>
  <c r="FY24" i="9"/>
  <c r="FP24" i="9"/>
  <c r="FO24" i="9"/>
  <c r="FM24" i="9"/>
  <c r="FH24" i="9"/>
  <c r="FA24" i="9"/>
  <c r="EZ24" i="9"/>
  <c r="ET24" i="9"/>
  <c r="FT24" i="9" s="1"/>
  <c r="ES24" i="9"/>
  <c r="EY24" i="9" s="1"/>
  <c r="EX24" i="9" s="1"/>
  <c r="ED24" i="9"/>
  <c r="EB24" i="9"/>
  <c r="DZ24" i="9"/>
  <c r="DP24" i="9"/>
  <c r="CB24" i="9"/>
  <c r="CA24" i="9"/>
  <c r="AY24" i="9"/>
  <c r="AZ24" i="9" s="1"/>
  <c r="K24" i="9"/>
  <c r="J24" i="9"/>
  <c r="GW23" i="9"/>
  <c r="HA23" i="9" s="1"/>
  <c r="GV23" i="9"/>
  <c r="GZ23" i="9" s="1"/>
  <c r="GS23" i="9"/>
  <c r="GR23" i="9"/>
  <c r="GP23" i="9"/>
  <c r="GO23" i="9"/>
  <c r="GJ23" i="9"/>
  <c r="GH23" i="9"/>
  <c r="GC23" i="9"/>
  <c r="GB23" i="9"/>
  <c r="FZ23" i="9"/>
  <c r="FY23" i="9"/>
  <c r="FP23" i="9"/>
  <c r="FO23" i="9"/>
  <c r="FM23" i="9"/>
  <c r="FH23" i="9"/>
  <c r="FA23" i="9"/>
  <c r="EZ23" i="9"/>
  <c r="ET23" i="9"/>
  <c r="FT23" i="9" s="1"/>
  <c r="ES23" i="9"/>
  <c r="EY23" i="9" s="1"/>
  <c r="EX23" i="9" s="1"/>
  <c r="ED23" i="9"/>
  <c r="EB23" i="9"/>
  <c r="DZ23" i="9"/>
  <c r="DP23" i="9"/>
  <c r="CB23" i="9"/>
  <c r="CA23" i="9"/>
  <c r="AY23" i="9"/>
  <c r="AZ23" i="9" s="1"/>
  <c r="K23" i="9"/>
  <c r="J23" i="9"/>
  <c r="I23" i="9"/>
  <c r="GX22" i="9"/>
  <c r="HB22" i="9" s="1"/>
  <c r="GW22" i="9"/>
  <c r="HA22" i="9" s="1"/>
  <c r="GV22" i="9"/>
  <c r="GZ22" i="9" s="1"/>
  <c r="GS22" i="9"/>
  <c r="GR22" i="9"/>
  <c r="GP22" i="9"/>
  <c r="GO22" i="9"/>
  <c r="GJ22" i="9"/>
  <c r="GH22" i="9"/>
  <c r="GC22" i="9"/>
  <c r="GB22" i="9"/>
  <c r="FZ22" i="9"/>
  <c r="FY22" i="9"/>
  <c r="FP22" i="9"/>
  <c r="FO22" i="9"/>
  <c r="FM22" i="9"/>
  <c r="FH22" i="9"/>
  <c r="FA22" i="9"/>
  <c r="EZ22" i="9"/>
  <c r="ET22" i="9"/>
  <c r="FT22" i="9" s="1"/>
  <c r="ES22" i="9"/>
  <c r="EY22" i="9" s="1"/>
  <c r="EX22" i="9" s="1"/>
  <c r="ED22" i="9"/>
  <c r="EB22" i="9"/>
  <c r="DZ22" i="9"/>
  <c r="DP22" i="9"/>
  <c r="CB22" i="9"/>
  <c r="CA22" i="9"/>
  <c r="AY22" i="9"/>
  <c r="AZ22" i="9" s="1"/>
  <c r="K22" i="9"/>
  <c r="J22" i="9"/>
  <c r="GW21" i="9"/>
  <c r="HA21" i="9" s="1"/>
  <c r="GV21" i="9"/>
  <c r="GZ21" i="9" s="1"/>
  <c r="GS21" i="9"/>
  <c r="GR21" i="9"/>
  <c r="GP21" i="9"/>
  <c r="GO21" i="9"/>
  <c r="GJ21" i="9"/>
  <c r="GH21" i="9"/>
  <c r="GC21" i="9"/>
  <c r="GB21" i="9"/>
  <c r="FZ21" i="9"/>
  <c r="FY21" i="9"/>
  <c r="FP21" i="9"/>
  <c r="FO21" i="9"/>
  <c r="FH21" i="9"/>
  <c r="FC21" i="9"/>
  <c r="FB21" i="9"/>
  <c r="FD21" i="9" s="1"/>
  <c r="FA21" i="9"/>
  <c r="EZ21" i="9"/>
  <c r="ET21" i="9"/>
  <c r="FT21" i="9" s="1"/>
  <c r="ES21" i="9"/>
  <c r="FS21" i="9" s="1"/>
  <c r="ED21" i="9"/>
  <c r="EB21" i="9"/>
  <c r="DZ21" i="9"/>
  <c r="DP21" i="9"/>
  <c r="CG21" i="9"/>
  <c r="CE21" i="9"/>
  <c r="CD21" i="9" s="1"/>
  <c r="CF21" i="9" s="1"/>
  <c r="CB21" i="9"/>
  <c r="CA21" i="9"/>
  <c r="AY21" i="9"/>
  <c r="AZ21" i="9" s="1"/>
  <c r="K21" i="9"/>
  <c r="J21" i="9"/>
  <c r="GZ20" i="9"/>
  <c r="GW20" i="9"/>
  <c r="HA20" i="9" s="1"/>
  <c r="GV20" i="9"/>
  <c r="GS20" i="9"/>
  <c r="GR20" i="9"/>
  <c r="GP20" i="9"/>
  <c r="GO20" i="9"/>
  <c r="GJ20" i="9"/>
  <c r="GH20" i="9"/>
  <c r="GC20" i="9"/>
  <c r="GB20" i="9"/>
  <c r="FZ20" i="9"/>
  <c r="FY20" i="9"/>
  <c r="FP20" i="9"/>
  <c r="FO20" i="9"/>
  <c r="FH20" i="9"/>
  <c r="FD20" i="9"/>
  <c r="FC20" i="9"/>
  <c r="FB20" i="9"/>
  <c r="FA20" i="9"/>
  <c r="FE20" i="9" s="1"/>
  <c r="EZ20" i="9"/>
  <c r="ET20" i="9"/>
  <c r="FT20" i="9" s="1"/>
  <c r="ES20" i="9"/>
  <c r="FS20" i="9" s="1"/>
  <c r="ED20" i="9"/>
  <c r="EB20" i="9"/>
  <c r="DZ20" i="9"/>
  <c r="DP20" i="9"/>
  <c r="CE20" i="9"/>
  <c r="CD20" i="9" s="1"/>
  <c r="CF20" i="9" s="1"/>
  <c r="CB20" i="9"/>
  <c r="CA20" i="9"/>
  <c r="AY20" i="9"/>
  <c r="AZ20" i="9" s="1"/>
  <c r="K20" i="9"/>
  <c r="J20" i="9"/>
  <c r="I20" i="9" s="1"/>
  <c r="GW19" i="9"/>
  <c r="HA19" i="9" s="1"/>
  <c r="GV19" i="9"/>
  <c r="GZ19" i="9" s="1"/>
  <c r="GS19" i="9"/>
  <c r="GR19" i="9"/>
  <c r="GP19" i="9"/>
  <c r="GO19" i="9"/>
  <c r="GJ19" i="9"/>
  <c r="GH19" i="9"/>
  <c r="GC19" i="9"/>
  <c r="GB19" i="9"/>
  <c r="FZ19" i="9"/>
  <c r="FY19" i="9"/>
  <c r="FP19" i="9"/>
  <c r="FO19" i="9"/>
  <c r="FH19" i="9"/>
  <c r="FC19" i="9"/>
  <c r="FB19" i="9"/>
  <c r="FD19" i="9" s="1"/>
  <c r="FA19" i="9"/>
  <c r="EZ19" i="9"/>
  <c r="ET19" i="9"/>
  <c r="FT19" i="9" s="1"/>
  <c r="ES19" i="9"/>
  <c r="FS19" i="9" s="1"/>
  <c r="ED19" i="9"/>
  <c r="EB19" i="9"/>
  <c r="DZ19" i="9"/>
  <c r="DP19" i="9"/>
  <c r="CE19" i="9"/>
  <c r="CD19" i="9" s="1"/>
  <c r="CF19" i="9" s="1"/>
  <c r="CB19" i="9"/>
  <c r="CA19" i="9"/>
  <c r="AY19" i="9"/>
  <c r="AZ19" i="9" s="1"/>
  <c r="K19" i="9"/>
  <c r="J19" i="9"/>
  <c r="GW18" i="9"/>
  <c r="HA18" i="9" s="1"/>
  <c r="GV18" i="9"/>
  <c r="GZ18" i="9" s="1"/>
  <c r="GS18" i="9"/>
  <c r="GR18" i="9"/>
  <c r="GP18" i="9"/>
  <c r="GO18" i="9"/>
  <c r="GJ18" i="9"/>
  <c r="GH18" i="9"/>
  <c r="GC18" i="9"/>
  <c r="GB18" i="9"/>
  <c r="FZ18" i="9"/>
  <c r="FY18" i="9"/>
  <c r="FP18" i="9"/>
  <c r="FO18" i="9"/>
  <c r="FH18" i="9"/>
  <c r="FC18" i="9"/>
  <c r="FB18" i="9"/>
  <c r="FD18" i="9" s="1"/>
  <c r="FA18" i="9"/>
  <c r="EZ18" i="9"/>
  <c r="EW18" i="9"/>
  <c r="FM18" i="9" s="1"/>
  <c r="ET18" i="9"/>
  <c r="FT18" i="9" s="1"/>
  <c r="ES18" i="9"/>
  <c r="EV18" i="9" s="1"/>
  <c r="FK18" i="9" s="1"/>
  <c r="ED18" i="9"/>
  <c r="EB18" i="9"/>
  <c r="DZ18" i="9"/>
  <c r="DP18" i="9"/>
  <c r="CE18" i="9"/>
  <c r="CD18" i="9" s="1"/>
  <c r="CF18" i="9" s="1"/>
  <c r="CB18" i="9"/>
  <c r="CA18" i="9"/>
  <c r="AY18" i="9"/>
  <c r="AZ18" i="9" s="1"/>
  <c r="K18" i="9"/>
  <c r="J18" i="9"/>
  <c r="GW17" i="9"/>
  <c r="HA17" i="9" s="1"/>
  <c r="GV17" i="9"/>
  <c r="GZ249" i="9" s="1"/>
  <c r="HD249" i="9" s="1"/>
  <c r="GS17" i="9"/>
  <c r="GR17" i="9"/>
  <c r="GP17" i="9"/>
  <c r="GO17" i="9"/>
  <c r="GJ17" i="9"/>
  <c r="GH17" i="9"/>
  <c r="GC17" i="9"/>
  <c r="GB17" i="9"/>
  <c r="FZ17" i="9"/>
  <c r="FY17" i="9"/>
  <c r="FP17" i="9"/>
  <c r="FO17" i="9"/>
  <c r="FM17" i="9"/>
  <c r="FH17" i="9"/>
  <c r="FA17" i="9"/>
  <c r="EZ17" i="9"/>
  <c r="ET17" i="9"/>
  <c r="FT17" i="9" s="1"/>
  <c r="ES17" i="9"/>
  <c r="EY17" i="9" s="1"/>
  <c r="EX17" i="9" s="1"/>
  <c r="ED17" i="9"/>
  <c r="EB17" i="9"/>
  <c r="DZ17" i="9"/>
  <c r="DP17" i="9"/>
  <c r="CB17" i="9"/>
  <c r="CA17" i="9"/>
  <c r="AY17" i="9"/>
  <c r="AZ17" i="9" s="1"/>
  <c r="K17" i="9"/>
  <c r="J17" i="9"/>
  <c r="I17" i="9"/>
  <c r="GW16" i="9"/>
  <c r="HA16" i="9" s="1"/>
  <c r="GV16" i="9"/>
  <c r="GZ16" i="9" s="1"/>
  <c r="GS16" i="9"/>
  <c r="GR16" i="9"/>
  <c r="GP16" i="9"/>
  <c r="GO16" i="9"/>
  <c r="GJ16" i="9"/>
  <c r="GH16" i="9"/>
  <c r="GC16" i="9"/>
  <c r="GB16" i="9"/>
  <c r="FZ16" i="9"/>
  <c r="FY16" i="9"/>
  <c r="FP16" i="9"/>
  <c r="FO16" i="9"/>
  <c r="FH16" i="9"/>
  <c r="FC16" i="9"/>
  <c r="FE16" i="9" s="1"/>
  <c r="FB16" i="9"/>
  <c r="FD16" i="9" s="1"/>
  <c r="FA16" i="9"/>
  <c r="EZ16" i="9"/>
  <c r="ET16" i="9"/>
  <c r="FT16" i="9" s="1"/>
  <c r="ES16" i="9"/>
  <c r="FS16" i="9" s="1"/>
  <c r="ED16" i="9"/>
  <c r="EB16" i="9"/>
  <c r="DZ16" i="9"/>
  <c r="DP16" i="9"/>
  <c r="CE16" i="9"/>
  <c r="CD16" i="9" s="1"/>
  <c r="CF16" i="9" s="1"/>
  <c r="CB16" i="9"/>
  <c r="CA16" i="9"/>
  <c r="AY16" i="9"/>
  <c r="AZ16" i="9" s="1"/>
  <c r="K16" i="9"/>
  <c r="J16" i="9"/>
  <c r="GW15" i="9"/>
  <c r="HA15" i="9" s="1"/>
  <c r="GV15" i="9"/>
  <c r="GZ15" i="9" s="1"/>
  <c r="GS15" i="9"/>
  <c r="GR15" i="9"/>
  <c r="GP15" i="9"/>
  <c r="GO15" i="9"/>
  <c r="GJ15" i="9"/>
  <c r="GH15" i="9"/>
  <c r="GC15" i="9"/>
  <c r="GB15" i="9"/>
  <c r="FZ15" i="9"/>
  <c r="FY15" i="9"/>
  <c r="FP15" i="9"/>
  <c r="FO15" i="9"/>
  <c r="FH15" i="9"/>
  <c r="FC15" i="9"/>
  <c r="FE15" i="9" s="1"/>
  <c r="FB15" i="9"/>
  <c r="FD15" i="9" s="1"/>
  <c r="FA15" i="9"/>
  <c r="EZ15" i="9"/>
  <c r="EW15" i="9"/>
  <c r="FM15" i="9" s="1"/>
  <c r="ET15" i="9"/>
  <c r="FT15" i="9" s="1"/>
  <c r="ES15" i="9"/>
  <c r="EV15" i="9" s="1"/>
  <c r="FK15" i="9" s="1"/>
  <c r="ED15" i="9"/>
  <c r="EB15" i="9"/>
  <c r="DZ15" i="9"/>
  <c r="DP15" i="9"/>
  <c r="CE15" i="9"/>
  <c r="CD15" i="9" s="1"/>
  <c r="CF15" i="9" s="1"/>
  <c r="CB15" i="9"/>
  <c r="CA15" i="9"/>
  <c r="AY15" i="9"/>
  <c r="AZ15" i="9" s="1"/>
  <c r="K15" i="9"/>
  <c r="J15" i="9"/>
  <c r="GW14" i="9"/>
  <c r="HA14" i="9" s="1"/>
  <c r="GV14" i="9"/>
  <c r="GZ14" i="9" s="1"/>
  <c r="GS14" i="9"/>
  <c r="GR14" i="9"/>
  <c r="GP14" i="9"/>
  <c r="GO14" i="9"/>
  <c r="GJ14" i="9"/>
  <c r="GH14" i="9"/>
  <c r="GK14" i="9" s="1"/>
  <c r="GC14" i="9"/>
  <c r="GB14" i="9"/>
  <c r="FZ14" i="9"/>
  <c r="FY14" i="9"/>
  <c r="FP14" i="9"/>
  <c r="FO14" i="9"/>
  <c r="FH14" i="9"/>
  <c r="FC14" i="9"/>
  <c r="FB14" i="9"/>
  <c r="FD14" i="9" s="1"/>
  <c r="FA14" i="9"/>
  <c r="EZ14" i="9"/>
  <c r="EV14" i="9"/>
  <c r="FK14" i="9" s="1"/>
  <c r="ET14" i="9"/>
  <c r="FT14" i="9" s="1"/>
  <c r="ES14" i="9"/>
  <c r="FS14" i="9" s="1"/>
  <c r="ED14" i="9"/>
  <c r="EB14" i="9"/>
  <c r="DZ14" i="9"/>
  <c r="DP14" i="9"/>
  <c r="CE14" i="9"/>
  <c r="CD14" i="9" s="1"/>
  <c r="CF14" i="9" s="1"/>
  <c r="CB14" i="9"/>
  <c r="CA14" i="9"/>
  <c r="AY14" i="9"/>
  <c r="AZ14" i="9" s="1"/>
  <c r="K14" i="9"/>
  <c r="J14" i="9"/>
  <c r="GW13" i="9"/>
  <c r="HA256" i="9" s="1"/>
  <c r="HE256" i="9" s="1"/>
  <c r="GV13" i="9"/>
  <c r="GZ256" i="9" s="1"/>
  <c r="HD256" i="9" s="1"/>
  <c r="GS13" i="9"/>
  <c r="GR13" i="9"/>
  <c r="GP13" i="9"/>
  <c r="GO13" i="9"/>
  <c r="GJ13" i="9"/>
  <c r="GH13" i="9"/>
  <c r="GC13" i="9"/>
  <c r="GB13" i="9"/>
  <c r="FZ13" i="9"/>
  <c r="FY13" i="9"/>
  <c r="FP13" i="9"/>
  <c r="FO13" i="9"/>
  <c r="FH13" i="9"/>
  <c r="FA13" i="9"/>
  <c r="EZ13" i="9"/>
  <c r="ET13" i="9"/>
  <c r="FT13" i="9" s="1"/>
  <c r="ES13" i="9"/>
  <c r="EV13" i="9" s="1"/>
  <c r="FK13" i="9" s="1"/>
  <c r="ED13" i="9"/>
  <c r="EB13" i="9"/>
  <c r="DZ13" i="9"/>
  <c r="DP13" i="9"/>
  <c r="CE13" i="9"/>
  <c r="CE249" i="9" s="1"/>
  <c r="CB13" i="9"/>
  <c r="CA13" i="9"/>
  <c r="AZ13" i="9"/>
  <c r="AY13" i="9"/>
  <c r="K13" i="9"/>
  <c r="J13" i="9"/>
  <c r="GW12" i="9"/>
  <c r="HA12" i="9" s="1"/>
  <c r="GV12" i="9"/>
  <c r="GZ12" i="9" s="1"/>
  <c r="GS12" i="9"/>
  <c r="GR12" i="9"/>
  <c r="GP12" i="9"/>
  <c r="GO12" i="9"/>
  <c r="GJ12" i="9"/>
  <c r="GH12" i="9"/>
  <c r="GC12" i="9"/>
  <c r="GB12" i="9"/>
  <c r="FZ12" i="9"/>
  <c r="FY12" i="9"/>
  <c r="FT12" i="9"/>
  <c r="FP12" i="9"/>
  <c r="FO12" i="9"/>
  <c r="FH12" i="9"/>
  <c r="FD12" i="9"/>
  <c r="FC12" i="9"/>
  <c r="FB12" i="9"/>
  <c r="FA12" i="9"/>
  <c r="EZ12" i="9"/>
  <c r="ET12" i="9"/>
  <c r="EW12" i="9" s="1"/>
  <c r="FM12" i="9" s="1"/>
  <c r="ES12" i="9"/>
  <c r="FS12" i="9" s="1"/>
  <c r="ED12" i="9"/>
  <c r="EB12" i="9"/>
  <c r="DZ12" i="9"/>
  <c r="DP12" i="9"/>
  <c r="CE12" i="9"/>
  <c r="CG12" i="9" s="1"/>
  <c r="CD12" i="9"/>
  <c r="CF12" i="9" s="1"/>
  <c r="CB12" i="9"/>
  <c r="CA12" i="9"/>
  <c r="AY12" i="9"/>
  <c r="AZ12" i="9" s="1"/>
  <c r="K12" i="9"/>
  <c r="J12" i="9"/>
  <c r="GW11" i="9"/>
  <c r="HA11" i="9" s="1"/>
  <c r="GV11" i="9"/>
  <c r="GS11" i="9"/>
  <c r="GR11" i="9"/>
  <c r="GP11" i="9"/>
  <c r="GO11" i="9"/>
  <c r="GJ11" i="9"/>
  <c r="GH11" i="9"/>
  <c r="GC11" i="9"/>
  <c r="GB11" i="9"/>
  <c r="FZ11" i="9"/>
  <c r="FY11" i="9"/>
  <c r="FP11" i="9"/>
  <c r="FV11" i="9" s="1"/>
  <c r="FO11" i="9"/>
  <c r="FH11" i="9"/>
  <c r="FC11" i="9"/>
  <c r="FB11" i="9"/>
  <c r="FD11" i="9" s="1"/>
  <c r="FA11" i="9"/>
  <c r="EZ11" i="9"/>
  <c r="ET11" i="9"/>
  <c r="FT11" i="9" s="1"/>
  <c r="ES11" i="9"/>
  <c r="FS11" i="9" s="1"/>
  <c r="ED11" i="9"/>
  <c r="EB11" i="9"/>
  <c r="DZ11" i="9"/>
  <c r="DP11" i="9"/>
  <c r="CE11" i="9"/>
  <c r="CD11" i="9" s="1"/>
  <c r="CF11" i="9" s="1"/>
  <c r="CB11" i="9"/>
  <c r="CA11" i="9"/>
  <c r="AY11" i="9"/>
  <c r="AZ11" i="9" s="1"/>
  <c r="K11" i="9"/>
  <c r="J11" i="9"/>
  <c r="GW10" i="9"/>
  <c r="HA10" i="9" s="1"/>
  <c r="GV10" i="9"/>
  <c r="GZ10" i="9" s="1"/>
  <c r="GS10" i="9"/>
  <c r="GR10" i="9"/>
  <c r="GP10" i="9"/>
  <c r="GO10" i="9"/>
  <c r="GJ10" i="9"/>
  <c r="GH10" i="9"/>
  <c r="GC10" i="9"/>
  <c r="GB10" i="9"/>
  <c r="FZ10" i="9"/>
  <c r="FY10" i="9"/>
  <c r="FP10" i="9"/>
  <c r="FO10" i="9"/>
  <c r="FH10" i="9"/>
  <c r="FC10" i="9"/>
  <c r="FB10" i="9"/>
  <c r="FD10" i="9" s="1"/>
  <c r="FA10" i="9"/>
  <c r="EZ10" i="9"/>
  <c r="EV10" i="9"/>
  <c r="FK10" i="9" s="1"/>
  <c r="ET10" i="9"/>
  <c r="EW10" i="9" s="1"/>
  <c r="FM10" i="9" s="1"/>
  <c r="ES10" i="9"/>
  <c r="FS10" i="9" s="1"/>
  <c r="ED10" i="9"/>
  <c r="EB10" i="9"/>
  <c r="DZ10" i="9"/>
  <c r="DP10" i="9"/>
  <c r="CG10" i="9"/>
  <c r="CE10" i="9"/>
  <c r="CD10" i="9" s="1"/>
  <c r="CF10" i="9" s="1"/>
  <c r="CB10" i="9"/>
  <c r="CA10" i="9"/>
  <c r="AY10" i="9"/>
  <c r="AZ10" i="9" s="1"/>
  <c r="K10" i="9"/>
  <c r="J10" i="9"/>
  <c r="I10" i="9" s="1"/>
  <c r="GW9" i="9"/>
  <c r="HA9" i="9" s="1"/>
  <c r="GV9" i="9"/>
  <c r="GZ9" i="9" s="1"/>
  <c r="GS9" i="9"/>
  <c r="GR9" i="9"/>
  <c r="GP9" i="9"/>
  <c r="GO9" i="9"/>
  <c r="GJ9" i="9"/>
  <c r="GH9" i="9"/>
  <c r="GC9" i="9"/>
  <c r="GB9" i="9"/>
  <c r="FZ9" i="9"/>
  <c r="FY9" i="9"/>
  <c r="FP9" i="9"/>
  <c r="FO9" i="9"/>
  <c r="FH9" i="9"/>
  <c r="FC9" i="9"/>
  <c r="FB9" i="9"/>
  <c r="FD9" i="9" s="1"/>
  <c r="FA9" i="9"/>
  <c r="FE9" i="9" s="1"/>
  <c r="EZ9" i="9"/>
  <c r="ET9" i="9"/>
  <c r="FT9" i="9" s="1"/>
  <c r="ES9" i="9"/>
  <c r="EV9" i="9" s="1"/>
  <c r="FK9" i="9" s="1"/>
  <c r="ED9" i="9"/>
  <c r="EB9" i="9"/>
  <c r="DZ9" i="9"/>
  <c r="DP9" i="9"/>
  <c r="CE9" i="9"/>
  <c r="CD9" i="9" s="1"/>
  <c r="CF9" i="9" s="1"/>
  <c r="CB9" i="9"/>
  <c r="CA9" i="9"/>
  <c r="AZ9" i="9"/>
  <c r="AY9" i="9"/>
  <c r="K9" i="9"/>
  <c r="J9" i="9"/>
  <c r="BQ1" i="9"/>
  <c r="G1" i="9"/>
  <c r="FT10" i="9" l="1"/>
  <c r="GX11" i="9"/>
  <c r="HB11" i="9" s="1"/>
  <c r="GK12" i="9"/>
  <c r="I13" i="9"/>
  <c r="FO255" i="9"/>
  <c r="CG14" i="9"/>
  <c r="FV18" i="9"/>
  <c r="FE19" i="9"/>
  <c r="GK19" i="9"/>
  <c r="GX19" i="9"/>
  <c r="HB19" i="9" s="1"/>
  <c r="GK29" i="9"/>
  <c r="GK31" i="9"/>
  <c r="GX32" i="9"/>
  <c r="HB32" i="9" s="1"/>
  <c r="FT33" i="9"/>
  <c r="GK34" i="9"/>
  <c r="GX34" i="9"/>
  <c r="HB34" i="9" s="1"/>
  <c r="CG35" i="9"/>
  <c r="EV36" i="9"/>
  <c r="FK36" i="9" s="1"/>
  <c r="GK36" i="9"/>
  <c r="I37" i="9"/>
  <c r="GK37" i="9"/>
  <c r="I38" i="9"/>
  <c r="EX38" i="9"/>
  <c r="EV39" i="9"/>
  <c r="FK39" i="9" s="1"/>
  <c r="I40" i="9"/>
  <c r="EX41" i="9"/>
  <c r="EV42" i="9"/>
  <c r="FK42" i="9" s="1"/>
  <c r="I45" i="9"/>
  <c r="GX45" i="9"/>
  <c r="HB45" i="9" s="1"/>
  <c r="EV46" i="9"/>
  <c r="FK46" i="9" s="1"/>
  <c r="GX49" i="9"/>
  <c r="HB49" i="9" s="1"/>
  <c r="I52" i="9"/>
  <c r="EV53" i="9"/>
  <c r="FK53" i="9" s="1"/>
  <c r="FS53" i="9"/>
  <c r="GK55" i="9"/>
  <c r="GK56" i="9"/>
  <c r="FV62" i="9"/>
  <c r="FH256" i="9"/>
  <c r="FH258" i="9" s="1"/>
  <c r="GK17" i="9"/>
  <c r="I18" i="9"/>
  <c r="FE18" i="9"/>
  <c r="GK18" i="9"/>
  <c r="I19" i="9"/>
  <c r="EV21" i="9"/>
  <c r="FK21" i="9" s="1"/>
  <c r="GK21" i="9"/>
  <c r="I22" i="9"/>
  <c r="GK23" i="9"/>
  <c r="I24" i="9"/>
  <c r="GK25" i="9"/>
  <c r="I26" i="9"/>
  <c r="GK27" i="9"/>
  <c r="I28" i="9"/>
  <c r="I29" i="9"/>
  <c r="I32" i="9"/>
  <c r="I34" i="9"/>
  <c r="I36" i="9"/>
  <c r="FT44" i="9"/>
  <c r="EV45" i="9"/>
  <c r="FK45" i="9" s="1"/>
  <c r="FE45" i="9"/>
  <c r="GX48" i="9"/>
  <c r="HB48" i="9" s="1"/>
  <c r="GX51" i="9"/>
  <c r="HB51" i="9" s="1"/>
  <c r="CD52" i="9"/>
  <c r="CF52" i="9" s="1"/>
  <c r="GK53" i="9"/>
  <c r="EW56" i="9"/>
  <c r="FM56" i="9" s="1"/>
  <c r="FT56" i="9"/>
  <c r="EV11" i="9"/>
  <c r="FK11" i="9" s="1"/>
  <c r="I9" i="9"/>
  <c r="GK9" i="9"/>
  <c r="I11" i="9"/>
  <c r="EW11" i="9"/>
  <c r="FM11" i="9" s="1"/>
  <c r="FE11" i="9"/>
  <c r="GK13" i="9"/>
  <c r="FV15" i="9"/>
  <c r="GK16" i="9"/>
  <c r="GX16" i="9"/>
  <c r="HB16" i="9" s="1"/>
  <c r="GK20" i="9"/>
  <c r="GK22" i="9"/>
  <c r="GK24" i="9"/>
  <c r="GK26" i="9"/>
  <c r="FV43" i="9"/>
  <c r="FU46" i="9"/>
  <c r="I47" i="9"/>
  <c r="FS61" i="9"/>
  <c r="EV61" i="9"/>
  <c r="FK61" i="9" s="1"/>
  <c r="FV29" i="9"/>
  <c r="HA252" i="9"/>
  <c r="FV33" i="9"/>
  <c r="FS35" i="9"/>
  <c r="EV37" i="9"/>
  <c r="FK37" i="9" s="1"/>
  <c r="EV38" i="9"/>
  <c r="FK38" i="9" s="1"/>
  <c r="EX40" i="9"/>
  <c r="GK40" i="9"/>
  <c r="EV41" i="9"/>
  <c r="FK41" i="9" s="1"/>
  <c r="FU45" i="9"/>
  <c r="FV46" i="9"/>
  <c r="FE54" i="9"/>
  <c r="CD59" i="9"/>
  <c r="CF59" i="9" s="1"/>
  <c r="EV59" i="9"/>
  <c r="FK59" i="9" s="1"/>
  <c r="I60" i="9"/>
  <c r="GX60" i="9"/>
  <c r="HB60" i="9" s="1"/>
  <c r="GK61" i="9"/>
  <c r="EV62" i="9"/>
  <c r="FK62" i="9" s="1"/>
  <c r="GK62" i="9"/>
  <c r="GK63" i="9"/>
  <c r="EV65" i="9"/>
  <c r="FK65" i="9" s="1"/>
  <c r="GX65" i="9"/>
  <c r="HB65" i="9" s="1"/>
  <c r="I67" i="9"/>
  <c r="I70" i="9"/>
  <c r="FS73" i="9"/>
  <c r="GK76" i="9"/>
  <c r="I82" i="9"/>
  <c r="GX82" i="9"/>
  <c r="HB82" i="9" s="1"/>
  <c r="GK85" i="9"/>
  <c r="FS87" i="9"/>
  <c r="GX91" i="9"/>
  <c r="HB91" i="9" s="1"/>
  <c r="I93" i="9"/>
  <c r="GK93" i="9"/>
  <c r="FT94" i="9"/>
  <c r="FV97" i="9"/>
  <c r="I101" i="9"/>
  <c r="I103" i="9"/>
  <c r="EX104" i="9"/>
  <c r="I105" i="9"/>
  <c r="EX105" i="9"/>
  <c r="FE108" i="9"/>
  <c r="FT108" i="9"/>
  <c r="FV110" i="9"/>
  <c r="I111" i="9"/>
  <c r="FS111" i="9"/>
  <c r="FU111" i="9" s="1"/>
  <c r="I117" i="9"/>
  <c r="EX117" i="9"/>
  <c r="I121" i="9"/>
  <c r="GK125" i="9"/>
  <c r="FU128" i="9"/>
  <c r="EV132" i="9"/>
  <c r="FK132" i="9" s="1"/>
  <c r="I133" i="9"/>
  <c r="GK135" i="9"/>
  <c r="GK137" i="9"/>
  <c r="GX138" i="9"/>
  <c r="HB138" i="9" s="1"/>
  <c r="EV139" i="9"/>
  <c r="FK139" i="9" s="1"/>
  <c r="GK143" i="9"/>
  <c r="EV144" i="9"/>
  <c r="FK144" i="9" s="1"/>
  <c r="GZ146" i="9"/>
  <c r="GK147" i="9"/>
  <c r="GK148" i="9"/>
  <c r="CG154" i="9"/>
  <c r="FV52" i="9"/>
  <c r="GK57" i="9"/>
  <c r="I58" i="9"/>
  <c r="GX58" i="9"/>
  <c r="HB58" i="9" s="1"/>
  <c r="FV60" i="9"/>
  <c r="I62" i="9"/>
  <c r="GK68" i="9"/>
  <c r="GK70" i="9"/>
  <c r="GK72" i="9"/>
  <c r="GK73" i="9"/>
  <c r="FV82" i="9"/>
  <c r="GK83" i="9"/>
  <c r="GX84" i="9"/>
  <c r="HB84" i="9" s="1"/>
  <c r="FV85" i="9"/>
  <c r="GK87" i="9"/>
  <c r="EV90" i="9"/>
  <c r="FK90" i="9" s="1"/>
  <c r="EV91" i="9"/>
  <c r="FK91" i="9" s="1"/>
  <c r="FE92" i="9"/>
  <c r="GX92" i="9"/>
  <c r="HB92" i="9" s="1"/>
  <c r="FS93" i="9"/>
  <c r="FU93" i="9" s="1"/>
  <c r="GX100" i="9"/>
  <c r="HB100" i="9" s="1"/>
  <c r="GK101" i="9"/>
  <c r="GX102" i="9"/>
  <c r="HB102" i="9" s="1"/>
  <c r="GK103" i="9"/>
  <c r="EY105" i="9"/>
  <c r="FS105" i="9"/>
  <c r="EX106" i="9"/>
  <c r="EY107" i="9"/>
  <c r="FS107" i="9"/>
  <c r="GK108" i="9"/>
  <c r="GX109" i="9"/>
  <c r="HB109" i="9" s="1"/>
  <c r="EV112" i="9"/>
  <c r="FK112" i="9" s="1"/>
  <c r="GK114" i="9"/>
  <c r="EX115" i="9"/>
  <c r="FU116" i="9"/>
  <c r="GK119" i="9"/>
  <c r="GX120" i="9"/>
  <c r="HB120" i="9" s="1"/>
  <c r="GK121" i="9"/>
  <c r="GX121" i="9"/>
  <c r="HB121" i="9" s="1"/>
  <c r="EV125" i="9"/>
  <c r="FK125" i="9" s="1"/>
  <c r="I126" i="9"/>
  <c r="FV129" i="9"/>
  <c r="GK133" i="9"/>
  <c r="GK138" i="9"/>
  <c r="I139" i="9"/>
  <c r="EV140" i="9"/>
  <c r="FK140" i="9" s="1"/>
  <c r="GK141" i="9"/>
  <c r="I142" i="9"/>
  <c r="EV143" i="9"/>
  <c r="FK143" i="9" s="1"/>
  <c r="I144" i="9"/>
  <c r="CD146" i="9"/>
  <c r="CF146" i="9" s="1"/>
  <c r="I147" i="9"/>
  <c r="FE147" i="9"/>
  <c r="FS148" i="9"/>
  <c r="EV148" i="9"/>
  <c r="FK148" i="9" s="1"/>
  <c r="FB149" i="9"/>
  <c r="EY153" i="9"/>
  <c r="EX153" i="9" s="1"/>
  <c r="EV153" i="9"/>
  <c r="FK153" i="9" s="1"/>
  <c r="FS153" i="9"/>
  <c r="FB156" i="9"/>
  <c r="EY156" i="9"/>
  <c r="EX156" i="9" s="1"/>
  <c r="FU61" i="9"/>
  <c r="I66" i="9"/>
  <c r="FT66" i="9"/>
  <c r="FV66" i="9" s="1"/>
  <c r="GK71" i="9"/>
  <c r="I73" i="9"/>
  <c r="I74" i="9"/>
  <c r="GX81" i="9"/>
  <c r="HB81" i="9" s="1"/>
  <c r="I84" i="9"/>
  <c r="I88" i="9"/>
  <c r="GK91" i="9"/>
  <c r="GK99" i="9"/>
  <c r="I112" i="9"/>
  <c r="FU125" i="9"/>
  <c r="GK129" i="9"/>
  <c r="GK134" i="9"/>
  <c r="I135" i="9"/>
  <c r="GK136" i="9"/>
  <c r="GK140" i="9"/>
  <c r="FS159" i="9"/>
  <c r="FV94" i="9"/>
  <c r="FS146" i="9"/>
  <c r="FU146" i="9" s="1"/>
  <c r="EW148" i="9"/>
  <c r="FM148" i="9" s="1"/>
  <c r="FS155" i="9"/>
  <c r="FU155" i="9" s="1"/>
  <c r="FV158" i="9"/>
  <c r="I163" i="9"/>
  <c r="I165" i="9"/>
  <c r="GK166" i="9"/>
  <c r="FV168" i="9"/>
  <c r="GX171" i="9"/>
  <c r="HB171" i="9" s="1"/>
  <c r="FV172" i="9"/>
  <c r="GZ173" i="9"/>
  <c r="EV174" i="9"/>
  <c r="FK174" i="9" s="1"/>
  <c r="GZ174" i="9"/>
  <c r="EV175" i="9"/>
  <c r="FK175" i="9" s="1"/>
  <c r="GZ175" i="9"/>
  <c r="EV176" i="9"/>
  <c r="FK176" i="9" s="1"/>
  <c r="GX176" i="9"/>
  <c r="HB176" i="9" s="1"/>
  <c r="GX178" i="9"/>
  <c r="HB178" i="9" s="1"/>
  <c r="GK180" i="9"/>
  <c r="I182" i="9"/>
  <c r="GK182" i="9"/>
  <c r="I186" i="9"/>
  <c r="EX188" i="9"/>
  <c r="EV190" i="9"/>
  <c r="FK190" i="9" s="1"/>
  <c r="I191" i="9"/>
  <c r="I193" i="9"/>
  <c r="FE206" i="9"/>
  <c r="GK207" i="9"/>
  <c r="GZ207" i="9"/>
  <c r="FU209" i="9"/>
  <c r="FU210" i="9"/>
  <c r="I211" i="9"/>
  <c r="EV211" i="9"/>
  <c r="FK211" i="9" s="1"/>
  <c r="GK211" i="9"/>
  <c r="GX213" i="9"/>
  <c r="HB213" i="9" s="1"/>
  <c r="FU217" i="9"/>
  <c r="FV219" i="9"/>
  <c r="I223" i="9"/>
  <c r="I225" i="9"/>
  <c r="I232" i="9"/>
  <c r="GK234" i="9"/>
  <c r="EV235" i="9"/>
  <c r="FK235" i="9" s="1"/>
  <c r="FS237" i="9"/>
  <c r="AD245" i="9"/>
  <c r="FU175" i="9"/>
  <c r="GX181" i="9"/>
  <c r="HB181" i="9" s="1"/>
  <c r="I185" i="9"/>
  <c r="EX190" i="9"/>
  <c r="FV201" i="9"/>
  <c r="GK203" i="9"/>
  <c r="GK212" i="9"/>
  <c r="I213" i="9"/>
  <c r="FS214" i="9"/>
  <c r="FV215" i="9"/>
  <c r="GK218" i="9"/>
  <c r="GK221" i="9"/>
  <c r="V245" i="9"/>
  <c r="GY258" i="9"/>
  <c r="FV154" i="9"/>
  <c r="GK160" i="9"/>
  <c r="GK186" i="9"/>
  <c r="GK228" i="9"/>
  <c r="FU237" i="9"/>
  <c r="GK237" i="9"/>
  <c r="FV148" i="9"/>
  <c r="GK155" i="9"/>
  <c r="GK158" i="9"/>
  <c r="I159" i="9"/>
  <c r="FB161" i="9"/>
  <c r="GK168" i="9"/>
  <c r="FV170" i="9"/>
  <c r="I172" i="9"/>
  <c r="GK173" i="9"/>
  <c r="GK175" i="9"/>
  <c r="GK177" i="9"/>
  <c r="I178" i="9"/>
  <c r="GK179" i="9"/>
  <c r="I180" i="9"/>
  <c r="GZ181" i="9"/>
  <c r="EX187" i="9"/>
  <c r="I188" i="9"/>
  <c r="EV188" i="9"/>
  <c r="FK188" i="9" s="1"/>
  <c r="GK188" i="9"/>
  <c r="GZ192" i="9"/>
  <c r="I199" i="9"/>
  <c r="I200" i="9"/>
  <c r="I203" i="9"/>
  <c r="I205" i="9"/>
  <c r="I206" i="9"/>
  <c r="I207" i="9"/>
  <c r="FV207" i="9"/>
  <c r="EV209" i="9"/>
  <c r="FK209" i="9" s="1"/>
  <c r="I210" i="9"/>
  <c r="EV210" i="9"/>
  <c r="FK210" i="9" s="1"/>
  <c r="GK213" i="9"/>
  <c r="FU214" i="9"/>
  <c r="I216" i="9"/>
  <c r="FU218" i="9"/>
  <c r="GK220" i="9"/>
  <c r="FS222" i="9"/>
  <c r="I228" i="9"/>
  <c r="GK229" i="9"/>
  <c r="GK230" i="9"/>
  <c r="EW232" i="9"/>
  <c r="FM232" i="9" s="1"/>
  <c r="FV233" i="9"/>
  <c r="FU233" i="9"/>
  <c r="EY236" i="9"/>
  <c r="EX236" i="9" s="1"/>
  <c r="GK236" i="9"/>
  <c r="I237" i="9"/>
  <c r="GX237" i="9"/>
  <c r="HB237" i="9" s="1"/>
  <c r="I238" i="9"/>
  <c r="O245" i="9"/>
  <c r="Z245" i="9"/>
  <c r="AH245" i="9"/>
  <c r="AL245" i="9"/>
  <c r="AT245" i="9"/>
  <c r="BD245" i="9"/>
  <c r="W245" i="9"/>
  <c r="AA245" i="9"/>
  <c r="AE245" i="9"/>
  <c r="AI245" i="9"/>
  <c r="AM245" i="9"/>
  <c r="AQ245" i="9"/>
  <c r="AU245" i="9"/>
  <c r="FU28" i="9"/>
  <c r="GX53" i="9"/>
  <c r="HB53" i="9" s="1"/>
  <c r="I55" i="9"/>
  <c r="GX56" i="9"/>
  <c r="HB56" i="9" s="1"/>
  <c r="CG57" i="9"/>
  <c r="FU57" i="9"/>
  <c r="I59" i="9"/>
  <c r="FU59" i="9"/>
  <c r="FV59" i="9"/>
  <c r="GX59" i="9"/>
  <c r="HB59" i="9" s="1"/>
  <c r="CD60" i="9"/>
  <c r="CF60" i="9" s="1"/>
  <c r="FV61" i="9"/>
  <c r="GX61" i="9"/>
  <c r="HB61" i="9" s="1"/>
  <c r="EW62" i="9"/>
  <c r="FM62" i="9" s="1"/>
  <c r="FE62" i="9"/>
  <c r="GX13" i="9"/>
  <c r="HB13" i="9" s="1"/>
  <c r="FS15" i="9"/>
  <c r="EW16" i="9"/>
  <c r="FM16" i="9" s="1"/>
  <c r="FS18" i="9"/>
  <c r="FU18" i="9" s="1"/>
  <c r="EW19" i="9"/>
  <c r="FM19" i="9" s="1"/>
  <c r="GX20" i="9"/>
  <c r="HB20" i="9" s="1"/>
  <c r="FB22" i="9"/>
  <c r="FV22" i="9"/>
  <c r="FB24" i="9"/>
  <c r="FV24" i="9"/>
  <c r="FB26" i="9"/>
  <c r="FV26" i="9"/>
  <c r="HA27" i="9"/>
  <c r="FT37" i="9"/>
  <c r="FV37" i="9" s="1"/>
  <c r="GK38" i="9"/>
  <c r="I41" i="9"/>
  <c r="GK41" i="9"/>
  <c r="GK44" i="9"/>
  <c r="EW46" i="9"/>
  <c r="FM46" i="9" s="1"/>
  <c r="FE46" i="9"/>
  <c r="EW47" i="9"/>
  <c r="FM47" i="9" s="1"/>
  <c r="FE47" i="9"/>
  <c r="FV47" i="9"/>
  <c r="EW48" i="9"/>
  <c r="FM48" i="9" s="1"/>
  <c r="FE48" i="9"/>
  <c r="FE49" i="9"/>
  <c r="EV50" i="9"/>
  <c r="FK50" i="9" s="1"/>
  <c r="FE50" i="9"/>
  <c r="FT50" i="9"/>
  <c r="FV50" i="9" s="1"/>
  <c r="EW51" i="9"/>
  <c r="FM51" i="9" s="1"/>
  <c r="FE51" i="9"/>
  <c r="FU53" i="9"/>
  <c r="EV54" i="9"/>
  <c r="FK54" i="9" s="1"/>
  <c r="FT54" i="9"/>
  <c r="FV54" i="9" s="1"/>
  <c r="EW55" i="9"/>
  <c r="FM55" i="9" s="1"/>
  <c r="EV57" i="9"/>
  <c r="FK57" i="9" s="1"/>
  <c r="EV60" i="9"/>
  <c r="FK60" i="9" s="1"/>
  <c r="GZ60" i="9"/>
  <c r="CG9" i="9"/>
  <c r="GB255" i="9"/>
  <c r="GX12" i="9"/>
  <c r="HB12" i="9" s="1"/>
  <c r="CG13" i="9"/>
  <c r="FS9" i="9"/>
  <c r="FU9" i="9" s="1"/>
  <c r="FE10" i="9"/>
  <c r="GK10" i="9"/>
  <c r="GK11" i="9"/>
  <c r="GZ11" i="9"/>
  <c r="FE12" i="9"/>
  <c r="GZ13" i="9"/>
  <c r="FE14" i="9"/>
  <c r="I15" i="9"/>
  <c r="GK15" i="9"/>
  <c r="I16" i="9"/>
  <c r="FV16" i="9"/>
  <c r="FV19" i="9"/>
  <c r="FE21" i="9"/>
  <c r="EV22" i="9"/>
  <c r="FK22" i="9" s="1"/>
  <c r="FS22" i="9"/>
  <c r="FU22" i="9" s="1"/>
  <c r="EV24" i="9"/>
  <c r="FK24" i="9" s="1"/>
  <c r="FS24" i="9"/>
  <c r="FU24" i="9" s="1"/>
  <c r="EV26" i="9"/>
  <c r="FK26" i="9" s="1"/>
  <c r="FS26" i="9"/>
  <c r="FU26" i="9" s="1"/>
  <c r="EV28" i="9"/>
  <c r="FK28" i="9" s="1"/>
  <c r="I30" i="9"/>
  <c r="EY30" i="9"/>
  <c r="I31" i="9"/>
  <c r="GX31" i="9"/>
  <c r="HB31" i="9" s="1"/>
  <c r="GK33" i="9"/>
  <c r="GX33" i="9"/>
  <c r="HB33" i="9" s="1"/>
  <c r="FE35" i="9"/>
  <c r="GX35" i="9"/>
  <c r="HB35" i="9" s="1"/>
  <c r="I39" i="9"/>
  <c r="EX39" i="9"/>
  <c r="GK39" i="9"/>
  <c r="I42" i="9"/>
  <c r="EW42" i="9"/>
  <c r="FM42" i="9" s="1"/>
  <c r="GK42" i="9"/>
  <c r="GZ42" i="9"/>
  <c r="GK43" i="9"/>
  <c r="GX43" i="9"/>
  <c r="HB43" i="9" s="1"/>
  <c r="GZ45" i="9"/>
  <c r="GZ49" i="9"/>
  <c r="GK50" i="9"/>
  <c r="GK52" i="9"/>
  <c r="GX52" i="9"/>
  <c r="HB52" i="9" s="1"/>
  <c r="CG53" i="9"/>
  <c r="I54" i="9"/>
  <c r="FU55" i="9"/>
  <c r="I56" i="9"/>
  <c r="GX57" i="9"/>
  <c r="HB57" i="9" s="1"/>
  <c r="CD58" i="9"/>
  <c r="I61" i="9"/>
  <c r="FV10" i="9"/>
  <c r="FU11" i="9"/>
  <c r="I12" i="9"/>
  <c r="FV12" i="9"/>
  <c r="FS13" i="9"/>
  <c r="I14" i="9"/>
  <c r="FU15" i="9"/>
  <c r="FV17" i="9"/>
  <c r="CG20" i="9"/>
  <c r="I21" i="9"/>
  <c r="FC22" i="9"/>
  <c r="FV23" i="9"/>
  <c r="FC24" i="9"/>
  <c r="FV25" i="9"/>
  <c r="FC26" i="9"/>
  <c r="FV27" i="9"/>
  <c r="EW28" i="9"/>
  <c r="FM28" i="9" s="1"/>
  <c r="GK28" i="9"/>
  <c r="GZ28" i="9"/>
  <c r="GX29" i="9"/>
  <c r="GX30" i="9"/>
  <c r="HB30" i="9" s="1"/>
  <c r="FV31" i="9"/>
  <c r="GK32" i="9"/>
  <c r="GZ32" i="9"/>
  <c r="FE33" i="9"/>
  <c r="FU33" i="9"/>
  <c r="FU35" i="9"/>
  <c r="FE37" i="9"/>
  <c r="EV40" i="9"/>
  <c r="FK40" i="9" s="1"/>
  <c r="FU42" i="9"/>
  <c r="I43" i="9"/>
  <c r="CD46" i="9"/>
  <c r="CF46" i="9" s="1"/>
  <c r="GK46" i="9"/>
  <c r="GK47" i="9"/>
  <c r="I48" i="9"/>
  <c r="I50" i="9"/>
  <c r="EV58" i="9"/>
  <c r="FK58" i="9" s="1"/>
  <c r="GZ58" i="9"/>
  <c r="FU62" i="9"/>
  <c r="FS66" i="9"/>
  <c r="EV66" i="9"/>
  <c r="FK66" i="9" s="1"/>
  <c r="I68" i="9"/>
  <c r="FS70" i="9"/>
  <c r="GX80" i="9"/>
  <c r="HB80" i="9" s="1"/>
  <c r="FV86" i="9"/>
  <c r="FT88" i="9"/>
  <c r="I90" i="9"/>
  <c r="FT90" i="9"/>
  <c r="FV90" i="9" s="1"/>
  <c r="I91" i="9"/>
  <c r="FU91" i="9"/>
  <c r="I92" i="9"/>
  <c r="EW92" i="9"/>
  <c r="FM92" i="9" s="1"/>
  <c r="I94" i="9"/>
  <c r="GK94" i="9"/>
  <c r="I96" i="9"/>
  <c r="GK97" i="9"/>
  <c r="GK98" i="9"/>
  <c r="EW99" i="9"/>
  <c r="FM99" i="9" s="1"/>
  <c r="I106" i="9"/>
  <c r="EY106" i="9"/>
  <c r="FS106" i="9"/>
  <c r="GX106" i="9"/>
  <c r="HB106" i="9" s="1"/>
  <c r="HA107" i="9"/>
  <c r="I110" i="9"/>
  <c r="FV113" i="9"/>
  <c r="I115" i="9"/>
  <c r="CD115" i="9"/>
  <c r="CF115" i="9" s="1"/>
  <c r="CG115" i="9"/>
  <c r="CD117" i="9"/>
  <c r="CF117" i="9" s="1"/>
  <c r="CG117" i="9"/>
  <c r="GK123" i="9"/>
  <c r="FS147" i="9"/>
  <c r="FU147" i="9" s="1"/>
  <c r="EV147" i="9"/>
  <c r="FK147" i="9" s="1"/>
  <c r="HA151" i="9"/>
  <c r="GX151" i="9"/>
  <c r="HB151" i="9" s="1"/>
  <c r="GZ159" i="9"/>
  <c r="GX159" i="9"/>
  <c r="HB159" i="9" s="1"/>
  <c r="FS186" i="9"/>
  <c r="EV186" i="9"/>
  <c r="FK186" i="9" s="1"/>
  <c r="EX186" i="9"/>
  <c r="FS189" i="9"/>
  <c r="EX189" i="9"/>
  <c r="EV189" i="9"/>
  <c r="FK189" i="9" s="1"/>
  <c r="CD219" i="9"/>
  <c r="CF219" i="9" s="1"/>
  <c r="CG219" i="9"/>
  <c r="FU63" i="9"/>
  <c r="I64" i="9"/>
  <c r="FT64" i="9"/>
  <c r="FE65" i="9"/>
  <c r="FU66" i="9"/>
  <c r="FV67" i="9"/>
  <c r="I69" i="9"/>
  <c r="GZ70" i="9"/>
  <c r="CG72" i="9"/>
  <c r="CG74" i="9"/>
  <c r="FT74" i="9"/>
  <c r="EV75" i="9"/>
  <c r="FK75" i="9" s="1"/>
  <c r="EV76" i="9"/>
  <c r="FK76" i="9" s="1"/>
  <c r="EV77" i="9"/>
  <c r="FK77" i="9" s="1"/>
  <c r="EV78" i="9"/>
  <c r="FK78" i="9" s="1"/>
  <c r="EV79" i="9"/>
  <c r="FK79" i="9" s="1"/>
  <c r="GK80" i="9"/>
  <c r="FE81" i="9"/>
  <c r="FU82" i="9"/>
  <c r="EV84" i="9"/>
  <c r="FK84" i="9" s="1"/>
  <c r="GZ84" i="9"/>
  <c r="EV86" i="9"/>
  <c r="FK86" i="9" s="1"/>
  <c r="GX88" i="9"/>
  <c r="HB88" i="9" s="1"/>
  <c r="FE89" i="9"/>
  <c r="EW91" i="9"/>
  <c r="FM91" i="9" s="1"/>
  <c r="FE91" i="9"/>
  <c r="FV91" i="9"/>
  <c r="FE93" i="9"/>
  <c r="EV95" i="9"/>
  <c r="FK95" i="9" s="1"/>
  <c r="EV98" i="9"/>
  <c r="FK98" i="9" s="1"/>
  <c r="FU98" i="9"/>
  <c r="FV99" i="9"/>
  <c r="GX101" i="9"/>
  <c r="HB101" i="9" s="1"/>
  <c r="GX103" i="9"/>
  <c r="HB103" i="9" s="1"/>
  <c r="FV104" i="9"/>
  <c r="FE109" i="9"/>
  <c r="GX118" i="9"/>
  <c r="HB118" i="9" s="1"/>
  <c r="GX122" i="9"/>
  <c r="HB122" i="9" s="1"/>
  <c r="FE123" i="9"/>
  <c r="EV131" i="9"/>
  <c r="FK131" i="9" s="1"/>
  <c r="EV135" i="9"/>
  <c r="FK135" i="9" s="1"/>
  <c r="FT140" i="9"/>
  <c r="EW140" i="9"/>
  <c r="FM140" i="9" s="1"/>
  <c r="EX142" i="9"/>
  <c r="EY142" i="9"/>
  <c r="FS142" i="9"/>
  <c r="HA147" i="9"/>
  <c r="GX147" i="9"/>
  <c r="HB147" i="9" s="1"/>
  <c r="FB150" i="9"/>
  <c r="EY150" i="9"/>
  <c r="EX150" i="9" s="1"/>
  <c r="HA158" i="9"/>
  <c r="GX158" i="9"/>
  <c r="HB158" i="9" s="1"/>
  <c r="FS162" i="9"/>
  <c r="FS191" i="9"/>
  <c r="EX191" i="9"/>
  <c r="EV191" i="9"/>
  <c r="FK191" i="9" s="1"/>
  <c r="HA205" i="9"/>
  <c r="GX205" i="9"/>
  <c r="HB205" i="9" s="1"/>
  <c r="FS206" i="9"/>
  <c r="EV206" i="9"/>
  <c r="FK206" i="9" s="1"/>
  <c r="FE64" i="9"/>
  <c r="GX64" i="9"/>
  <c r="HB64" i="9" s="1"/>
  <c r="CG65" i="9"/>
  <c r="FU65" i="9"/>
  <c r="GZ65" i="9"/>
  <c r="FE66" i="9"/>
  <c r="GK67" i="9"/>
  <c r="FV68" i="9"/>
  <c r="EW69" i="9"/>
  <c r="FM69" i="9" s="1"/>
  <c r="FE69" i="9"/>
  <c r="FV69" i="9"/>
  <c r="I71" i="9"/>
  <c r="FE74" i="9"/>
  <c r="GX74" i="9"/>
  <c r="HB74" i="9" s="1"/>
  <c r="EX75" i="9"/>
  <c r="GX75" i="9"/>
  <c r="HB75" i="9" s="1"/>
  <c r="EX76" i="9"/>
  <c r="GX76" i="9"/>
  <c r="HB76" i="9" s="1"/>
  <c r="EX77" i="9"/>
  <c r="GX77" i="9"/>
  <c r="HB77" i="9" s="1"/>
  <c r="EX78" i="9"/>
  <c r="GX78" i="9"/>
  <c r="HB78" i="9" s="1"/>
  <c r="EX79" i="9"/>
  <c r="GX79" i="9"/>
  <c r="HB79" i="9" s="1"/>
  <c r="CG80" i="9"/>
  <c r="FU81" i="9"/>
  <c r="GZ81" i="9"/>
  <c r="FV83" i="9"/>
  <c r="GX83" i="9"/>
  <c r="HB83" i="9" s="1"/>
  <c r="I85" i="9"/>
  <c r="EV85" i="9"/>
  <c r="FK85" i="9" s="1"/>
  <c r="I86" i="9"/>
  <c r="EX86" i="9"/>
  <c r="GK86" i="9"/>
  <c r="GX89" i="9"/>
  <c r="HB89" i="9" s="1"/>
  <c r="FE90" i="9"/>
  <c r="GX93" i="9"/>
  <c r="HB93" i="9" s="1"/>
  <c r="EX95" i="9"/>
  <c r="I97" i="9"/>
  <c r="EV97" i="9"/>
  <c r="FK97" i="9" s="1"/>
  <c r="EW98" i="9"/>
  <c r="FM98" i="9" s="1"/>
  <c r="FE98" i="9"/>
  <c r="FV98" i="9"/>
  <c r="GX98" i="9"/>
  <c r="HB98" i="9" s="1"/>
  <c r="CD99" i="9"/>
  <c r="CF99" i="9" s="1"/>
  <c r="EX101" i="9"/>
  <c r="EX103" i="9"/>
  <c r="CG104" i="9"/>
  <c r="HA105" i="9"/>
  <c r="FV106" i="9"/>
  <c r="EX107" i="9"/>
  <c r="I108" i="9"/>
  <c r="FS108" i="9"/>
  <c r="FU108" i="9" s="1"/>
  <c r="FS110" i="9"/>
  <c r="FU110" i="9" s="1"/>
  <c r="EX110" i="9"/>
  <c r="GZ110" i="9"/>
  <c r="GX110" i="9"/>
  <c r="HB110" i="9" s="1"/>
  <c r="HA112" i="9"/>
  <c r="I114" i="9"/>
  <c r="GX114" i="9"/>
  <c r="HB114" i="9" s="1"/>
  <c r="GX119" i="9"/>
  <c r="HB119" i="9" s="1"/>
  <c r="EV126" i="9"/>
  <c r="FK126" i="9" s="1"/>
  <c r="EV127" i="9"/>
  <c r="FK127" i="9" s="1"/>
  <c r="GK128" i="9"/>
  <c r="EV129" i="9"/>
  <c r="FK129" i="9" s="1"/>
  <c r="EV133" i="9"/>
  <c r="FK133" i="9" s="1"/>
  <c r="EV137" i="9"/>
  <c r="FK137" i="9" s="1"/>
  <c r="GX152" i="9"/>
  <c r="HB152" i="9" s="1"/>
  <c r="GZ152" i="9"/>
  <c r="GZ164" i="9"/>
  <c r="GX164" i="9"/>
  <c r="HB164" i="9" s="1"/>
  <c r="FT183" i="9"/>
  <c r="EW183" i="9"/>
  <c r="FM183" i="9" s="1"/>
  <c r="FV96" i="9"/>
  <c r="EV113" i="9"/>
  <c r="FK113" i="9" s="1"/>
  <c r="FS113" i="9"/>
  <c r="EY113" i="9"/>
  <c r="FE139" i="9"/>
  <c r="GZ142" i="9"/>
  <c r="GX142" i="9"/>
  <c r="HB142" i="9" s="1"/>
  <c r="GZ144" i="9"/>
  <c r="GX144" i="9"/>
  <c r="HB144" i="9" s="1"/>
  <c r="HA154" i="9"/>
  <c r="GX154" i="9"/>
  <c r="FS165" i="9"/>
  <c r="GZ177" i="9"/>
  <c r="GX177" i="9"/>
  <c r="HB177" i="9" s="1"/>
  <c r="FS178" i="9"/>
  <c r="FU178" i="9" s="1"/>
  <c r="EV178" i="9"/>
  <c r="FK178" i="9" s="1"/>
  <c r="FS179" i="9"/>
  <c r="EV179" i="9"/>
  <c r="FK179" i="9" s="1"/>
  <c r="GK115" i="9"/>
  <c r="FV116" i="9"/>
  <c r="FV117" i="9"/>
  <c r="GK117" i="9"/>
  <c r="GX123" i="9"/>
  <c r="HB123" i="9" s="1"/>
  <c r="I125" i="9"/>
  <c r="FU127" i="9"/>
  <c r="I128" i="9"/>
  <c r="GX128" i="9"/>
  <c r="HB128" i="9" s="1"/>
  <c r="GX129" i="9"/>
  <c r="HB129" i="9" s="1"/>
  <c r="FU130" i="9"/>
  <c r="FV130" i="9"/>
  <c r="FU131" i="9"/>
  <c r="I132" i="9"/>
  <c r="GX133" i="9"/>
  <c r="HB133" i="9" s="1"/>
  <c r="FV134" i="9"/>
  <c r="FU135" i="9"/>
  <c r="I136" i="9"/>
  <c r="GX137" i="9"/>
  <c r="HB137" i="9" s="1"/>
  <c r="FV138" i="9"/>
  <c r="GK139" i="9"/>
  <c r="FU140" i="9"/>
  <c r="I143" i="9"/>
  <c r="EY144" i="9"/>
  <c r="FS144" i="9"/>
  <c r="CD145" i="9"/>
  <c r="CF145" i="9" s="1"/>
  <c r="I148" i="9"/>
  <c r="FU151" i="9"/>
  <c r="GK151" i="9"/>
  <c r="GK154" i="9"/>
  <c r="I156" i="9"/>
  <c r="FV157" i="9"/>
  <c r="FC158" i="9"/>
  <c r="I161" i="9"/>
  <c r="FS161" i="9"/>
  <c r="GK162" i="9"/>
  <c r="GX163" i="9"/>
  <c r="HB163" i="9" s="1"/>
  <c r="FS164" i="9"/>
  <c r="EV164" i="9"/>
  <c r="FK164" i="9" s="1"/>
  <c r="GK165" i="9"/>
  <c r="EY169" i="9"/>
  <c r="EX169" i="9" s="1"/>
  <c r="FS169" i="9"/>
  <c r="FB169" i="9"/>
  <c r="EV169" i="9"/>
  <c r="FK169" i="9" s="1"/>
  <c r="FB171" i="9"/>
  <c r="FC171" i="9" s="1"/>
  <c r="EY172" i="9"/>
  <c r="EX172" i="9" s="1"/>
  <c r="EV172" i="9"/>
  <c r="FK172" i="9" s="1"/>
  <c r="FS172" i="9"/>
  <c r="GK172" i="9"/>
  <c r="GZ180" i="9"/>
  <c r="GX180" i="9"/>
  <c r="HB180" i="9" s="1"/>
  <c r="FS185" i="9"/>
  <c r="EV185" i="9"/>
  <c r="FK185" i="9" s="1"/>
  <c r="I190" i="9"/>
  <c r="I192" i="9"/>
  <c r="HA200" i="9"/>
  <c r="GX200" i="9"/>
  <c r="HB200" i="9" s="1"/>
  <c r="FS207" i="9"/>
  <c r="EV207" i="9"/>
  <c r="FK207" i="9" s="1"/>
  <c r="FE140" i="9"/>
  <c r="FC149" i="9"/>
  <c r="FV151" i="9"/>
  <c r="FU153" i="9"/>
  <c r="FU159" i="9"/>
  <c r="FV160" i="9"/>
  <c r="FC161" i="9"/>
  <c r="FU162" i="9"/>
  <c r="EY166" i="9"/>
  <c r="EX166" i="9" s="1"/>
  <c r="FS166" i="9"/>
  <c r="FU166" i="9" s="1"/>
  <c r="EV166" i="9"/>
  <c r="FK166" i="9" s="1"/>
  <c r="FB166" i="9"/>
  <c r="FC166" i="9" s="1"/>
  <c r="FV167" i="9"/>
  <c r="EY173" i="9"/>
  <c r="EX173" i="9" s="1"/>
  <c r="FB173" i="9"/>
  <c r="FC173" i="9" s="1"/>
  <c r="FS177" i="9"/>
  <c r="EV177" i="9"/>
  <c r="FK177" i="9" s="1"/>
  <c r="GZ179" i="9"/>
  <c r="GX179" i="9"/>
  <c r="HB179" i="9" s="1"/>
  <c r="FV180" i="9"/>
  <c r="FS182" i="9"/>
  <c r="EV182" i="9"/>
  <c r="FK182" i="9" s="1"/>
  <c r="FS184" i="9"/>
  <c r="EV184" i="9"/>
  <c r="FK184" i="9" s="1"/>
  <c r="EY193" i="9"/>
  <c r="EX193" i="9" s="1"/>
  <c r="EV193" i="9"/>
  <c r="FK193" i="9" s="1"/>
  <c r="FS193" i="9"/>
  <c r="FU193" i="9" s="1"/>
  <c r="GX201" i="9"/>
  <c r="HB201" i="9" s="1"/>
  <c r="GZ201" i="9"/>
  <c r="CD206" i="9"/>
  <c r="CF206" i="9" s="1"/>
  <c r="CG206" i="9"/>
  <c r="GK109" i="9"/>
  <c r="FV111" i="9"/>
  <c r="I113" i="9"/>
  <c r="GX113" i="9"/>
  <c r="HB113" i="9" s="1"/>
  <c r="FU115" i="9"/>
  <c r="EX116" i="9"/>
  <c r="FU117" i="9"/>
  <c r="EX119" i="9"/>
  <c r="EX121" i="9"/>
  <c r="FS123" i="9"/>
  <c r="FU123" i="9" s="1"/>
  <c r="I124" i="9"/>
  <c r="EV124" i="9"/>
  <c r="FK124" i="9" s="1"/>
  <c r="GX124" i="9"/>
  <c r="HB124" i="9" s="1"/>
  <c r="GX127" i="9"/>
  <c r="HB127" i="9" s="1"/>
  <c r="I129" i="9"/>
  <c r="FU129" i="9"/>
  <c r="I130" i="9"/>
  <c r="EV130" i="9"/>
  <c r="FK130" i="9" s="1"/>
  <c r="GX131" i="9"/>
  <c r="HB131" i="9" s="1"/>
  <c r="FV132" i="9"/>
  <c r="FU133" i="9"/>
  <c r="I134" i="9"/>
  <c r="EV134" i="9"/>
  <c r="FK134" i="9" s="1"/>
  <c r="GX135" i="9"/>
  <c r="HB135" i="9" s="1"/>
  <c r="FV136" i="9"/>
  <c r="FU137" i="9"/>
  <c r="I138" i="9"/>
  <c r="EV138" i="9"/>
  <c r="FK138" i="9" s="1"/>
  <c r="FU142" i="9"/>
  <c r="GK142" i="9"/>
  <c r="FU144" i="9"/>
  <c r="EY146" i="9"/>
  <c r="FU148" i="9"/>
  <c r="EV149" i="9"/>
  <c r="FK149" i="9" s="1"/>
  <c r="FS149" i="9"/>
  <c r="FU149" i="9" s="1"/>
  <c r="FC150" i="9"/>
  <c r="I152" i="9"/>
  <c r="FC152" i="9"/>
  <c r="FV153" i="9"/>
  <c r="I154" i="9"/>
  <c r="FC156" i="9"/>
  <c r="FV156" i="9"/>
  <c r="I157" i="9"/>
  <c r="EY157" i="9"/>
  <c r="EX157" i="9" s="1"/>
  <c r="GX157" i="9"/>
  <c r="HB157" i="9" s="1"/>
  <c r="FB158" i="9"/>
  <c r="EV159" i="9"/>
  <c r="FK159" i="9" s="1"/>
  <c r="FB159" i="9"/>
  <c r="FV159" i="9"/>
  <c r="HA160" i="9"/>
  <c r="FU161" i="9"/>
  <c r="GK161" i="9"/>
  <c r="GX161" i="9"/>
  <c r="HB161" i="9" s="1"/>
  <c r="FV163" i="9"/>
  <c r="FU164" i="9"/>
  <c r="I167" i="9"/>
  <c r="EY167" i="9"/>
  <c r="EX167" i="9" s="1"/>
  <c r="EV167" i="9"/>
  <c r="FK167" i="9" s="1"/>
  <c r="FS167" i="9"/>
  <c r="FU167" i="9" s="1"/>
  <c r="FU169" i="9"/>
  <c r="I171" i="9"/>
  <c r="FU172" i="9"/>
  <c r="FV178" i="9"/>
  <c r="FS180" i="9"/>
  <c r="FU180" i="9" s="1"/>
  <c r="EV180" i="9"/>
  <c r="FK180" i="9" s="1"/>
  <c r="I181" i="9"/>
  <c r="FS181" i="9"/>
  <c r="FU181" i="9" s="1"/>
  <c r="EV181" i="9"/>
  <c r="FK181" i="9" s="1"/>
  <c r="EX185" i="9"/>
  <c r="GK190" i="9"/>
  <c r="HA196" i="9"/>
  <c r="GX196" i="9"/>
  <c r="HB196" i="9" s="1"/>
  <c r="CD210" i="9"/>
  <c r="CF210" i="9" s="1"/>
  <c r="CG210" i="9"/>
  <c r="FU213" i="9"/>
  <c r="CD237" i="9"/>
  <c r="CF237" i="9" s="1"/>
  <c r="CG237" i="9"/>
  <c r="FS201" i="9"/>
  <c r="FU201" i="9" s="1"/>
  <c r="FU206" i="9"/>
  <c r="FS213" i="9"/>
  <c r="EX213" i="9"/>
  <c r="EX227" i="9"/>
  <c r="EY227" i="9"/>
  <c r="FS227" i="9"/>
  <c r="HA229" i="9"/>
  <c r="GX229" i="9"/>
  <c r="HB229" i="9" s="1"/>
  <c r="HA236" i="9"/>
  <c r="GX236" i="9"/>
  <c r="HB236" i="9" s="1"/>
  <c r="I164" i="9"/>
  <c r="FV165" i="9"/>
  <c r="GX165" i="9"/>
  <c r="HB165" i="9" s="1"/>
  <c r="FV169" i="9"/>
  <c r="GK176" i="9"/>
  <c r="GK178" i="9"/>
  <c r="FU192" i="9"/>
  <c r="FV196" i="9"/>
  <c r="FU197" i="9"/>
  <c r="FU199" i="9"/>
  <c r="FV200" i="9"/>
  <c r="GK200" i="9"/>
  <c r="FS202" i="9"/>
  <c r="CD211" i="9"/>
  <c r="CF211" i="9" s="1"/>
  <c r="CG211" i="9"/>
  <c r="FS231" i="9"/>
  <c r="FU231" i="9" s="1"/>
  <c r="EX231" i="9"/>
  <c r="FS238" i="9"/>
  <c r="GX168" i="9"/>
  <c r="HB168" i="9" s="1"/>
  <c r="GK170" i="9"/>
  <c r="I174" i="9"/>
  <c r="FU174" i="9"/>
  <c r="FV174" i="9"/>
  <c r="I176" i="9"/>
  <c r="FU177" i="9"/>
  <c r="FU179" i="9"/>
  <c r="FE183" i="9"/>
  <c r="I189" i="9"/>
  <c r="FV192" i="9"/>
  <c r="GK193" i="9"/>
  <c r="I194" i="9"/>
  <c r="GK194" i="9"/>
  <c r="I195" i="9"/>
  <c r="GK195" i="9"/>
  <c r="I196" i="9"/>
  <c r="FC196" i="9"/>
  <c r="I197" i="9"/>
  <c r="GK198" i="9"/>
  <c r="FB199" i="9"/>
  <c r="FC199" i="9" s="1"/>
  <c r="FU200" i="9"/>
  <c r="I202" i="9"/>
  <c r="GK202" i="9"/>
  <c r="GK204" i="9"/>
  <c r="FE205" i="9"/>
  <c r="EV213" i="9"/>
  <c r="FK213" i="9" s="1"/>
  <c r="GZ213" i="9"/>
  <c r="EY216" i="9"/>
  <c r="FS216" i="9"/>
  <c r="FU216" i="9" s="1"/>
  <c r="FT221" i="9"/>
  <c r="FV221" i="9" s="1"/>
  <c r="EW221" i="9"/>
  <c r="FM221" i="9" s="1"/>
  <c r="GZ227" i="9"/>
  <c r="GX227" i="9"/>
  <c r="HB227" i="9" s="1"/>
  <c r="FT230" i="9"/>
  <c r="EW230" i="9"/>
  <c r="FM230" i="9" s="1"/>
  <c r="HA232" i="9"/>
  <c r="GX232" i="9"/>
  <c r="HB232" i="9" s="1"/>
  <c r="FT235" i="9"/>
  <c r="FV235" i="9" s="1"/>
  <c r="EW235" i="9"/>
  <c r="FM235" i="9" s="1"/>
  <c r="GY253" i="9"/>
  <c r="I209" i="9"/>
  <c r="GX211" i="9"/>
  <c r="HB211" i="9" s="1"/>
  <c r="FU212" i="9"/>
  <c r="FV212" i="9"/>
  <c r="GX212" i="9"/>
  <c r="HB212" i="9" s="1"/>
  <c r="GK219" i="9"/>
  <c r="FV220" i="9"/>
  <c r="FS221" i="9"/>
  <c r="FV223" i="9"/>
  <c r="GK224" i="9"/>
  <c r="FS226" i="9"/>
  <c r="GK231" i="9"/>
  <c r="GK232" i="9"/>
  <c r="GK233" i="9"/>
  <c r="GK238" i="9"/>
  <c r="GK239" i="9"/>
  <c r="P245" i="9"/>
  <c r="GY252" i="9"/>
  <c r="GY255" i="9"/>
  <c r="FE229" i="9"/>
  <c r="FU229" i="9"/>
  <c r="FV230" i="9"/>
  <c r="FE232" i="9"/>
  <c r="FU232" i="9"/>
  <c r="FU238" i="9"/>
  <c r="R245" i="9"/>
  <c r="GW259" i="9"/>
  <c r="GY256" i="9"/>
  <c r="GY257" i="9"/>
  <c r="GX206" i="9"/>
  <c r="HB206" i="9" s="1"/>
  <c r="FU207" i="9"/>
  <c r="I208" i="9"/>
  <c r="EV208" i="9"/>
  <c r="FK208" i="9" s="1"/>
  <c r="GX208" i="9"/>
  <c r="HB208" i="9" s="1"/>
  <c r="FV209" i="9"/>
  <c r="I212" i="9"/>
  <c r="EV212" i="9"/>
  <c r="FK212" i="9" s="1"/>
  <c r="GZ212" i="9"/>
  <c r="EX217" i="9"/>
  <c r="EX218" i="9"/>
  <c r="FU219" i="9"/>
  <c r="I220" i="9"/>
  <c r="EX220" i="9"/>
  <c r="FE221" i="9"/>
  <c r="I222" i="9"/>
  <c r="GK222" i="9"/>
  <c r="GK223" i="9"/>
  <c r="GK225" i="9"/>
  <c r="CG226" i="9"/>
  <c r="FE226" i="9"/>
  <c r="FU226" i="9"/>
  <c r="GK227" i="9"/>
  <c r="I230" i="9"/>
  <c r="I231" i="9"/>
  <c r="FV232" i="9"/>
  <c r="I234" i="9"/>
  <c r="GX234" i="9"/>
  <c r="HB234" i="9" s="1"/>
  <c r="GK235" i="9"/>
  <c r="FC236" i="9"/>
  <c r="FV236" i="9"/>
  <c r="EW238" i="9"/>
  <c r="FM238" i="9" s="1"/>
  <c r="FE238" i="9"/>
  <c r="FV238" i="9"/>
  <c r="M245" i="9"/>
  <c r="T245" i="9"/>
  <c r="BC245" i="9"/>
  <c r="GY248" i="9"/>
  <c r="GY250" i="9"/>
  <c r="FV35" i="9"/>
  <c r="FV39" i="9"/>
  <c r="FV42" i="9"/>
  <c r="FV9" i="9"/>
  <c r="FU16" i="9"/>
  <c r="FU19" i="9"/>
  <c r="FV28" i="9"/>
  <c r="FU36" i="9"/>
  <c r="FU40" i="9"/>
  <c r="FU10" i="9"/>
  <c r="FU12" i="9"/>
  <c r="FU14" i="9"/>
  <c r="FU20" i="9"/>
  <c r="FU21" i="9"/>
  <c r="FU27" i="9"/>
  <c r="FV32" i="9"/>
  <c r="FU34" i="9"/>
  <c r="FV36" i="9"/>
  <c r="FU38" i="9"/>
  <c r="FV40" i="9"/>
  <c r="FU41" i="9"/>
  <c r="FV14" i="9"/>
  <c r="FV20" i="9"/>
  <c r="FV21" i="9"/>
  <c r="HB29" i="9"/>
  <c r="FV34" i="9"/>
  <c r="FU37" i="9"/>
  <c r="FV38" i="9"/>
  <c r="FU39" i="9"/>
  <c r="FV41" i="9"/>
  <c r="AZ243" i="9"/>
  <c r="HD248" i="9"/>
  <c r="FS30" i="9"/>
  <c r="FU30" i="9" s="1"/>
  <c r="EY31" i="9"/>
  <c r="FT45" i="9"/>
  <c r="EW45" i="9"/>
  <c r="FM45" i="9" s="1"/>
  <c r="CD51" i="9"/>
  <c r="CF51" i="9" s="1"/>
  <c r="CG51" i="9"/>
  <c r="FT53" i="9"/>
  <c r="EW53" i="9"/>
  <c r="FM53" i="9" s="1"/>
  <c r="CD55" i="9"/>
  <c r="CF55" i="9" s="1"/>
  <c r="CG55" i="9"/>
  <c r="FV55" i="9"/>
  <c r="GZ67" i="9"/>
  <c r="GX67" i="9"/>
  <c r="HB67" i="9" s="1"/>
  <c r="EX71" i="9"/>
  <c r="EV71" i="9"/>
  <c r="FK71" i="9" s="1"/>
  <c r="FV72" i="9"/>
  <c r="HA73" i="9"/>
  <c r="GX73" i="9"/>
  <c r="HB73" i="9" s="1"/>
  <c r="FU80" i="9"/>
  <c r="FU85" i="9"/>
  <c r="GZ86" i="9"/>
  <c r="GX86" i="9"/>
  <c r="HB86" i="9" s="1"/>
  <c r="FU95" i="9"/>
  <c r="CD96" i="9"/>
  <c r="CF96" i="9" s="1"/>
  <c r="CG96" i="9"/>
  <c r="GZ96" i="9"/>
  <c r="GX96" i="9"/>
  <c r="HB96" i="9" s="1"/>
  <c r="FV101" i="9"/>
  <c r="FT109" i="9"/>
  <c r="FV109" i="9" s="1"/>
  <c r="EY29" i="9"/>
  <c r="FS29" i="9"/>
  <c r="FU29" i="9" s="1"/>
  <c r="FS31" i="9"/>
  <c r="FU31" i="9" s="1"/>
  <c r="EY32" i="9"/>
  <c r="FS32" i="9"/>
  <c r="FU32" i="9" s="1"/>
  <c r="J243" i="9"/>
  <c r="GC255" i="9"/>
  <c r="GZ255" i="9"/>
  <c r="HD255" i="9" s="1"/>
  <c r="GV243" i="9"/>
  <c r="CD13" i="9"/>
  <c r="FP255" i="9"/>
  <c r="FV13" i="9"/>
  <c r="HA13" i="9"/>
  <c r="EW14" i="9"/>
  <c r="FM14" i="9" s="1"/>
  <c r="GX15" i="9"/>
  <c r="HB15" i="9" s="1"/>
  <c r="CG16" i="9"/>
  <c r="EV17" i="9"/>
  <c r="FK17" i="9" s="1"/>
  <c r="FS17" i="9"/>
  <c r="FU17" i="9" s="1"/>
  <c r="HA249" i="9"/>
  <c r="GX18" i="9"/>
  <c r="HB18" i="9" s="1"/>
  <c r="CG19" i="9"/>
  <c r="EV20" i="9"/>
  <c r="FK20" i="9" s="1"/>
  <c r="EW21" i="9"/>
  <c r="FM21" i="9" s="1"/>
  <c r="EV23" i="9"/>
  <c r="FK23" i="9" s="1"/>
  <c r="FS23" i="9"/>
  <c r="FU23" i="9" s="1"/>
  <c r="EV25" i="9"/>
  <c r="FK25" i="9" s="1"/>
  <c r="FS25" i="9"/>
  <c r="FU25" i="9" s="1"/>
  <c r="EV27" i="9"/>
  <c r="FK27" i="9" s="1"/>
  <c r="GX28" i="9"/>
  <c r="EV34" i="9"/>
  <c r="FK34" i="9" s="1"/>
  <c r="HA35" i="9"/>
  <c r="EX36" i="9"/>
  <c r="HA36" i="9"/>
  <c r="EY38" i="9"/>
  <c r="EY39" i="9"/>
  <c r="EY40" i="9"/>
  <c r="EY41" i="9"/>
  <c r="GX42" i="9"/>
  <c r="FS44" i="9"/>
  <c r="FU44" i="9" s="1"/>
  <c r="EV44" i="9"/>
  <c r="FK44" i="9" s="1"/>
  <c r="CD47" i="9"/>
  <c r="CF47" i="9" s="1"/>
  <c r="CG47" i="9"/>
  <c r="FV48" i="9"/>
  <c r="GZ50" i="9"/>
  <c r="GX50" i="9"/>
  <c r="HB50" i="9" s="1"/>
  <c r="FU51" i="9"/>
  <c r="FV53" i="9"/>
  <c r="GZ54" i="9"/>
  <c r="GX54" i="9"/>
  <c r="HB54" i="9" s="1"/>
  <c r="HA258" i="9"/>
  <c r="HE258" i="9" s="1"/>
  <c r="HA55" i="9"/>
  <c r="GX55" i="9"/>
  <c r="FV56" i="9"/>
  <c r="FV63" i="9"/>
  <c r="GX63" i="9"/>
  <c r="HB63" i="9" s="1"/>
  <c r="FV64" i="9"/>
  <c r="CD67" i="9"/>
  <c r="CF67" i="9" s="1"/>
  <c r="CG67" i="9"/>
  <c r="CD69" i="9"/>
  <c r="CF69" i="9" s="1"/>
  <c r="CG69" i="9"/>
  <c r="EX70" i="9"/>
  <c r="EV70" i="9"/>
  <c r="FK70" i="9" s="1"/>
  <c r="FU70" i="9"/>
  <c r="FV71" i="9"/>
  <c r="GX71" i="9"/>
  <c r="HB71" i="9" s="1"/>
  <c r="EY72" i="9"/>
  <c r="HA72" i="9"/>
  <c r="GX72" i="9"/>
  <c r="HB72" i="9" s="1"/>
  <c r="FS74" i="9"/>
  <c r="FU74" i="9" s="1"/>
  <c r="EV74" i="9"/>
  <c r="FK74" i="9" s="1"/>
  <c r="FV80" i="9"/>
  <c r="FT81" i="9"/>
  <c r="EW81" i="9"/>
  <c r="FM81" i="9" s="1"/>
  <c r="FS88" i="9"/>
  <c r="FU88" i="9" s="1"/>
  <c r="EV88" i="9"/>
  <c r="FK88" i="9" s="1"/>
  <c r="FV88" i="9"/>
  <c r="FT89" i="9"/>
  <c r="FV89" i="9" s="1"/>
  <c r="EW89" i="9"/>
  <c r="FM89" i="9" s="1"/>
  <c r="FU90" i="9"/>
  <c r="FV92" i="9"/>
  <c r="CD95" i="9"/>
  <c r="CF95" i="9" s="1"/>
  <c r="CG95" i="9"/>
  <c r="GZ95" i="9"/>
  <c r="GX95" i="9"/>
  <c r="HB95" i="9" s="1"/>
  <c r="FS99" i="9"/>
  <c r="EV99" i="9"/>
  <c r="FK99" i="9" s="1"/>
  <c r="FV100" i="9"/>
  <c r="GK102" i="9"/>
  <c r="FU103" i="9"/>
  <c r="GX14" i="9"/>
  <c r="HB14" i="9" s="1"/>
  <c r="CG15" i="9"/>
  <c r="EV16" i="9"/>
  <c r="FK16" i="9" s="1"/>
  <c r="FB17" i="9"/>
  <c r="FC17" i="9" s="1"/>
  <c r="GX17" i="9"/>
  <c r="CG18" i="9"/>
  <c r="EV19" i="9"/>
  <c r="FK19" i="9" s="1"/>
  <c r="EW20" i="9"/>
  <c r="FM20" i="9" s="1"/>
  <c r="GX21" i="9"/>
  <c r="HB21" i="9" s="1"/>
  <c r="FB23" i="9"/>
  <c r="FC23" i="9" s="1"/>
  <c r="GX23" i="9"/>
  <c r="HB23" i="9" s="1"/>
  <c r="FB25" i="9"/>
  <c r="FC25" i="9" s="1"/>
  <c r="GX25" i="9"/>
  <c r="HB25" i="9" s="1"/>
  <c r="GX27" i="9"/>
  <c r="EV29" i="9"/>
  <c r="FK29" i="9" s="1"/>
  <c r="EV30" i="9"/>
  <c r="FK30" i="9" s="1"/>
  <c r="EV31" i="9"/>
  <c r="FK31" i="9" s="1"/>
  <c r="EV32" i="9"/>
  <c r="FK32" i="9" s="1"/>
  <c r="EV33" i="9"/>
  <c r="FK33" i="9" s="1"/>
  <c r="EW35" i="9"/>
  <c r="FM35" i="9" s="1"/>
  <c r="EY36" i="9"/>
  <c r="GX37" i="9"/>
  <c r="HB37" i="9" s="1"/>
  <c r="CG38" i="9"/>
  <c r="GX38" i="9"/>
  <c r="HB38" i="9" s="1"/>
  <c r="GX39" i="9"/>
  <c r="HB39" i="9" s="1"/>
  <c r="CG40" i="9"/>
  <c r="GX40" i="9"/>
  <c r="HB40" i="9" s="1"/>
  <c r="GX41" i="9"/>
  <c r="HB41" i="9" s="1"/>
  <c r="EV43" i="9"/>
  <c r="FK43" i="9" s="1"/>
  <c r="FU47" i="9"/>
  <c r="FS48" i="9"/>
  <c r="FU48" i="9" s="1"/>
  <c r="EV48" i="9"/>
  <c r="FK48" i="9" s="1"/>
  <c r="FT49" i="9"/>
  <c r="FV49" i="9" s="1"/>
  <c r="EW49" i="9"/>
  <c r="FM49" i="9" s="1"/>
  <c r="FV51" i="9"/>
  <c r="FS56" i="9"/>
  <c r="FU56" i="9" s="1"/>
  <c r="EV56" i="9"/>
  <c r="FK56" i="9" s="1"/>
  <c r="GZ62" i="9"/>
  <c r="GX62" i="9"/>
  <c r="HB62" i="9" s="1"/>
  <c r="GZ66" i="9"/>
  <c r="GX66" i="9"/>
  <c r="HB66" i="9" s="1"/>
  <c r="GZ68" i="9"/>
  <c r="GX68" i="9"/>
  <c r="HB68" i="9" s="1"/>
  <c r="FU69" i="9"/>
  <c r="FV70" i="9"/>
  <c r="EY71" i="9"/>
  <c r="FS71" i="9"/>
  <c r="FU71" i="9" s="1"/>
  <c r="EX73" i="9"/>
  <c r="EV73" i="9"/>
  <c r="FK73" i="9" s="1"/>
  <c r="FU73" i="9"/>
  <c r="FU75" i="9"/>
  <c r="FU76" i="9"/>
  <c r="FU77" i="9"/>
  <c r="FU78" i="9"/>
  <c r="FU79" i="9"/>
  <c r="GZ254" i="9"/>
  <c r="HD254" i="9" s="1"/>
  <c r="GZ85" i="9"/>
  <c r="GX85" i="9"/>
  <c r="FU87" i="9"/>
  <c r="CE248" i="9"/>
  <c r="CD91" i="9"/>
  <c r="CG91" i="9"/>
  <c r="CG248" i="9" s="1"/>
  <c r="FS92" i="9"/>
  <c r="FU92" i="9" s="1"/>
  <c r="EV92" i="9"/>
  <c r="FK92" i="9" s="1"/>
  <c r="GZ94" i="9"/>
  <c r="GX94" i="9"/>
  <c r="HB94" i="9" s="1"/>
  <c r="FU97" i="9"/>
  <c r="CD98" i="9"/>
  <c r="CF98" i="9" s="1"/>
  <c r="CG98" i="9"/>
  <c r="FV103" i="9"/>
  <c r="CD105" i="9"/>
  <c r="CF105" i="9" s="1"/>
  <c r="CG105" i="9"/>
  <c r="FU13" i="9"/>
  <c r="K243" i="9"/>
  <c r="EW9" i="9"/>
  <c r="FM9" i="9" s="1"/>
  <c r="FY255" i="9"/>
  <c r="FY256" i="9" s="1"/>
  <c r="GH243" i="9"/>
  <c r="HA255" i="9"/>
  <c r="HE255" i="9" s="1"/>
  <c r="GW243" i="9"/>
  <c r="HA243" i="9" s="1"/>
  <c r="GX10" i="9"/>
  <c r="HB10" i="9" s="1"/>
  <c r="CG11" i="9"/>
  <c r="EV12" i="9"/>
  <c r="FK12" i="9" s="1"/>
  <c r="EW13" i="9"/>
  <c r="FM13" i="9" s="1"/>
  <c r="FM255" i="9" s="1"/>
  <c r="AY243" i="9"/>
  <c r="FZ255" i="9"/>
  <c r="FZ256" i="9" s="1"/>
  <c r="GX9" i="9"/>
  <c r="GZ17" i="9"/>
  <c r="GZ27" i="9"/>
  <c r="HA28" i="9"/>
  <c r="GZ252" i="9"/>
  <c r="HD252" i="9" s="1"/>
  <c r="HA29" i="9"/>
  <c r="EY34" i="9"/>
  <c r="HA42" i="9"/>
  <c r="FV44" i="9"/>
  <c r="GZ46" i="9"/>
  <c r="GX46" i="9"/>
  <c r="HB46" i="9" s="1"/>
  <c r="GK48" i="9"/>
  <c r="FU50" i="9"/>
  <c r="FS52" i="9"/>
  <c r="FU52" i="9" s="1"/>
  <c r="EV52" i="9"/>
  <c r="FK52" i="9" s="1"/>
  <c r="FU54" i="9"/>
  <c r="FT57" i="9"/>
  <c r="FV57" i="9" s="1"/>
  <c r="EW57" i="9"/>
  <c r="FM57" i="9" s="1"/>
  <c r="CD250" i="9"/>
  <c r="CF58" i="9"/>
  <c r="CF250" i="9" s="1"/>
  <c r="FS64" i="9"/>
  <c r="FU64" i="9" s="1"/>
  <c r="EV64" i="9"/>
  <c r="FK64" i="9" s="1"/>
  <c r="FT65" i="9"/>
  <c r="FV65" i="9" s="1"/>
  <c r="EW65" i="9"/>
  <c r="FM65" i="9" s="1"/>
  <c r="CD68" i="9"/>
  <c r="CF68" i="9" s="1"/>
  <c r="CG68" i="9"/>
  <c r="GX69" i="9"/>
  <c r="HB69" i="9" s="1"/>
  <c r="EX72" i="9"/>
  <c r="EV72" i="9"/>
  <c r="FK72" i="9" s="1"/>
  <c r="FU72" i="9"/>
  <c r="FV73" i="9"/>
  <c r="FV74" i="9"/>
  <c r="FV75" i="9"/>
  <c r="FV76" i="9"/>
  <c r="FV77" i="9"/>
  <c r="FV78" i="9"/>
  <c r="FV79" i="9"/>
  <c r="FV81" i="9"/>
  <c r="FU86" i="9"/>
  <c r="CD87" i="9"/>
  <c r="CF87" i="9" s="1"/>
  <c r="CG87" i="9"/>
  <c r="FV87" i="9"/>
  <c r="GX87" i="9"/>
  <c r="HB87" i="9" s="1"/>
  <c r="GK88" i="9"/>
  <c r="GZ90" i="9"/>
  <c r="GX90" i="9"/>
  <c r="HB90" i="9" s="1"/>
  <c r="GK92" i="9"/>
  <c r="FT93" i="9"/>
  <c r="FV93" i="9" s="1"/>
  <c r="EW93" i="9"/>
  <c r="FM93" i="9" s="1"/>
  <c r="FU96" i="9"/>
  <c r="CD97" i="9"/>
  <c r="CF97" i="9" s="1"/>
  <c r="CG97" i="9"/>
  <c r="GZ97" i="9"/>
  <c r="GX97" i="9"/>
  <c r="HB97" i="9" s="1"/>
  <c r="FU99" i="9"/>
  <c r="GK100" i="9"/>
  <c r="FU101" i="9"/>
  <c r="FV102" i="9"/>
  <c r="FV115" i="9"/>
  <c r="FS114" i="9"/>
  <c r="EV114" i="9"/>
  <c r="FK114" i="9" s="1"/>
  <c r="FU114" i="9"/>
  <c r="FV121" i="9"/>
  <c r="GX47" i="9"/>
  <c r="HB47" i="9" s="1"/>
  <c r="CG48" i="9"/>
  <c r="HA53" i="9"/>
  <c r="EX58" i="9"/>
  <c r="EX59" i="9"/>
  <c r="EX60" i="9"/>
  <c r="EX61" i="9"/>
  <c r="EY67" i="9"/>
  <c r="FS67" i="9"/>
  <c r="FU67" i="9" s="1"/>
  <c r="EY68" i="9"/>
  <c r="FS68" i="9"/>
  <c r="FU68" i="9" s="1"/>
  <c r="EX82" i="9"/>
  <c r="EX83" i="9"/>
  <c r="EX84" i="9"/>
  <c r="HA254" i="9"/>
  <c r="HE254" i="9" s="1"/>
  <c r="EY86" i="9"/>
  <c r="HA89" i="9"/>
  <c r="HA93" i="9"/>
  <c r="EY95" i="9"/>
  <c r="EY96" i="9"/>
  <c r="EY97" i="9"/>
  <c r="EV100" i="9"/>
  <c r="FK100" i="9" s="1"/>
  <c r="EV101" i="9"/>
  <c r="FK101" i="9" s="1"/>
  <c r="EV102" i="9"/>
  <c r="FK102" i="9" s="1"/>
  <c r="EV103" i="9"/>
  <c r="FK103" i="9" s="1"/>
  <c r="EY104" i="9"/>
  <c r="FS104" i="9"/>
  <c r="EV109" i="9"/>
  <c r="FK109" i="9" s="1"/>
  <c r="EW111" i="9"/>
  <c r="FM111" i="9" s="1"/>
  <c r="GX111" i="9"/>
  <c r="HB111" i="9" s="1"/>
  <c r="CG114" i="9"/>
  <c r="GK118" i="9"/>
  <c r="FU119" i="9"/>
  <c r="FV120" i="9"/>
  <c r="GK122" i="9"/>
  <c r="FV125" i="9"/>
  <c r="FV127" i="9"/>
  <c r="FU132" i="9"/>
  <c r="FV135" i="9"/>
  <c r="FU136" i="9"/>
  <c r="FU139" i="9"/>
  <c r="EY58" i="9"/>
  <c r="EY59" i="9"/>
  <c r="EY60" i="9"/>
  <c r="EY61" i="9"/>
  <c r="EY82" i="9"/>
  <c r="EY83" i="9"/>
  <c r="EY84" i="9"/>
  <c r="FU105" i="9"/>
  <c r="FU106" i="9"/>
  <c r="FU107" i="9"/>
  <c r="FV108" i="9"/>
  <c r="FU112" i="9"/>
  <c r="FU113" i="9"/>
  <c r="EX114" i="9"/>
  <c r="GX115" i="9"/>
  <c r="HB115" i="9" s="1"/>
  <c r="GX116" i="9"/>
  <c r="HB116" i="9" s="1"/>
  <c r="FV119" i="9"/>
  <c r="FV139" i="9"/>
  <c r="GZ258" i="9"/>
  <c r="HD258" i="9" s="1"/>
  <c r="CG58" i="9"/>
  <c r="CG250" i="9" s="1"/>
  <c r="CI250" i="9" s="1"/>
  <c r="EY75" i="9"/>
  <c r="EY76" i="9"/>
  <c r="EY77" i="9"/>
  <c r="EY78" i="9"/>
  <c r="EY79" i="9"/>
  <c r="EY80" i="9"/>
  <c r="EY100" i="9"/>
  <c r="EY101" i="9"/>
  <c r="EY102" i="9"/>
  <c r="EY103" i="9"/>
  <c r="FU104" i="9"/>
  <c r="GK105" i="9"/>
  <c r="GK106" i="9"/>
  <c r="GK107" i="9"/>
  <c r="GX108" i="9"/>
  <c r="HB108" i="9" s="1"/>
  <c r="GK112" i="9"/>
  <c r="GK113" i="9"/>
  <c r="EY114" i="9"/>
  <c r="FV118" i="9"/>
  <c r="GK120" i="9"/>
  <c r="FU121" i="9"/>
  <c r="FV122" i="9"/>
  <c r="FT123" i="9"/>
  <c r="FV123" i="9" s="1"/>
  <c r="EW123" i="9"/>
  <c r="FM123" i="9" s="1"/>
  <c r="FV124" i="9"/>
  <c r="FV126" i="9"/>
  <c r="FV128" i="9"/>
  <c r="FV133" i="9"/>
  <c r="FU134" i="9"/>
  <c r="FV137" i="9"/>
  <c r="FU138" i="9"/>
  <c r="FV143" i="9"/>
  <c r="FS152" i="9"/>
  <c r="FU152" i="9" s="1"/>
  <c r="FU154" i="9"/>
  <c r="HB154" i="9"/>
  <c r="FU182" i="9"/>
  <c r="FV188" i="9"/>
  <c r="FU189" i="9"/>
  <c r="FU191" i="9"/>
  <c r="EY110" i="9"/>
  <c r="EV115" i="9"/>
  <c r="FK115" i="9" s="1"/>
  <c r="EV116" i="9"/>
  <c r="FK116" i="9" s="1"/>
  <c r="EV117" i="9"/>
  <c r="FK117" i="9" s="1"/>
  <c r="EV118" i="9"/>
  <c r="FK118" i="9" s="1"/>
  <c r="EV119" i="9"/>
  <c r="FK119" i="9" s="1"/>
  <c r="EV120" i="9"/>
  <c r="FK120" i="9" s="1"/>
  <c r="EV121" i="9"/>
  <c r="FK121" i="9" s="1"/>
  <c r="EV122" i="9"/>
  <c r="FK122" i="9" s="1"/>
  <c r="HA123" i="9"/>
  <c r="EX124" i="9"/>
  <c r="HA124" i="9"/>
  <c r="EX125" i="9"/>
  <c r="HA125" i="9"/>
  <c r="EX126" i="9"/>
  <c r="HA126" i="9"/>
  <c r="EX127" i="9"/>
  <c r="HA127" i="9"/>
  <c r="EX128" i="9"/>
  <c r="HA128" i="9"/>
  <c r="EX129" i="9"/>
  <c r="HA129" i="9"/>
  <c r="EX130" i="9"/>
  <c r="HA130" i="9"/>
  <c r="EX131" i="9"/>
  <c r="HA131" i="9"/>
  <c r="EX132" i="9"/>
  <c r="HA132" i="9"/>
  <c r="EX133" i="9"/>
  <c r="HA133" i="9"/>
  <c r="EX134" i="9"/>
  <c r="HA134" i="9"/>
  <c r="EX135" i="9"/>
  <c r="HA135" i="9"/>
  <c r="EX136" i="9"/>
  <c r="HA136" i="9"/>
  <c r="EX137" i="9"/>
  <c r="HA137" i="9"/>
  <c r="EX138" i="9"/>
  <c r="HA138" i="9"/>
  <c r="EW139" i="9"/>
  <c r="FM139" i="9" s="1"/>
  <c r="EV142" i="9"/>
  <c r="FK142" i="9" s="1"/>
  <c r="FV142" i="9"/>
  <c r="EY143" i="9"/>
  <c r="FS143" i="9"/>
  <c r="FU143" i="9" s="1"/>
  <c r="GX143" i="9"/>
  <c r="HB143" i="9" s="1"/>
  <c r="EV146" i="9"/>
  <c r="FK146" i="9" s="1"/>
  <c r="FV146" i="9"/>
  <c r="I149" i="9"/>
  <c r="EV150" i="9"/>
  <c r="FK150" i="9" s="1"/>
  <c r="GX150" i="9"/>
  <c r="HB150" i="9" s="1"/>
  <c r="CD153" i="9"/>
  <c r="CF153" i="9" s="1"/>
  <c r="FB153" i="9"/>
  <c r="FC153" i="9" s="1"/>
  <c r="GX155" i="9"/>
  <c r="HB155" i="9" s="1"/>
  <c r="EV156" i="9"/>
  <c r="FK156" i="9" s="1"/>
  <c r="EV157" i="9"/>
  <c r="FK157" i="9" s="1"/>
  <c r="FC159" i="9"/>
  <c r="FU160" i="9"/>
  <c r="FV161" i="9"/>
  <c r="FV162" i="9"/>
  <c r="GX162" i="9"/>
  <c r="HB162" i="9" s="1"/>
  <c r="GK164" i="9"/>
  <c r="FU165" i="9"/>
  <c r="EY124" i="9"/>
  <c r="EY125" i="9"/>
  <c r="EY126" i="9"/>
  <c r="EY127" i="9"/>
  <c r="EY128" i="9"/>
  <c r="EY129" i="9"/>
  <c r="EY130" i="9"/>
  <c r="EY131" i="9"/>
  <c r="EY132" i="9"/>
  <c r="EY133" i="9"/>
  <c r="EY134" i="9"/>
  <c r="EY135" i="9"/>
  <c r="EY136" i="9"/>
  <c r="EY137" i="9"/>
  <c r="EY138" i="9"/>
  <c r="GX139" i="9"/>
  <c r="HB139" i="9" s="1"/>
  <c r="EV141" i="9"/>
  <c r="FK141" i="9" s="1"/>
  <c r="FV141" i="9"/>
  <c r="EV145" i="9"/>
  <c r="FK145" i="9" s="1"/>
  <c r="FV145" i="9"/>
  <c r="GZ148" i="9"/>
  <c r="FV149" i="9"/>
  <c r="EV152" i="9"/>
  <c r="FK152" i="9" s="1"/>
  <c r="EV154" i="9"/>
  <c r="FK154" i="9" s="1"/>
  <c r="GZ250" i="9"/>
  <c r="HD250" i="9" s="1"/>
  <c r="GZ154" i="9"/>
  <c r="GX156" i="9"/>
  <c r="HB156" i="9" s="1"/>
  <c r="HA156" i="9"/>
  <c r="GZ251" i="9"/>
  <c r="HD251" i="9" s="1"/>
  <c r="GZ160" i="9"/>
  <c r="GX160" i="9"/>
  <c r="FB168" i="9"/>
  <c r="FC168" i="9" s="1"/>
  <c r="FS168" i="9"/>
  <c r="FU168" i="9" s="1"/>
  <c r="EV168" i="9"/>
  <c r="FK168" i="9" s="1"/>
  <c r="EY168" i="9"/>
  <c r="EX168" i="9" s="1"/>
  <c r="EV170" i="9"/>
  <c r="FK170" i="9" s="1"/>
  <c r="FS170" i="9"/>
  <c r="FU170" i="9" s="1"/>
  <c r="EY170" i="9"/>
  <c r="EX170" i="9" s="1"/>
  <c r="EY115" i="9"/>
  <c r="EY116" i="9"/>
  <c r="EY117" i="9"/>
  <c r="EY118" i="9"/>
  <c r="EY119" i="9"/>
  <c r="EY120" i="9"/>
  <c r="EY121" i="9"/>
  <c r="EY122" i="9"/>
  <c r="FV140" i="9"/>
  <c r="EY141" i="9"/>
  <c r="FS141" i="9"/>
  <c r="FU141" i="9" s="1"/>
  <c r="GX141" i="9"/>
  <c r="HB141" i="9" s="1"/>
  <c r="FV144" i="9"/>
  <c r="EY145" i="9"/>
  <c r="FS145" i="9"/>
  <c r="FU145" i="9" s="1"/>
  <c r="GX145" i="9"/>
  <c r="HB145" i="9" s="1"/>
  <c r="FT147" i="9"/>
  <c r="FV147" i="9" s="1"/>
  <c r="GX149" i="9"/>
  <c r="HB149" i="9" s="1"/>
  <c r="FS150" i="9"/>
  <c r="FU150" i="9" s="1"/>
  <c r="EY152" i="9"/>
  <c r="EX152" i="9" s="1"/>
  <c r="I153" i="9"/>
  <c r="GX153" i="9"/>
  <c r="HB153" i="9" s="1"/>
  <c r="HA153" i="9"/>
  <c r="EY154" i="9"/>
  <c r="EX154" i="9" s="1"/>
  <c r="FV155" i="9"/>
  <c r="FS156" i="9"/>
  <c r="FU156" i="9" s="1"/>
  <c r="FU157" i="9"/>
  <c r="GK157" i="9"/>
  <c r="FB163" i="9"/>
  <c r="FC163" i="9" s="1"/>
  <c r="FS163" i="9"/>
  <c r="FU163" i="9" s="1"/>
  <c r="EV163" i="9"/>
  <c r="FK163" i="9" s="1"/>
  <c r="FV164" i="9"/>
  <c r="EV155" i="9"/>
  <c r="FK155" i="9" s="1"/>
  <c r="EV158" i="9"/>
  <c r="FK158" i="9" s="1"/>
  <c r="FS158" i="9"/>
  <c r="FU158" i="9" s="1"/>
  <c r="EV160" i="9"/>
  <c r="FK160" i="9" s="1"/>
  <c r="EV162" i="9"/>
  <c r="FK162" i="9" s="1"/>
  <c r="HA163" i="9"/>
  <c r="EV165" i="9"/>
  <c r="FK165" i="9" s="1"/>
  <c r="I166" i="9"/>
  <c r="GZ168" i="9"/>
  <c r="FC169" i="9"/>
  <c r="FV171" i="9"/>
  <c r="FV173" i="9"/>
  <c r="FV177" i="9"/>
  <c r="I183" i="9"/>
  <c r="FU183" i="9"/>
  <c r="FU184" i="9"/>
  <c r="FU185" i="9"/>
  <c r="FU186" i="9"/>
  <c r="FV189" i="9"/>
  <c r="FV191" i="9"/>
  <c r="FV193" i="9"/>
  <c r="EY164" i="9"/>
  <c r="EX164" i="9" s="1"/>
  <c r="FV166" i="9"/>
  <c r="GZ170" i="9"/>
  <c r="GX170" i="9"/>
  <c r="HB170" i="9" s="1"/>
  <c r="FS171" i="9"/>
  <c r="FU171" i="9" s="1"/>
  <c r="EV171" i="9"/>
  <c r="FK171" i="9" s="1"/>
  <c r="GZ172" i="9"/>
  <c r="GX172" i="9"/>
  <c r="HB172" i="9" s="1"/>
  <c r="FS173" i="9"/>
  <c r="FU173" i="9" s="1"/>
  <c r="EV173" i="9"/>
  <c r="FK173" i="9" s="1"/>
  <c r="FV176" i="9"/>
  <c r="GX182" i="9"/>
  <c r="HB182" i="9" s="1"/>
  <c r="GZ182" i="9"/>
  <c r="FV183" i="9"/>
  <c r="FV184" i="9"/>
  <c r="FV185" i="9"/>
  <c r="FV186" i="9"/>
  <c r="FU187" i="9"/>
  <c r="FU190" i="9"/>
  <c r="FV194" i="9"/>
  <c r="FV195" i="9"/>
  <c r="HA250" i="9"/>
  <c r="GX166" i="9"/>
  <c r="HB166" i="9" s="1"/>
  <c r="GK167" i="9"/>
  <c r="GX167" i="9"/>
  <c r="HB167" i="9" s="1"/>
  <c r="I169" i="9"/>
  <c r="GK169" i="9"/>
  <c r="GX169" i="9"/>
  <c r="HB169" i="9" s="1"/>
  <c r="FV175" i="9"/>
  <c r="FV179" i="9"/>
  <c r="FV181" i="9"/>
  <c r="FV187" i="9"/>
  <c r="FU188" i="9"/>
  <c r="FV190" i="9"/>
  <c r="FV197" i="9"/>
  <c r="EY194" i="9"/>
  <c r="FS194" i="9"/>
  <c r="FU194" i="9" s="1"/>
  <c r="EY195" i="9"/>
  <c r="FS195" i="9"/>
  <c r="FU195" i="9" s="1"/>
  <c r="EY196" i="9"/>
  <c r="EX196" i="9" s="1"/>
  <c r="FS198" i="9"/>
  <c r="FU198" i="9" s="1"/>
  <c r="EV198" i="9"/>
  <c r="FK198" i="9" s="1"/>
  <c r="EX204" i="9"/>
  <c r="EV204" i="9"/>
  <c r="FK204" i="9" s="1"/>
  <c r="FV213" i="9"/>
  <c r="HA217" i="9"/>
  <c r="GX217" i="9"/>
  <c r="HB217" i="9" s="1"/>
  <c r="GZ218" i="9"/>
  <c r="GX218" i="9"/>
  <c r="HB218" i="9" s="1"/>
  <c r="GX220" i="9"/>
  <c r="HB220" i="9" s="1"/>
  <c r="GZ220" i="9"/>
  <c r="EY184" i="9"/>
  <c r="EY185" i="9"/>
  <c r="EY186" i="9"/>
  <c r="EY187" i="9"/>
  <c r="EY188" i="9"/>
  <c r="EY189" i="9"/>
  <c r="EY190" i="9"/>
  <c r="EY191" i="9"/>
  <c r="FB193" i="9"/>
  <c r="FC193" i="9" s="1"/>
  <c r="GX193" i="9"/>
  <c r="HB193" i="9" s="1"/>
  <c r="GX194" i="9"/>
  <c r="HB194" i="9" s="1"/>
  <c r="GX195" i="9"/>
  <c r="HB195" i="9" s="1"/>
  <c r="FB197" i="9"/>
  <c r="FC197" i="9" s="1"/>
  <c r="GX197" i="9"/>
  <c r="HB197" i="9" s="1"/>
  <c r="GK199" i="9"/>
  <c r="GX199" i="9"/>
  <c r="HB199" i="9" s="1"/>
  <c r="EX203" i="9"/>
  <c r="EV203" i="9"/>
  <c r="FK203" i="9" s="1"/>
  <c r="FU203" i="9"/>
  <c r="FV204" i="9"/>
  <c r="GX204" i="9"/>
  <c r="HB204" i="9" s="1"/>
  <c r="FV205" i="9"/>
  <c r="FV210" i="9"/>
  <c r="FT214" i="9"/>
  <c r="FV214" i="9" s="1"/>
  <c r="EW214" i="9"/>
  <c r="FM214" i="9" s="1"/>
  <c r="FS215" i="9"/>
  <c r="FU215" i="9" s="1"/>
  <c r="EV215" i="9"/>
  <c r="FK215" i="9" s="1"/>
  <c r="EV224" i="9"/>
  <c r="FK224" i="9" s="1"/>
  <c r="EX224" i="9"/>
  <c r="FS224" i="9"/>
  <c r="FU224" i="9" s="1"/>
  <c r="EY224" i="9"/>
  <c r="FB172" i="9"/>
  <c r="FC172" i="9" s="1"/>
  <c r="EX174" i="9"/>
  <c r="EX175" i="9"/>
  <c r="EX176" i="9"/>
  <c r="EX177" i="9"/>
  <c r="EX178" i="9"/>
  <c r="EX179" i="9"/>
  <c r="EX180" i="9"/>
  <c r="EX181" i="9"/>
  <c r="EW182" i="9"/>
  <c r="FM182" i="9" s="1"/>
  <c r="GX183" i="9"/>
  <c r="HB183" i="9" s="1"/>
  <c r="GX184" i="9"/>
  <c r="HB184" i="9" s="1"/>
  <c r="GX185" i="9"/>
  <c r="HB185" i="9" s="1"/>
  <c r="GX186" i="9"/>
  <c r="HB186" i="9" s="1"/>
  <c r="CG187" i="9"/>
  <c r="GX187" i="9"/>
  <c r="HB187" i="9" s="1"/>
  <c r="CG188" i="9"/>
  <c r="GX188" i="9"/>
  <c r="HB188" i="9" s="1"/>
  <c r="GX189" i="9"/>
  <c r="HB189" i="9" s="1"/>
  <c r="GX190" i="9"/>
  <c r="HB190" i="9" s="1"/>
  <c r="GX191" i="9"/>
  <c r="HB191" i="9" s="1"/>
  <c r="EV194" i="9"/>
  <c r="FK194" i="9" s="1"/>
  <c r="EV195" i="9"/>
  <c r="FK195" i="9" s="1"/>
  <c r="EV196" i="9"/>
  <c r="FK196" i="9" s="1"/>
  <c r="FS196" i="9"/>
  <c r="FU196" i="9" s="1"/>
  <c r="FB198" i="9"/>
  <c r="FC198" i="9" s="1"/>
  <c r="GX198" i="9"/>
  <c r="HB198" i="9" s="1"/>
  <c r="EX202" i="9"/>
  <c r="EV202" i="9"/>
  <c r="FK202" i="9" s="1"/>
  <c r="FU202" i="9"/>
  <c r="FV203" i="9"/>
  <c r="GX203" i="9"/>
  <c r="HB203" i="9" s="1"/>
  <c r="EY204" i="9"/>
  <c r="FS204" i="9"/>
  <c r="FU204" i="9" s="1"/>
  <c r="FV208" i="9"/>
  <c r="FV211" i="9"/>
  <c r="GZ223" i="9"/>
  <c r="GX223" i="9"/>
  <c r="HB223" i="9" s="1"/>
  <c r="EY174" i="9"/>
  <c r="EY175" i="9"/>
  <c r="EY176" i="9"/>
  <c r="EY177" i="9"/>
  <c r="EY178" i="9"/>
  <c r="EY179" i="9"/>
  <c r="EY180" i="9"/>
  <c r="EY181" i="9"/>
  <c r="EY198" i="9"/>
  <c r="EX198" i="9" s="1"/>
  <c r="FV202" i="9"/>
  <c r="GX202" i="9"/>
  <c r="HB202" i="9" s="1"/>
  <c r="FS205" i="9"/>
  <c r="FU205" i="9" s="1"/>
  <c r="EV205" i="9"/>
  <c r="FK205" i="9" s="1"/>
  <c r="GK205" i="9"/>
  <c r="FT206" i="9"/>
  <c r="FV206" i="9" s="1"/>
  <c r="EW206" i="9"/>
  <c r="FM206" i="9" s="1"/>
  <c r="GX222" i="9"/>
  <c r="HB222" i="9" s="1"/>
  <c r="HA222" i="9"/>
  <c r="EV200" i="9"/>
  <c r="FK200" i="9" s="1"/>
  <c r="EX207" i="9"/>
  <c r="EX208" i="9"/>
  <c r="HA208" i="9"/>
  <c r="EX209" i="9"/>
  <c r="HA209" i="9"/>
  <c r="EX210" i="9"/>
  <c r="HA210" i="9"/>
  <c r="EX211" i="9"/>
  <c r="HA211" i="9"/>
  <c r="EX212" i="9"/>
  <c r="GK215" i="9"/>
  <c r="GX215" i="9"/>
  <c r="HB215" i="9" s="1"/>
  <c r="EX216" i="9"/>
  <c r="GK216" i="9"/>
  <c r="GX216" i="9"/>
  <c r="HB216" i="9" s="1"/>
  <c r="GK217" i="9"/>
  <c r="CG220" i="9"/>
  <c r="CD220" i="9"/>
  <c r="CF220" i="9" s="1"/>
  <c r="GX221" i="9"/>
  <c r="HB221" i="9" s="1"/>
  <c r="HA221" i="9"/>
  <c r="EV223" i="9"/>
  <c r="FK223" i="9" s="1"/>
  <c r="EX223" i="9"/>
  <c r="FS223" i="9"/>
  <c r="FU223" i="9" s="1"/>
  <c r="EY223" i="9"/>
  <c r="FT226" i="9"/>
  <c r="EW226" i="9"/>
  <c r="FM226" i="9" s="1"/>
  <c r="EX228" i="9"/>
  <c r="EV228" i="9"/>
  <c r="FK228" i="9" s="1"/>
  <c r="FS228" i="9"/>
  <c r="EY228" i="9"/>
  <c r="FH243" i="9"/>
  <c r="L245" i="9"/>
  <c r="BF244" i="9"/>
  <c r="AX244" i="9"/>
  <c r="AX245" i="9" s="1"/>
  <c r="EY207" i="9"/>
  <c r="EY208" i="9"/>
  <c r="EY209" i="9"/>
  <c r="EY210" i="9"/>
  <c r="EY211" i="9"/>
  <c r="EY212" i="9"/>
  <c r="GX219" i="9"/>
  <c r="HB219" i="9" s="1"/>
  <c r="GZ219" i="9"/>
  <c r="EV222" i="9"/>
  <c r="FK222" i="9" s="1"/>
  <c r="EX222" i="9"/>
  <c r="FU222" i="9"/>
  <c r="FV225" i="9"/>
  <c r="GZ225" i="9"/>
  <c r="GX225" i="9"/>
  <c r="HB225" i="9" s="1"/>
  <c r="FV226" i="9"/>
  <c r="FU227" i="9"/>
  <c r="GX214" i="9"/>
  <c r="HB214" i="9" s="1"/>
  <c r="FU220" i="9"/>
  <c r="FU221" i="9"/>
  <c r="FV222" i="9"/>
  <c r="FV224" i="9"/>
  <c r="GZ224" i="9"/>
  <c r="GX224" i="9"/>
  <c r="HB224" i="9" s="1"/>
  <c r="EV225" i="9"/>
  <c r="FK225" i="9" s="1"/>
  <c r="EX225" i="9"/>
  <c r="FS225" i="9"/>
  <c r="FU225" i="9" s="1"/>
  <c r="EY225" i="9"/>
  <c r="HA226" i="9"/>
  <c r="GX226" i="9"/>
  <c r="HB226" i="9" s="1"/>
  <c r="FU228" i="9"/>
  <c r="EY213" i="9"/>
  <c r="EV218" i="9"/>
  <c r="FK218" i="9" s="1"/>
  <c r="EV219" i="9"/>
  <c r="FK219" i="9" s="1"/>
  <c r="EV220" i="9"/>
  <c r="FK220" i="9" s="1"/>
  <c r="EV227" i="9"/>
  <c r="FK227" i="9" s="1"/>
  <c r="FV227" i="9"/>
  <c r="GX228" i="9"/>
  <c r="HB228" i="9" s="1"/>
  <c r="EV231" i="9"/>
  <c r="FK231" i="9" s="1"/>
  <c r="GX231" i="9"/>
  <c r="HB231" i="9" s="1"/>
  <c r="EV232" i="9"/>
  <c r="FK232" i="9" s="1"/>
  <c r="EW233" i="9"/>
  <c r="FM233" i="9" s="1"/>
  <c r="EY218" i="9"/>
  <c r="EY219" i="9"/>
  <c r="EY220" i="9"/>
  <c r="GX230" i="9"/>
  <c r="HB230" i="9" s="1"/>
  <c r="EY231" i="9"/>
  <c r="FV228" i="9"/>
  <c r="EV233" i="9"/>
  <c r="FK233" i="9" s="1"/>
  <c r="GZ234" i="9"/>
  <c r="CD235" i="9"/>
  <c r="CF235" i="9" s="1"/>
  <c r="FU235" i="9"/>
  <c r="CD238" i="9"/>
  <c r="CF238" i="9" s="1"/>
  <c r="GZ238" i="9"/>
  <c r="GX238" i="9"/>
  <c r="HB238" i="9" s="1"/>
  <c r="I239" i="9"/>
  <c r="X245" i="9"/>
  <c r="AB245" i="9"/>
  <c r="AF245" i="9"/>
  <c r="AJ245" i="9"/>
  <c r="AN245" i="9"/>
  <c r="AR245" i="9"/>
  <c r="AV245" i="9"/>
  <c r="GY251" i="9"/>
  <c r="FT234" i="9"/>
  <c r="FV234" i="9" s="1"/>
  <c r="EW234" i="9"/>
  <c r="FM234" i="9" s="1"/>
  <c r="FT237" i="9"/>
  <c r="FV237" i="9" s="1"/>
  <c r="EW237" i="9"/>
  <c r="FM237" i="9" s="1"/>
  <c r="Y245" i="9"/>
  <c r="AG245" i="9"/>
  <c r="AK245" i="9"/>
  <c r="AO245" i="9"/>
  <c r="AS245" i="9"/>
  <c r="GV259" i="9"/>
  <c r="I235" i="9"/>
  <c r="GZ235" i="9"/>
  <c r="GX235" i="9"/>
  <c r="HB235" i="9" s="1"/>
  <c r="FS236" i="9"/>
  <c r="FU236" i="9" s="1"/>
  <c r="EV236" i="9"/>
  <c r="FK236" i="9" s="1"/>
  <c r="CD239" i="9"/>
  <c r="CF239" i="9" s="1"/>
  <c r="CG239" i="9"/>
  <c r="CG249" i="9" s="1"/>
  <c r="CI249" i="9" s="1"/>
  <c r="EV243" i="9"/>
  <c r="GY249" i="9"/>
  <c r="GX259" i="9"/>
  <c r="FV255" i="9" l="1"/>
  <c r="CI248" i="9"/>
  <c r="FK255" i="9"/>
  <c r="FT255" i="9"/>
  <c r="HB250" i="9"/>
  <c r="HC250" i="9" s="1"/>
  <c r="HA259" i="9"/>
  <c r="HE259" i="9" s="1"/>
  <c r="I243" i="9"/>
  <c r="HF250" i="9"/>
  <c r="HB251" i="9"/>
  <c r="HB160" i="9"/>
  <c r="CH250" i="9"/>
  <c r="HB255" i="9"/>
  <c r="HB9" i="9"/>
  <c r="FS255" i="9"/>
  <c r="FV45" i="9"/>
  <c r="HB253" i="9"/>
  <c r="HB28" i="9"/>
  <c r="CD249" i="9"/>
  <c r="CF13" i="9"/>
  <c r="CF249" i="9" s="1"/>
  <c r="HB252" i="9"/>
  <c r="FU255" i="9"/>
  <c r="HB248" i="9"/>
  <c r="HB27" i="9"/>
  <c r="GX243" i="9"/>
  <c r="HB243" i="9" s="1"/>
  <c r="GZ243" i="9"/>
  <c r="BA244" i="9"/>
  <c r="BA245" i="9" s="1"/>
  <c r="CD248" i="9"/>
  <c r="CF91" i="9"/>
  <c r="CF248" i="9" s="1"/>
  <c r="CH248" i="9" s="1"/>
  <c r="HB254" i="9"/>
  <c r="HB85" i="9"/>
  <c r="HB249" i="9"/>
  <c r="HB17" i="9"/>
  <c r="GZ259" i="9"/>
  <c r="HD259" i="9" s="1"/>
  <c r="BG244" i="9"/>
  <c r="BG245" i="9" s="1"/>
  <c r="BF245" i="9"/>
  <c r="HB256" i="9"/>
  <c r="HB258" i="9"/>
  <c r="HB55" i="9"/>
  <c r="HB257" i="9"/>
  <c r="HB42" i="9"/>
  <c r="BJ244" i="9" l="1"/>
  <c r="BS244" i="9" s="1"/>
  <c r="HC256" i="9"/>
  <c r="HF256" i="9"/>
  <c r="HF254" i="9"/>
  <c r="HC254" i="9"/>
  <c r="HC251" i="9"/>
  <c r="HF251" i="9"/>
  <c r="HC258" i="9"/>
  <c r="HF258" i="9"/>
  <c r="HC248" i="9"/>
  <c r="HB259" i="9"/>
  <c r="HF259" i="9" s="1"/>
  <c r="HF248" i="9"/>
  <c r="HC252" i="9"/>
  <c r="HF252" i="9"/>
  <c r="HF253" i="9"/>
  <c r="HC253" i="9"/>
  <c r="HC255" i="9"/>
  <c r="HF255" i="9"/>
  <c r="HC257" i="9"/>
  <c r="HF257" i="9"/>
  <c r="HC249" i="9"/>
  <c r="HF249" i="9"/>
  <c r="CH249" i="9"/>
  <c r="BJ245" i="9" l="1"/>
  <c r="CI83" i="9" l="1"/>
  <c r="CJ83" i="9" s="1"/>
  <c r="CI43" i="9"/>
  <c r="CJ43" i="9" s="1"/>
  <c r="CI136" i="9"/>
  <c r="CJ136" i="9" s="1"/>
  <c r="CI178" i="9"/>
  <c r="CJ178" i="9" s="1"/>
  <c r="CI93" i="9"/>
  <c r="CJ93" i="9" s="1"/>
  <c r="CI148" i="9"/>
  <c r="CJ148" i="9" s="1"/>
  <c r="CI166" i="9"/>
  <c r="CJ166" i="9" s="1"/>
  <c r="CI15" i="9"/>
  <c r="CJ15" i="9" s="1"/>
  <c r="CI116" i="9"/>
  <c r="CJ116" i="9" s="1"/>
  <c r="CI112" i="9"/>
  <c r="CJ112" i="9" s="1"/>
  <c r="CI109" i="9"/>
  <c r="CJ109" i="9" s="1"/>
  <c r="CI225" i="9"/>
  <c r="CJ225" i="9" s="1"/>
  <c r="CI212" i="9"/>
  <c r="CJ212" i="9" s="1"/>
  <c r="CI197" i="9"/>
  <c r="CJ197" i="9" s="1"/>
  <c r="CI68" i="9"/>
  <c r="CJ68" i="9" s="1"/>
  <c r="CI182" i="9"/>
  <c r="CJ182" i="9" s="1"/>
  <c r="CI115" i="9"/>
  <c r="CJ115" i="9" s="1"/>
  <c r="CI193" i="9"/>
  <c r="CJ193" i="9" s="1"/>
  <c r="CI217" i="9"/>
  <c r="CJ217" i="9" s="1"/>
  <c r="CI211" i="9"/>
  <c r="CJ211" i="9" s="1"/>
  <c r="CI71" i="9"/>
  <c r="CJ71" i="9" s="1"/>
  <c r="CI129" i="9"/>
  <c r="CJ129" i="9" s="1"/>
  <c r="CI91" i="9"/>
  <c r="CJ91" i="9" s="1"/>
  <c r="CI188" i="9"/>
  <c r="CJ188" i="9" s="1"/>
  <c r="CI228" i="9"/>
  <c r="CJ228" i="9" s="1"/>
  <c r="CI145" i="9"/>
  <c r="CJ145" i="9" s="1"/>
  <c r="CI219" i="9"/>
  <c r="CJ219" i="9" s="1"/>
  <c r="CI114" i="9"/>
  <c r="CJ114" i="9" s="1"/>
  <c r="CI41" i="9"/>
  <c r="CJ41" i="9" s="1"/>
  <c r="CI14" i="9"/>
  <c r="CJ14" i="9" s="1"/>
  <c r="CI206" i="9"/>
  <c r="CJ206" i="9" s="1"/>
  <c r="CI55" i="9"/>
  <c r="CJ55" i="9" s="1"/>
  <c r="CI97" i="9"/>
  <c r="CJ97" i="9" s="1"/>
  <c r="CI60" i="9"/>
  <c r="CJ60" i="9" s="1"/>
  <c r="CI144" i="9"/>
  <c r="CJ144" i="9" s="1"/>
  <c r="CI222" i="9"/>
  <c r="CJ222" i="9" s="1"/>
  <c r="CI140" i="9"/>
  <c r="CJ140" i="9" s="1"/>
  <c r="CI63" i="9"/>
  <c r="CJ63" i="9" s="1"/>
  <c r="CI165" i="9"/>
  <c r="CJ165" i="9" s="1"/>
  <c r="CI65" i="9"/>
  <c r="CJ65" i="9" s="1"/>
  <c r="CI146" i="9"/>
  <c r="CJ146" i="9" s="1"/>
  <c r="CI10" i="9"/>
  <c r="CJ10" i="9" s="1"/>
  <c r="CI156" i="9"/>
  <c r="CJ156" i="9" s="1"/>
  <c r="CI52" i="9"/>
  <c r="CJ52" i="9" s="1"/>
  <c r="CI164" i="9"/>
  <c r="CJ164" i="9" s="1"/>
  <c r="CI88" i="9"/>
  <c r="CJ88" i="9" s="1"/>
  <c r="CI105" i="9"/>
  <c r="CJ105" i="9" s="1"/>
  <c r="CI227" i="9"/>
  <c r="CJ227" i="9" s="1"/>
  <c r="CI64" i="9"/>
  <c r="CJ64" i="9" s="1"/>
  <c r="CI138" i="9"/>
  <c r="CJ138" i="9" s="1"/>
  <c r="CI118" i="9"/>
  <c r="CJ118" i="9" s="1"/>
  <c r="CI42" i="9"/>
  <c r="CJ42" i="9" s="1"/>
  <c r="CI53" i="9"/>
  <c r="CJ53" i="9" s="1"/>
  <c r="CI123" i="9"/>
  <c r="CJ123" i="9" s="1"/>
  <c r="CI31" i="9"/>
  <c r="CJ31" i="9" s="1"/>
  <c r="CI214" i="9"/>
  <c r="CJ214" i="9" s="1"/>
  <c r="CI85" i="9"/>
  <c r="CJ85" i="9" s="1"/>
  <c r="CI174" i="9"/>
  <c r="CJ174" i="9" s="1"/>
  <c r="CI82" i="9"/>
  <c r="CJ82" i="9" s="1"/>
  <c r="CI26" i="9"/>
  <c r="CJ26" i="9" s="1"/>
  <c r="CI22" i="9"/>
  <c r="CJ22" i="9" s="1"/>
  <c r="CI122" i="9"/>
  <c r="CJ122" i="9" s="1"/>
  <c r="CI160" i="9"/>
  <c r="CJ160" i="9" s="1"/>
  <c r="CI86" i="9"/>
  <c r="CJ86" i="9" s="1"/>
  <c r="CI127" i="9"/>
  <c r="CJ127" i="9" s="1"/>
  <c r="CI201" i="9"/>
  <c r="CJ201" i="9" s="1"/>
  <c r="CI184" i="9"/>
  <c r="CJ184" i="9" s="1"/>
  <c r="CI205" i="9"/>
  <c r="CJ205" i="9" s="1"/>
  <c r="CI72" i="9"/>
  <c r="CJ72" i="9" s="1"/>
  <c r="CI78" i="9"/>
  <c r="CJ78" i="9" s="1"/>
  <c r="CI24" i="9"/>
  <c r="CJ24" i="9" s="1"/>
  <c r="CI159" i="9"/>
  <c r="CJ159" i="9" s="1"/>
  <c r="CI69" i="9"/>
  <c r="CJ69" i="9" s="1"/>
  <c r="CI154" i="9"/>
  <c r="CJ154" i="9" s="1"/>
  <c r="CI203" i="9"/>
  <c r="CJ203" i="9" s="1"/>
  <c r="CI125" i="9"/>
  <c r="CJ125" i="9" s="1"/>
  <c r="CI95" i="9"/>
  <c r="CJ95" i="9" s="1"/>
  <c r="CI103" i="9"/>
  <c r="CJ103" i="9" s="1"/>
  <c r="CI27" i="9"/>
  <c r="CJ27" i="9" s="1"/>
  <c r="CI216" i="9"/>
  <c r="CJ216" i="9" s="1"/>
  <c r="CI49" i="9"/>
  <c r="CJ49" i="9" s="1"/>
  <c r="CI120" i="9"/>
  <c r="CJ120" i="9" s="1"/>
  <c r="CI151" i="9"/>
  <c r="CJ151" i="9" s="1"/>
  <c r="CI235" i="9"/>
  <c r="CJ235" i="9" s="1"/>
  <c r="CI23" i="9"/>
  <c r="CJ23" i="9" s="1"/>
  <c r="CI176" i="9"/>
  <c r="CJ176" i="9" s="1"/>
  <c r="CI45" i="9"/>
  <c r="CJ45" i="9" s="1"/>
  <c r="CI147" i="9"/>
  <c r="CJ147" i="9" s="1"/>
  <c r="CI21" i="9"/>
  <c r="CJ21" i="9" s="1"/>
  <c r="CI20" i="9"/>
  <c r="CJ20" i="9" s="1"/>
  <c r="CI155" i="9"/>
  <c r="CJ155" i="9" s="1"/>
  <c r="CI61" i="9"/>
  <c r="CJ61" i="9" s="1"/>
  <c r="CI134" i="9"/>
  <c r="CJ134" i="9" s="1"/>
  <c r="CI128" i="9"/>
  <c r="CJ128" i="9" s="1"/>
  <c r="CI233" i="9"/>
  <c r="CJ233" i="9" s="1"/>
  <c r="CI38" i="9"/>
  <c r="CJ38" i="9" s="1"/>
  <c r="CI237" i="9"/>
  <c r="CJ237" i="9" s="1"/>
  <c r="CI119" i="9"/>
  <c r="CJ119" i="9" s="1"/>
  <c r="CI198" i="9"/>
  <c r="CJ198" i="9" s="1"/>
  <c r="CI124" i="9"/>
  <c r="CJ124" i="9" s="1"/>
  <c r="CI35" i="9"/>
  <c r="CJ35" i="9" s="1"/>
  <c r="CI186" i="9"/>
  <c r="CJ186" i="9" s="1"/>
  <c r="CI96" i="9"/>
  <c r="CJ96" i="9" s="1"/>
  <c r="CI132" i="9"/>
  <c r="CJ132" i="9" s="1"/>
  <c r="CI33" i="9"/>
  <c r="CJ33" i="9" s="1"/>
  <c r="CI168" i="9"/>
  <c r="CJ168" i="9" s="1"/>
  <c r="CI239" i="9"/>
  <c r="CJ239" i="9" s="1"/>
  <c r="CI229" i="9"/>
  <c r="CJ229" i="9" s="1"/>
  <c r="CI39" i="9"/>
  <c r="CJ39" i="9" s="1"/>
  <c r="CI221" i="9"/>
  <c r="CJ221" i="9" s="1"/>
  <c r="CI131" i="9"/>
  <c r="CJ131" i="9" s="1"/>
  <c r="CI70" i="9"/>
  <c r="CJ70" i="9" s="1"/>
  <c r="CI230" i="9"/>
  <c r="CJ230" i="9" s="1"/>
  <c r="CI30" i="9"/>
  <c r="CJ30" i="9" s="1"/>
  <c r="CI25" i="9"/>
  <c r="CJ25" i="9" s="1"/>
  <c r="CI157" i="9"/>
  <c r="CJ157" i="9" s="1"/>
  <c r="CI200" i="9"/>
  <c r="CJ200" i="9" s="1"/>
  <c r="CI238" i="9"/>
  <c r="CJ238" i="9" s="1"/>
  <c r="CI90" i="9"/>
  <c r="CJ90" i="9" s="1"/>
  <c r="CI29" i="9"/>
  <c r="CJ29" i="9" s="1"/>
  <c r="CI46" i="9"/>
  <c r="CJ46" i="9" s="1"/>
  <c r="CI183" i="9"/>
  <c r="CJ183" i="9" s="1"/>
  <c r="CI172" i="9"/>
  <c r="CJ172" i="9" s="1"/>
  <c r="CI209" i="9"/>
  <c r="CJ209" i="9" s="1"/>
  <c r="CI180" i="9"/>
  <c r="CJ180" i="9" s="1"/>
  <c r="CI141" i="9"/>
  <c r="CJ141" i="9" s="1"/>
  <c r="CI175" i="9"/>
  <c r="CJ175" i="9" s="1"/>
  <c r="CI173" i="9"/>
  <c r="CJ173" i="9" s="1"/>
  <c r="CI107" i="9"/>
  <c r="CJ107" i="9" s="1"/>
  <c r="CI149" i="9"/>
  <c r="CJ149" i="9" s="1"/>
  <c r="CI50" i="9"/>
  <c r="CJ50" i="9" s="1"/>
  <c r="CI196" i="9"/>
  <c r="CJ196" i="9" s="1"/>
  <c r="CI133" i="9"/>
  <c r="CJ133" i="9" s="1"/>
  <c r="CI137" i="9"/>
  <c r="CJ137" i="9" s="1"/>
  <c r="CI67" i="9"/>
  <c r="CJ67" i="9" s="1"/>
  <c r="CI81" i="9"/>
  <c r="CJ81" i="9" s="1"/>
  <c r="CI181" i="9"/>
  <c r="CJ181" i="9" s="1"/>
  <c r="CI56" i="9"/>
  <c r="CJ56" i="9" s="1"/>
  <c r="CI177" i="9"/>
  <c r="CJ177" i="9" s="1"/>
  <c r="CI236" i="9"/>
  <c r="CJ236" i="9" s="1"/>
  <c r="CI126" i="9"/>
  <c r="CJ126" i="9" s="1"/>
  <c r="CI40" i="9"/>
  <c r="CJ40" i="9" s="1"/>
  <c r="CI220" i="9"/>
  <c r="CJ220" i="9" s="1"/>
  <c r="CI74" i="9"/>
  <c r="CJ74" i="9" s="1"/>
  <c r="CI232" i="9"/>
  <c r="CJ232" i="9" s="1"/>
  <c r="CI75" i="9"/>
  <c r="CJ75" i="9" s="1"/>
  <c r="CI32" i="9"/>
  <c r="CJ32" i="9" s="1"/>
  <c r="CI192" i="9"/>
  <c r="CJ192" i="9" s="1"/>
  <c r="CI223" i="9"/>
  <c r="CJ223" i="9" s="1"/>
  <c r="CI207" i="9"/>
  <c r="CJ207" i="9" s="1"/>
  <c r="CI169" i="9"/>
  <c r="CJ169" i="9" s="1"/>
  <c r="CI16" i="9"/>
  <c r="CJ16" i="9" s="1"/>
  <c r="CI158" i="9"/>
  <c r="CJ158" i="9" s="1"/>
  <c r="CI215" i="9"/>
  <c r="CJ215" i="9" s="1"/>
  <c r="CI204" i="9"/>
  <c r="CJ204" i="9" s="1"/>
  <c r="CI57" i="9"/>
  <c r="CJ57" i="9" s="1"/>
  <c r="CI13" i="9"/>
  <c r="CJ13" i="9" s="1"/>
  <c r="CI44" i="9"/>
  <c r="CJ44" i="9" s="1"/>
  <c r="CI76" i="9"/>
  <c r="CJ76" i="9" s="1"/>
  <c r="CI130" i="9"/>
  <c r="CJ130" i="9" s="1"/>
  <c r="CI106" i="9"/>
  <c r="CJ106" i="9" s="1"/>
  <c r="CI195" i="9"/>
  <c r="CJ195" i="9" s="1"/>
  <c r="CI92" i="9"/>
  <c r="CJ92" i="9" s="1"/>
  <c r="CI54" i="9"/>
  <c r="CJ54" i="9" s="1"/>
  <c r="CI36" i="9"/>
  <c r="CJ36" i="9" s="1"/>
  <c r="CI139" i="9"/>
  <c r="CJ139" i="9" s="1"/>
  <c r="CI28" i="9"/>
  <c r="CJ28" i="9" s="1"/>
  <c r="CI47" i="9"/>
  <c r="CJ47" i="9" s="1"/>
  <c r="CI213" i="9"/>
  <c r="CJ213" i="9" s="1"/>
  <c r="CI100" i="9"/>
  <c r="CJ100" i="9" s="1"/>
  <c r="CI12" i="9"/>
  <c r="CJ12" i="9" s="1"/>
  <c r="CI94" i="9"/>
  <c r="CJ94" i="9" s="1"/>
  <c r="CI210" i="9"/>
  <c r="CJ210" i="9" s="1"/>
  <c r="CI79" i="9"/>
  <c r="CJ79" i="9" s="1"/>
  <c r="CI152" i="9"/>
  <c r="CJ152" i="9" s="1"/>
  <c r="CI187" i="9"/>
  <c r="CJ187" i="9" s="1"/>
  <c r="CI191" i="9"/>
  <c r="CJ191" i="9" s="1"/>
  <c r="CI111" i="9"/>
  <c r="CJ111" i="9" s="1"/>
  <c r="CI231" i="9"/>
  <c r="CJ231" i="9" s="1"/>
  <c r="CI84" i="9"/>
  <c r="CJ84" i="9" s="1"/>
  <c r="CI17" i="9"/>
  <c r="CJ17" i="9" s="1"/>
  <c r="CI101" i="9"/>
  <c r="CJ101" i="9" s="1"/>
  <c r="CI98" i="9"/>
  <c r="CJ98" i="9" s="1"/>
  <c r="CI143" i="9"/>
  <c r="CJ143" i="9" s="1"/>
  <c r="CI19" i="9"/>
  <c r="CJ19" i="9" s="1"/>
  <c r="CI48" i="9"/>
  <c r="CJ48" i="9" s="1"/>
  <c r="CI194" i="9"/>
  <c r="CJ194" i="9" s="1"/>
  <c r="CI189" i="9"/>
  <c r="CJ189" i="9" s="1"/>
  <c r="CI142" i="9"/>
  <c r="CJ142" i="9" s="1"/>
  <c r="CI73" i="9"/>
  <c r="CJ73" i="9" s="1"/>
  <c r="CI226" i="9"/>
  <c r="CJ226" i="9" s="1"/>
  <c r="CI167" i="9"/>
  <c r="CJ167" i="9" s="1"/>
  <c r="CI179" i="9"/>
  <c r="CJ179" i="9" s="1"/>
  <c r="CI80" i="9"/>
  <c r="CJ80" i="9" s="1"/>
  <c r="CI224" i="9"/>
  <c r="CJ224" i="9" s="1"/>
  <c r="CI99" i="9"/>
  <c r="CJ99" i="9" s="1"/>
  <c r="CI218" i="9"/>
  <c r="CJ218" i="9" s="1"/>
  <c r="CI34" i="9"/>
  <c r="CJ34" i="9" s="1"/>
  <c r="CI185" i="9"/>
  <c r="CJ185" i="9" s="1"/>
  <c r="CI102" i="9"/>
  <c r="CJ102" i="9" s="1"/>
  <c r="CI117" i="9"/>
  <c r="CJ117" i="9" s="1"/>
  <c r="CI163" i="9"/>
  <c r="CJ163" i="9" s="1"/>
  <c r="CI87" i="9"/>
  <c r="CJ87" i="9" s="1"/>
  <c r="CI89" i="9"/>
  <c r="CJ89" i="9" s="1"/>
  <c r="CI234" i="9"/>
  <c r="CJ234" i="9" s="1"/>
  <c r="CI162" i="9"/>
  <c r="CJ162" i="9" s="1"/>
  <c r="CI199" i="9"/>
  <c r="CJ199" i="9" s="1"/>
  <c r="CI62" i="9"/>
  <c r="CJ62" i="9" s="1"/>
  <c r="CI208" i="9"/>
  <c r="CJ208" i="9" s="1"/>
  <c r="CI150" i="9"/>
  <c r="CJ150" i="9" s="1"/>
  <c r="CI153" i="9"/>
  <c r="CJ153" i="9" s="1"/>
  <c r="CI121" i="9"/>
  <c r="CJ121" i="9" s="1"/>
  <c r="BU178" i="9"/>
  <c r="BV178" i="9" s="1"/>
  <c r="BB178" i="9"/>
  <c r="BB194" i="9"/>
  <c r="BU194" i="9"/>
  <c r="BV194" i="9" s="1"/>
  <c r="BU104" i="9"/>
  <c r="BV104" i="9" s="1"/>
  <c r="BB104" i="9"/>
  <c r="BU204" i="9"/>
  <c r="BV204" i="9" s="1"/>
  <c r="BB204" i="9"/>
  <c r="BB48" i="9"/>
  <c r="BU48" i="9"/>
  <c r="BV48" i="9" s="1"/>
  <c r="BB122" i="9"/>
  <c r="BU122" i="9"/>
  <c r="BV122" i="9" s="1"/>
  <c r="BU195" i="9"/>
  <c r="BV195" i="9" s="1"/>
  <c r="BB195" i="9"/>
  <c r="BU96" i="9"/>
  <c r="BV96" i="9" s="1"/>
  <c r="BB96" i="9"/>
  <c r="BB92" i="9"/>
  <c r="BU92" i="9"/>
  <c r="BV92" i="9" s="1"/>
  <c r="BU234" i="9"/>
  <c r="BV234" i="9" s="1"/>
  <c r="BB234" i="9"/>
  <c r="BU120" i="9"/>
  <c r="BV120" i="9" s="1"/>
  <c r="BB120" i="9"/>
  <c r="BB29" i="9"/>
  <c r="BU29" i="9"/>
  <c r="BV29" i="9" s="1"/>
  <c r="BU95" i="9"/>
  <c r="BV95" i="9" s="1"/>
  <c r="BB95" i="9"/>
  <c r="BU211" i="9"/>
  <c r="BV211" i="9" s="1"/>
  <c r="BB211" i="9"/>
  <c r="BU63" i="9"/>
  <c r="BV63" i="9" s="1"/>
  <c r="BB63" i="9"/>
  <c r="BB151" i="9"/>
  <c r="BU151" i="9"/>
  <c r="BV151" i="9" s="1"/>
  <c r="BB142" i="9"/>
  <c r="BU142" i="9"/>
  <c r="BV142" i="9" s="1"/>
  <c r="BU197" i="9"/>
  <c r="BV197" i="9" s="1"/>
  <c r="BB197" i="9"/>
  <c r="BB209" i="9"/>
  <c r="BU209" i="9"/>
  <c r="BV209" i="9" s="1"/>
  <c r="BB188" i="9"/>
  <c r="BU188" i="9"/>
  <c r="BV188" i="9" s="1"/>
  <c r="BU98" i="9"/>
  <c r="BV98" i="9" s="1"/>
  <c r="BB98" i="9"/>
  <c r="BU28" i="9"/>
  <c r="BV28" i="9" s="1"/>
  <c r="BB28" i="9"/>
  <c r="BB37" i="9"/>
  <c r="BU37" i="9"/>
  <c r="BV37" i="9" s="1"/>
  <c r="BB20" i="9"/>
  <c r="BU20" i="9"/>
  <c r="BV20" i="9" s="1"/>
  <c r="BB115" i="9"/>
  <c r="BU115" i="9"/>
  <c r="BV115" i="9" s="1"/>
  <c r="BB235" i="9"/>
  <c r="BU235" i="9"/>
  <c r="BV235" i="9" s="1"/>
  <c r="BU91" i="9"/>
  <c r="BV91" i="9" s="1"/>
  <c r="BB91" i="9"/>
  <c r="BU140" i="9"/>
  <c r="BV140" i="9" s="1"/>
  <c r="BB140" i="9"/>
  <c r="BU189" i="9"/>
  <c r="BV189" i="9" s="1"/>
  <c r="BB189" i="9"/>
  <c r="BB220" i="9"/>
  <c r="BU220" i="9"/>
  <c r="BV220" i="9" s="1"/>
  <c r="BU138" i="9"/>
  <c r="BV138" i="9" s="1"/>
  <c r="BB138" i="9"/>
  <c r="BU152" i="9"/>
  <c r="BV152" i="9" s="1"/>
  <c r="BB152" i="9"/>
  <c r="BU163" i="9"/>
  <c r="BV163" i="9" s="1"/>
  <c r="BB163" i="9"/>
  <c r="BB112" i="9"/>
  <c r="BU112" i="9"/>
  <c r="BV112" i="9" s="1"/>
  <c r="BB126" i="9"/>
  <c r="BU126" i="9"/>
  <c r="BV126" i="9" s="1"/>
  <c r="BB77" i="9"/>
  <c r="BU77" i="9"/>
  <c r="BV77" i="9" s="1"/>
  <c r="BU147" i="9"/>
  <c r="BV147" i="9" s="1"/>
  <c r="BB147" i="9"/>
  <c r="BU53" i="9"/>
  <c r="BV53" i="9" s="1"/>
  <c r="BB53" i="9"/>
  <c r="BB161" i="9"/>
  <c r="BU161" i="9"/>
  <c r="BV161" i="9" s="1"/>
  <c r="BB25" i="9"/>
  <c r="BU25" i="9"/>
  <c r="BV25" i="9" s="1"/>
  <c r="BU47" i="9"/>
  <c r="BV47" i="9" s="1"/>
  <c r="BB47" i="9"/>
  <c r="BU34" i="9"/>
  <c r="BV34" i="9" s="1"/>
  <c r="BB34" i="9"/>
  <c r="BB46" i="9"/>
  <c r="BU46" i="9"/>
  <c r="BV46" i="9" s="1"/>
  <c r="BU87" i="9"/>
  <c r="BV87" i="9" s="1"/>
  <c r="BB87" i="9"/>
  <c r="BB54" i="9"/>
  <c r="BU54" i="9"/>
  <c r="BV54" i="9" s="1"/>
  <c r="BU148" i="9"/>
  <c r="BV148" i="9" s="1"/>
  <c r="BB148" i="9"/>
  <c r="BB42" i="9"/>
  <c r="BU42" i="9"/>
  <c r="BV42" i="9" s="1"/>
  <c r="BB86" i="9"/>
  <c r="BU86" i="9"/>
  <c r="BV86" i="9" s="1"/>
  <c r="BB210" i="9"/>
  <c r="BU210" i="9"/>
  <c r="BV210" i="9" s="1"/>
  <c r="BU58" i="9"/>
  <c r="BV58" i="9" s="1"/>
  <c r="BB58" i="9"/>
  <c r="BU69" i="9"/>
  <c r="BV69" i="9" s="1"/>
  <c r="BB69" i="9"/>
  <c r="BB35" i="9"/>
  <c r="BU35" i="9"/>
  <c r="BV35" i="9" s="1"/>
  <c r="BB88" i="9"/>
  <c r="BU88" i="9"/>
  <c r="BV88" i="9" s="1"/>
  <c r="BB18" i="9"/>
  <c r="BU18" i="9"/>
  <c r="BV18" i="9" s="1"/>
  <c r="BB180" i="9"/>
  <c r="BU180" i="9"/>
  <c r="BV180" i="9" s="1"/>
  <c r="BB51" i="9"/>
  <c r="BU51" i="9"/>
  <c r="BV51" i="9" s="1"/>
  <c r="BU192" i="9"/>
  <c r="BV192" i="9" s="1"/>
  <c r="BB192" i="9"/>
  <c r="BB68" i="9"/>
  <c r="BU68" i="9"/>
  <c r="BV68" i="9" s="1"/>
  <c r="BB229" i="9"/>
  <c r="BU229" i="9"/>
  <c r="BV229" i="9" s="1"/>
  <c r="BB166" i="9"/>
  <c r="BU166" i="9"/>
  <c r="BV166" i="9" s="1"/>
  <c r="BU214" i="9"/>
  <c r="BV214" i="9" s="1"/>
  <c r="BB214" i="9"/>
  <c r="BB157" i="9"/>
  <c r="BU157" i="9"/>
  <c r="BV157" i="9" s="1"/>
  <c r="BU213" i="9"/>
  <c r="BV213" i="9" s="1"/>
  <c r="BB213" i="9"/>
  <c r="BU19" i="9"/>
  <c r="BV19" i="9" s="1"/>
  <c r="BB19" i="9"/>
  <c r="BU233" i="9"/>
  <c r="BV233" i="9" s="1"/>
  <c r="BB233" i="9"/>
  <c r="BB130" i="9"/>
  <c r="BU130" i="9"/>
  <c r="BV130" i="9" s="1"/>
  <c r="BB65" i="9"/>
  <c r="BU65" i="9"/>
  <c r="BV65" i="9" s="1"/>
  <c r="BU61" i="9"/>
  <c r="BV61" i="9" s="1"/>
  <c r="BB61" i="9"/>
  <c r="BU173" i="9"/>
  <c r="BV173" i="9" s="1"/>
  <c r="BB173" i="9"/>
  <c r="BB97" i="9"/>
  <c r="BU97" i="9"/>
  <c r="BV97" i="9" s="1"/>
  <c r="BB212" i="9"/>
  <c r="BU212" i="9"/>
  <c r="BV212" i="9" s="1"/>
  <c r="BB123" i="9"/>
  <c r="BU123" i="9"/>
  <c r="BV123" i="9" s="1"/>
  <c r="BB66" i="9"/>
  <c r="BU66" i="9"/>
  <c r="BV66" i="9" s="1"/>
  <c r="BB110" i="9"/>
  <c r="BU110" i="9"/>
  <c r="BV110" i="9" s="1"/>
  <c r="BB238" i="9"/>
  <c r="BU238" i="9"/>
  <c r="BV238" i="9" s="1"/>
  <c r="BB117" i="9"/>
  <c r="BU117" i="9"/>
  <c r="BV117" i="9" s="1"/>
  <c r="BB16" i="9"/>
  <c r="BU16" i="9"/>
  <c r="BV16" i="9" s="1"/>
  <c r="BB93" i="9"/>
  <c r="BU93" i="9"/>
  <c r="BV93" i="9" s="1"/>
  <c r="BB175" i="9"/>
  <c r="BU175" i="9"/>
  <c r="BV175" i="9" s="1"/>
  <c r="BU215" i="9"/>
  <c r="BV215" i="9" s="1"/>
  <c r="BB215" i="9"/>
  <c r="BU57" i="9"/>
  <c r="BV57" i="9" s="1"/>
  <c r="BB57" i="9"/>
  <c r="CI66" i="9" l="1"/>
  <c r="CJ66" i="9" s="1"/>
  <c r="CI37" i="9"/>
  <c r="CJ37" i="9" s="1"/>
  <c r="CI113" i="9"/>
  <c r="CJ113" i="9" s="1"/>
  <c r="CI161" i="9"/>
  <c r="CJ161" i="9" s="1"/>
  <c r="CI18" i="9"/>
  <c r="CJ18" i="9" s="1"/>
  <c r="CI190" i="9"/>
  <c r="CJ190" i="9" s="1"/>
  <c r="CI51" i="9"/>
  <c r="CJ51" i="9" s="1"/>
  <c r="AC244" i="9"/>
  <c r="AC245" i="9" s="1"/>
  <c r="CI59" i="9"/>
  <c r="CJ59" i="9" s="1"/>
  <c r="CI170" i="9"/>
  <c r="CJ170" i="9" s="1"/>
  <c r="CI104" i="9"/>
  <c r="CJ104" i="9" s="1"/>
  <c r="CI171" i="9"/>
  <c r="CJ171" i="9" s="1"/>
  <c r="CI108" i="9"/>
  <c r="CJ108" i="9" s="1"/>
  <c r="CI58" i="9"/>
  <c r="CJ58" i="9" s="1"/>
  <c r="CI77" i="9"/>
  <c r="CJ77" i="9" s="1"/>
  <c r="CI135" i="9"/>
  <c r="CJ135" i="9" s="1"/>
  <c r="CI110" i="9"/>
  <c r="CJ110" i="9" s="1"/>
  <c r="CI202" i="9"/>
  <c r="CJ202" i="9" s="1"/>
  <c r="CI11" i="9"/>
  <c r="CJ11" i="9" s="1"/>
  <c r="BB162" i="9"/>
  <c r="BU162" i="9"/>
  <c r="BV162" i="9" s="1"/>
  <c r="BR217" i="9"/>
  <c r="BS217" i="9" s="1"/>
  <c r="BQ217" i="9"/>
  <c r="BB201" i="9"/>
  <c r="BU201" i="9"/>
  <c r="BV201" i="9" s="1"/>
  <c r="BU132" i="9"/>
  <c r="BV132" i="9" s="1"/>
  <c r="BB132" i="9"/>
  <c r="BU74" i="9"/>
  <c r="BV74" i="9" s="1"/>
  <c r="BB74" i="9"/>
  <c r="BB39" i="9"/>
  <c r="BU39" i="9"/>
  <c r="BV39" i="9" s="1"/>
  <c r="BB196" i="9"/>
  <c r="BU196" i="9"/>
  <c r="BV196" i="9" s="1"/>
  <c r="BU94" i="9"/>
  <c r="BV94" i="9" s="1"/>
  <c r="BB94" i="9"/>
  <c r="BB105" i="9"/>
  <c r="BU105" i="9"/>
  <c r="BV105" i="9" s="1"/>
  <c r="BR58" i="9"/>
  <c r="BS58" i="9" s="1"/>
  <c r="BQ58" i="9"/>
  <c r="BB171" i="9"/>
  <c r="BU171" i="9"/>
  <c r="BV171" i="9" s="1"/>
  <c r="BB76" i="9"/>
  <c r="BU76" i="9"/>
  <c r="BV76" i="9" s="1"/>
  <c r="BB38" i="9"/>
  <c r="BU38" i="9"/>
  <c r="BV38" i="9" s="1"/>
  <c r="BB134" i="9"/>
  <c r="BU134" i="9"/>
  <c r="BV134" i="9" s="1"/>
  <c r="BB131" i="9"/>
  <c r="BU131" i="9"/>
  <c r="BV131" i="9" s="1"/>
  <c r="BR48" i="9"/>
  <c r="BS48" i="9" s="1"/>
  <c r="BQ48" i="9"/>
  <c r="BR110" i="9"/>
  <c r="BS110" i="9" s="1"/>
  <c r="BQ110" i="9"/>
  <c r="BB202" i="9"/>
  <c r="BU202" i="9"/>
  <c r="BV202" i="9" s="1"/>
  <c r="BB149" i="9"/>
  <c r="BU149" i="9"/>
  <c r="BV149" i="9" s="1"/>
  <c r="BU118" i="9"/>
  <c r="BV118" i="9" s="1"/>
  <c r="BB118" i="9"/>
  <c r="BB62" i="9"/>
  <c r="BU62" i="9"/>
  <c r="BV62" i="9" s="1"/>
  <c r="BU228" i="9"/>
  <c r="BV228" i="9" s="1"/>
  <c r="BB228" i="9"/>
  <c r="BB114" i="9"/>
  <c r="BU114" i="9"/>
  <c r="BV114" i="9" s="1"/>
  <c r="BR166" i="9"/>
  <c r="BS166" i="9" s="1"/>
  <c r="BQ166" i="9"/>
  <c r="BR213" i="9"/>
  <c r="BS213" i="9" s="1"/>
  <c r="BQ213" i="9"/>
  <c r="BQ35" i="9"/>
  <c r="BR35" i="9"/>
  <c r="BS35" i="9" s="1"/>
  <c r="BQ212" i="9"/>
  <c r="BR212" i="9"/>
  <c r="BS212" i="9" s="1"/>
  <c r="BB208" i="9"/>
  <c r="BU208" i="9"/>
  <c r="BV208" i="9" s="1"/>
  <c r="BB168" i="9"/>
  <c r="BU168" i="9"/>
  <c r="BV168" i="9" s="1"/>
  <c r="BB26" i="9"/>
  <c r="BU26" i="9"/>
  <c r="BV26" i="9" s="1"/>
  <c r="BB80" i="9"/>
  <c r="BU80" i="9"/>
  <c r="BV80" i="9" s="1"/>
  <c r="BR65" i="9"/>
  <c r="BS65" i="9" s="1"/>
  <c r="BQ65" i="9"/>
  <c r="BR91" i="9"/>
  <c r="BS91" i="9" s="1"/>
  <c r="BQ91" i="9"/>
  <c r="BB64" i="9"/>
  <c r="BU64" i="9"/>
  <c r="BV64" i="9" s="1"/>
  <c r="BR96" i="9"/>
  <c r="BS96" i="9" s="1"/>
  <c r="BQ96" i="9"/>
  <c r="BB44" i="9"/>
  <c r="BU44" i="9"/>
  <c r="BV44" i="9" s="1"/>
  <c r="BB216" i="9"/>
  <c r="BU216" i="9"/>
  <c r="BV216" i="9" s="1"/>
  <c r="BB60" i="9"/>
  <c r="BU60" i="9"/>
  <c r="BV60" i="9" s="1"/>
  <c r="BB73" i="9"/>
  <c r="BU73" i="9"/>
  <c r="BV73" i="9" s="1"/>
  <c r="BQ97" i="9"/>
  <c r="BR97" i="9"/>
  <c r="BS97" i="9" s="1"/>
  <c r="BB36" i="9"/>
  <c r="BU36" i="9"/>
  <c r="BV36" i="9" s="1"/>
  <c r="BU179" i="9"/>
  <c r="BV179" i="9" s="1"/>
  <c r="BB179" i="9"/>
  <c r="BU203" i="9"/>
  <c r="BV203" i="9" s="1"/>
  <c r="BB203" i="9"/>
  <c r="BU101" i="9"/>
  <c r="BV101" i="9" s="1"/>
  <c r="BB101" i="9"/>
  <c r="BR87" i="9"/>
  <c r="BS87" i="9" s="1"/>
  <c r="BQ87" i="9"/>
  <c r="BU218" i="9"/>
  <c r="BV218" i="9" s="1"/>
  <c r="BB218" i="9"/>
  <c r="BU107" i="9"/>
  <c r="BV107" i="9" s="1"/>
  <c r="BB107" i="9"/>
  <c r="BR12" i="9"/>
  <c r="BS12" i="9" s="1"/>
  <c r="BQ12" i="9"/>
  <c r="BB128" i="9"/>
  <c r="BU128" i="9"/>
  <c r="BV128" i="9" s="1"/>
  <c r="BB155" i="9"/>
  <c r="BU155" i="9"/>
  <c r="BV155" i="9" s="1"/>
  <c r="BU199" i="9"/>
  <c r="BV199" i="9" s="1"/>
  <c r="BB199" i="9"/>
  <c r="BQ180" i="9"/>
  <c r="BR180" i="9"/>
  <c r="BS180" i="9" s="1"/>
  <c r="BB236" i="9"/>
  <c r="BU236" i="9"/>
  <c r="BV236" i="9" s="1"/>
  <c r="BR69" i="9"/>
  <c r="BS69" i="9" s="1"/>
  <c r="BQ69" i="9"/>
  <c r="BR198" i="9"/>
  <c r="BS198" i="9" s="1"/>
  <c r="BQ198" i="9"/>
  <c r="BB225" i="9"/>
  <c r="BU225" i="9"/>
  <c r="BV225" i="9" s="1"/>
  <c r="BR168" i="9"/>
  <c r="BS168" i="9" s="1"/>
  <c r="BQ168" i="9"/>
  <c r="BU181" i="9"/>
  <c r="BV181" i="9" s="1"/>
  <c r="BB181" i="9"/>
  <c r="BB154" i="9"/>
  <c r="BU154" i="9"/>
  <c r="BV154" i="9" s="1"/>
  <c r="BU100" i="9"/>
  <c r="BV100" i="9" s="1"/>
  <c r="BB100" i="9"/>
  <c r="BB145" i="9"/>
  <c r="BU145" i="9"/>
  <c r="BV145" i="9" s="1"/>
  <c r="BB119" i="9"/>
  <c r="BU119" i="9"/>
  <c r="BV119" i="9" s="1"/>
  <c r="BB79" i="9"/>
  <c r="BU79" i="9"/>
  <c r="BV79" i="9" s="1"/>
  <c r="BB159" i="9"/>
  <c r="BU159" i="9"/>
  <c r="BV159" i="9" s="1"/>
  <c r="BB174" i="9"/>
  <c r="BU174" i="9"/>
  <c r="BV174" i="9" s="1"/>
  <c r="BU111" i="9"/>
  <c r="BV111" i="9" s="1"/>
  <c r="BB111" i="9"/>
  <c r="BU182" i="9"/>
  <c r="BV182" i="9" s="1"/>
  <c r="BB182" i="9"/>
  <c r="BU184" i="9"/>
  <c r="BV184" i="9" s="1"/>
  <c r="BB184" i="9"/>
  <c r="BR163" i="9"/>
  <c r="BS163" i="9" s="1"/>
  <c r="BQ163" i="9"/>
  <c r="BQ130" i="9"/>
  <c r="BR130" i="9"/>
  <c r="BS130" i="9" s="1"/>
  <c r="BQ66" i="9"/>
  <c r="BR66" i="9"/>
  <c r="BS66" i="9" s="1"/>
  <c r="BU32" i="9"/>
  <c r="BV32" i="9" s="1"/>
  <c r="BB32" i="9"/>
  <c r="BR210" i="9"/>
  <c r="BS210" i="9" s="1"/>
  <c r="BQ210" i="9"/>
  <c r="BB10" i="9"/>
  <c r="BU10" i="9"/>
  <c r="BV10" i="9" s="1"/>
  <c r="BQ51" i="9"/>
  <c r="BR51" i="9"/>
  <c r="BS51" i="9" s="1"/>
  <c r="BB129" i="9"/>
  <c r="BU129" i="9"/>
  <c r="BV129" i="9" s="1"/>
  <c r="BB237" i="9"/>
  <c r="BU237" i="9"/>
  <c r="BV237" i="9" s="1"/>
  <c r="BR34" i="9"/>
  <c r="BS34" i="9" s="1"/>
  <c r="BQ34" i="9"/>
  <c r="BU40" i="9"/>
  <c r="BV40" i="9" s="1"/>
  <c r="BB40" i="9"/>
  <c r="BB23" i="9"/>
  <c r="BU23" i="9"/>
  <c r="BV23" i="9" s="1"/>
  <c r="BR192" i="9"/>
  <c r="BS192" i="9" s="1"/>
  <c r="BQ192" i="9"/>
  <c r="BB106" i="9"/>
  <c r="BU106" i="9"/>
  <c r="BV106" i="9" s="1"/>
  <c r="BB52" i="9"/>
  <c r="BU52" i="9"/>
  <c r="BV52" i="9" s="1"/>
  <c r="BB83" i="9"/>
  <c r="BU83" i="9"/>
  <c r="BV83" i="9" s="1"/>
  <c r="BQ161" i="9"/>
  <c r="BR161" i="9"/>
  <c r="BS161" i="9" s="1"/>
  <c r="BU103" i="9"/>
  <c r="BV103" i="9" s="1"/>
  <c r="BB103" i="9"/>
  <c r="BB78" i="9"/>
  <c r="BU78" i="9"/>
  <c r="BV78" i="9" s="1"/>
  <c r="BB177" i="9"/>
  <c r="BU177" i="9"/>
  <c r="BV177" i="9" s="1"/>
  <c r="BR95" i="9"/>
  <c r="BS95" i="9" s="1"/>
  <c r="BQ95" i="9"/>
  <c r="BU24" i="9"/>
  <c r="BV24" i="9" s="1"/>
  <c r="BB24" i="9"/>
  <c r="BQ142" i="9"/>
  <c r="BR142" i="9"/>
  <c r="BS142" i="9" s="1"/>
  <c r="BR173" i="9"/>
  <c r="BS173" i="9" s="1"/>
  <c r="BQ173" i="9"/>
  <c r="BQ86" i="9"/>
  <c r="BR86" i="9"/>
  <c r="BS86" i="9" s="1"/>
  <c r="BR147" i="9"/>
  <c r="BS147" i="9" s="1"/>
  <c r="BQ147" i="9"/>
  <c r="BB84" i="9"/>
  <c r="BU84" i="9"/>
  <c r="BV84" i="9" s="1"/>
  <c r="BQ194" i="9"/>
  <c r="BR194" i="9"/>
  <c r="BS194" i="9" s="1"/>
  <c r="BQ157" i="9"/>
  <c r="BR157" i="9"/>
  <c r="BS157" i="9" s="1"/>
  <c r="BB170" i="9"/>
  <c r="BU170" i="9"/>
  <c r="BV170" i="9" s="1"/>
  <c r="BU56" i="9"/>
  <c r="BV56" i="9" s="1"/>
  <c r="BB56" i="9"/>
  <c r="BQ37" i="9"/>
  <c r="BR37" i="9"/>
  <c r="BS37" i="9" s="1"/>
  <c r="BR209" i="9"/>
  <c r="BS209" i="9" s="1"/>
  <c r="BQ209" i="9"/>
  <c r="BU41" i="9"/>
  <c r="BV41" i="9" s="1"/>
  <c r="BB41" i="9"/>
  <c r="BQ18" i="9"/>
  <c r="BR18" i="9"/>
  <c r="BS18" i="9" s="1"/>
  <c r="BQ182" i="9"/>
  <c r="BR182" i="9"/>
  <c r="BS182" i="9" s="1"/>
  <c r="BB15" i="9"/>
  <c r="BU15" i="9"/>
  <c r="BV15" i="9" s="1"/>
  <c r="BB187" i="9"/>
  <c r="BU187" i="9"/>
  <c r="BV187" i="9" s="1"/>
  <c r="BR156" i="9"/>
  <c r="BS156" i="9" s="1"/>
  <c r="BQ156" i="9"/>
  <c r="BQ126" i="9"/>
  <c r="BR126" i="9"/>
  <c r="BS126" i="9" s="1"/>
  <c r="BR211" i="9"/>
  <c r="BS211" i="9" s="1"/>
  <c r="BQ211" i="9"/>
  <c r="BR189" i="9"/>
  <c r="BS189" i="9" s="1"/>
  <c r="BQ189" i="9"/>
  <c r="BB185" i="9"/>
  <c r="BU185" i="9"/>
  <c r="BV185" i="9" s="1"/>
  <c r="BR74" i="9"/>
  <c r="BS74" i="9" s="1"/>
  <c r="BQ74" i="9"/>
  <c r="BR138" i="9"/>
  <c r="BS138" i="9" s="1"/>
  <c r="BQ138" i="9"/>
  <c r="BQ112" i="9"/>
  <c r="BR112" i="9"/>
  <c r="BS112" i="9" s="1"/>
  <c r="BB139" i="9"/>
  <c r="BU139" i="9"/>
  <c r="BV139" i="9" s="1"/>
  <c r="BU193" i="9"/>
  <c r="BV193" i="9" s="1"/>
  <c r="BB193" i="9"/>
  <c r="BR53" i="9"/>
  <c r="BS53" i="9" s="1"/>
  <c r="BQ53" i="9"/>
  <c r="BR111" i="9"/>
  <c r="BS111" i="9" s="1"/>
  <c r="BQ111" i="9"/>
  <c r="BU45" i="9"/>
  <c r="BV45" i="9" s="1"/>
  <c r="BB45" i="9"/>
  <c r="BU144" i="9"/>
  <c r="BV144" i="9" s="1"/>
  <c r="BB144" i="9"/>
  <c r="BU85" i="9"/>
  <c r="BV85" i="9" s="1"/>
  <c r="BB85" i="9"/>
  <c r="BB127" i="9"/>
  <c r="BU127" i="9"/>
  <c r="BV127" i="9" s="1"/>
  <c r="BB167" i="9"/>
  <c r="BU167" i="9"/>
  <c r="BV167" i="9" s="1"/>
  <c r="BR235" i="9"/>
  <c r="BS235" i="9" s="1"/>
  <c r="BQ235" i="9"/>
  <c r="BU146" i="9"/>
  <c r="BV146" i="9" s="1"/>
  <c r="BB146" i="9"/>
  <c r="BB27" i="9"/>
  <c r="BU27" i="9"/>
  <c r="BV27" i="9" s="1"/>
  <c r="BU81" i="9"/>
  <c r="BV81" i="9" s="1"/>
  <c r="BB81" i="9"/>
  <c r="BB186" i="9"/>
  <c r="BU186" i="9"/>
  <c r="BV186" i="9" s="1"/>
  <c r="BQ208" i="9"/>
  <c r="BR208" i="9"/>
  <c r="BS208" i="9" s="1"/>
  <c r="BB72" i="9"/>
  <c r="BU72" i="9"/>
  <c r="BV72" i="9" s="1"/>
  <c r="BQ186" i="9"/>
  <c r="BR186" i="9"/>
  <c r="BS186" i="9" s="1"/>
  <c r="BR93" i="9"/>
  <c r="BS93" i="9" s="1"/>
  <c r="BQ93" i="9"/>
  <c r="BR42" i="9"/>
  <c r="BS42" i="9" s="1"/>
  <c r="BQ42" i="9"/>
  <c r="BB227" i="9"/>
  <c r="BU227" i="9"/>
  <c r="BV227" i="9" s="1"/>
  <c r="BR117" i="9"/>
  <c r="BS117" i="9" s="1"/>
  <c r="BQ117" i="9"/>
  <c r="BB136" i="9"/>
  <c r="BU136" i="9"/>
  <c r="BV136" i="9" s="1"/>
  <c r="BR21" i="9"/>
  <c r="BS21" i="9" s="1"/>
  <c r="BQ21" i="9"/>
  <c r="BB231" i="9"/>
  <c r="BU231" i="9"/>
  <c r="BV231" i="9" s="1"/>
  <c r="BU67" i="9"/>
  <c r="BV67" i="9" s="1"/>
  <c r="BB67" i="9"/>
  <c r="BR234" i="9"/>
  <c r="BS234" i="9" s="1"/>
  <c r="BQ234" i="9"/>
  <c r="BB230" i="9"/>
  <c r="BU230" i="9"/>
  <c r="BV230" i="9" s="1"/>
  <c r="BR61" i="9"/>
  <c r="BS61" i="9" s="1"/>
  <c r="BQ61" i="9"/>
  <c r="BU12" i="9"/>
  <c r="BV12" i="9" s="1"/>
  <c r="BB12" i="9"/>
  <c r="BQ88" i="9"/>
  <c r="BR88" i="9"/>
  <c r="BS88" i="9" s="1"/>
  <c r="BU102" i="9"/>
  <c r="BV102" i="9" s="1"/>
  <c r="BB102" i="9"/>
  <c r="BU169" i="9"/>
  <c r="BV169" i="9" s="1"/>
  <c r="BB169" i="9"/>
  <c r="BR63" i="9"/>
  <c r="BS63" i="9" s="1"/>
  <c r="BQ63" i="9"/>
  <c r="BQ175" i="9"/>
  <c r="BR175" i="9"/>
  <c r="BS175" i="9" s="1"/>
  <c r="BU89" i="9"/>
  <c r="BV89" i="9" s="1"/>
  <c r="BB89" i="9"/>
  <c r="BR204" i="9"/>
  <c r="BS204" i="9" s="1"/>
  <c r="BQ204" i="9"/>
  <c r="BR229" i="9"/>
  <c r="BS229" i="9" s="1"/>
  <c r="BQ229" i="9"/>
  <c r="BQ46" i="9"/>
  <c r="BR46" i="9"/>
  <c r="BS46" i="9" s="1"/>
  <c r="BB75" i="9"/>
  <c r="BU75" i="9"/>
  <c r="BV75" i="9" s="1"/>
  <c r="BR81" i="9"/>
  <c r="BS81" i="9" s="1"/>
  <c r="BQ81" i="9"/>
  <c r="BQ122" i="9"/>
  <c r="BR122" i="9"/>
  <c r="BS122" i="9" s="1"/>
  <c r="BQ77" i="9"/>
  <c r="BR77" i="9"/>
  <c r="BS77" i="9" s="1"/>
  <c r="BB223" i="9"/>
  <c r="BU223" i="9"/>
  <c r="BV223" i="9" s="1"/>
  <c r="BB190" i="9"/>
  <c r="BU190" i="9"/>
  <c r="BV190" i="9" s="1"/>
  <c r="BQ123" i="9"/>
  <c r="BR123" i="9"/>
  <c r="BS123" i="9" s="1"/>
  <c r="BQ20" i="9"/>
  <c r="BR20" i="9"/>
  <c r="BS20" i="9" s="1"/>
  <c r="BR214" i="9"/>
  <c r="BS214" i="9" s="1"/>
  <c r="BQ214" i="9"/>
  <c r="BU135" i="9"/>
  <c r="BV135" i="9" s="1"/>
  <c r="BB135" i="9"/>
  <c r="BQ118" i="9"/>
  <c r="BR118" i="9"/>
  <c r="BS118" i="9" s="1"/>
  <c r="BR28" i="9"/>
  <c r="BS28" i="9" s="1"/>
  <c r="BQ28" i="9"/>
  <c r="BR115" i="9"/>
  <c r="BS115" i="9" s="1"/>
  <c r="BQ115" i="9"/>
  <c r="BU71" i="9"/>
  <c r="BV71" i="9" s="1"/>
  <c r="BB71" i="9"/>
  <c r="BR52" i="9"/>
  <c r="BS52" i="9" s="1"/>
  <c r="BQ52" i="9"/>
  <c r="BB109" i="9"/>
  <c r="BU109" i="9"/>
  <c r="BV109" i="9" s="1"/>
  <c r="BU50" i="9"/>
  <c r="BV50" i="9" s="1"/>
  <c r="BB50" i="9"/>
  <c r="BB141" i="9"/>
  <c r="BU141" i="9"/>
  <c r="BV141" i="9" s="1"/>
  <c r="BB30" i="9"/>
  <c r="BU30" i="9"/>
  <c r="BV30" i="9" s="1"/>
  <c r="BR67" i="9"/>
  <c r="BS67" i="9" s="1"/>
  <c r="BQ67" i="9"/>
  <c r="BU143" i="9"/>
  <c r="BV143" i="9" s="1"/>
  <c r="BB143" i="9"/>
  <c r="BR98" i="9"/>
  <c r="BS98" i="9" s="1"/>
  <c r="BQ98" i="9"/>
  <c r="BR151" i="9"/>
  <c r="BS151" i="9" s="1"/>
  <c r="BQ151" i="9"/>
  <c r="BU99" i="9"/>
  <c r="BV99" i="9" s="1"/>
  <c r="BB99" i="9"/>
  <c r="BU59" i="9"/>
  <c r="BV59" i="9" s="1"/>
  <c r="BB59" i="9"/>
  <c r="BB153" i="9"/>
  <c r="BU153" i="9"/>
  <c r="BV153" i="9" s="1"/>
  <c r="BU207" i="9"/>
  <c r="BV207" i="9" s="1"/>
  <c r="BB207" i="9"/>
  <c r="BU156" i="9"/>
  <c r="BV156" i="9" s="1"/>
  <c r="BB156" i="9"/>
  <c r="BR195" i="9"/>
  <c r="BS195" i="9" s="1"/>
  <c r="BQ195" i="9"/>
  <c r="BQ237" i="9"/>
  <c r="BR237" i="9"/>
  <c r="BS237" i="9" s="1"/>
  <c r="BU133" i="9"/>
  <c r="BV133" i="9" s="1"/>
  <c r="BB133" i="9"/>
  <c r="BR19" i="9"/>
  <c r="BS19" i="9" s="1"/>
  <c r="BQ19" i="9"/>
  <c r="BB124" i="9"/>
  <c r="BU124" i="9"/>
  <c r="BV124" i="9" s="1"/>
  <c r="BQ83" i="9"/>
  <c r="BR83" i="9"/>
  <c r="BS83" i="9" s="1"/>
  <c r="BR140" i="9"/>
  <c r="BS140" i="9" s="1"/>
  <c r="BQ140" i="9"/>
  <c r="BR57" i="9"/>
  <c r="BS57" i="9" s="1"/>
  <c r="BQ57" i="9"/>
  <c r="BR47" i="9"/>
  <c r="BS47" i="9" s="1"/>
  <c r="BQ47" i="9"/>
  <c r="BR152" i="9"/>
  <c r="BS152" i="9" s="1"/>
  <c r="BQ152" i="9"/>
  <c r="BQ29" i="9"/>
  <c r="BR29" i="9"/>
  <c r="BS29" i="9" s="1"/>
  <c r="BB222" i="9"/>
  <c r="BU222" i="9"/>
  <c r="BV222" i="9" s="1"/>
  <c r="BB232" i="9"/>
  <c r="BU232" i="9"/>
  <c r="BV232" i="9" s="1"/>
  <c r="BU217" i="9"/>
  <c r="BV217" i="9" s="1"/>
  <c r="BB217" i="9"/>
  <c r="BU198" i="9"/>
  <c r="BV198" i="9" s="1"/>
  <c r="BB198" i="9"/>
  <c r="BB33" i="9"/>
  <c r="BU33" i="9"/>
  <c r="BV33" i="9" s="1"/>
  <c r="BU176" i="9"/>
  <c r="BV176" i="9" s="1"/>
  <c r="BB176" i="9"/>
  <c r="BU90" i="9"/>
  <c r="BV90" i="9" s="1"/>
  <c r="BB90" i="9"/>
  <c r="BB82" i="9"/>
  <c r="BU82" i="9"/>
  <c r="BV82" i="9" s="1"/>
  <c r="BR68" i="9"/>
  <c r="BS68" i="9" s="1"/>
  <c r="BQ68" i="9"/>
  <c r="BU21" i="9"/>
  <c r="BV21" i="9" s="1"/>
  <c r="BB21" i="9"/>
  <c r="BB219" i="9"/>
  <c r="BU219" i="9"/>
  <c r="BV219" i="9" s="1"/>
  <c r="BR238" i="9"/>
  <c r="BS238" i="9" s="1"/>
  <c r="BQ238" i="9"/>
  <c r="BR92" i="9"/>
  <c r="BS92" i="9" s="1"/>
  <c r="BQ92" i="9"/>
  <c r="BR169" i="9"/>
  <c r="BS169" i="9" s="1"/>
  <c r="BQ169" i="9"/>
  <c r="BQ230" i="9"/>
  <c r="BR230" i="9"/>
  <c r="BS230" i="9" s="1"/>
  <c r="BR197" i="9"/>
  <c r="BS197" i="9" s="1"/>
  <c r="BQ197" i="9"/>
  <c r="BU13" i="9"/>
  <c r="BV13" i="9" s="1"/>
  <c r="BB13" i="9"/>
  <c r="BQ232" i="9"/>
  <c r="BR232" i="9"/>
  <c r="BS232" i="9" s="1"/>
  <c r="BR104" i="9"/>
  <c r="BS104" i="9" s="1"/>
  <c r="BQ104" i="9"/>
  <c r="BU150" i="9"/>
  <c r="BV150" i="9" s="1"/>
  <c r="BB150" i="9"/>
  <c r="BR148" i="9"/>
  <c r="BS148" i="9" s="1"/>
  <c r="BQ148" i="9"/>
  <c r="BB205" i="9"/>
  <c r="BU205" i="9"/>
  <c r="BV205" i="9" s="1"/>
  <c r="BQ16" i="9"/>
  <c r="BR16" i="9"/>
  <c r="BS16" i="9" s="1"/>
  <c r="BR215" i="9"/>
  <c r="BS215" i="9" s="1"/>
  <c r="BQ215" i="9"/>
  <c r="BR178" i="9"/>
  <c r="BS178" i="9" s="1"/>
  <c r="BQ178" i="9"/>
  <c r="BR220" i="9"/>
  <c r="BS220" i="9" s="1"/>
  <c r="BQ220" i="9"/>
  <c r="BR120" i="9"/>
  <c r="BS120" i="9" s="1"/>
  <c r="BQ120" i="9"/>
  <c r="BR25" i="9"/>
  <c r="BS25" i="9" s="1"/>
  <c r="BQ25" i="9"/>
  <c r="BU49" i="9"/>
  <c r="BV49" i="9" s="1"/>
  <c r="BB49" i="9"/>
  <c r="BQ54" i="9"/>
  <c r="BR54" i="9"/>
  <c r="BS54" i="9" s="1"/>
  <c r="BR233" i="9"/>
  <c r="BS233" i="9" s="1"/>
  <c r="BQ233" i="9"/>
  <c r="BQ188" i="9"/>
  <c r="BR188" i="9"/>
  <c r="BS188" i="9" s="1"/>
  <c r="BB239" i="9"/>
  <c r="BU239" i="9"/>
  <c r="BV239" i="9" s="1"/>
  <c r="BR239" i="9"/>
  <c r="BS239" i="9" s="1"/>
  <c r="BQ239" i="9"/>
  <c r="CI9" i="9" l="1"/>
  <c r="CJ9" i="9" s="1"/>
  <c r="BQ30" i="9"/>
  <c r="BR30" i="9"/>
  <c r="BS30" i="9" s="1"/>
  <c r="BQ106" i="9"/>
  <c r="BR106" i="9"/>
  <c r="BS106" i="9" s="1"/>
  <c r="BB43" i="9"/>
  <c r="BU43" i="9"/>
  <c r="BV43" i="9" s="1"/>
  <c r="BQ22" i="9"/>
  <c r="BR22" i="9"/>
  <c r="BS22" i="9" s="1"/>
  <c r="BQ105" i="9"/>
  <c r="BR105" i="9"/>
  <c r="BS105" i="9" s="1"/>
  <c r="BR100" i="9"/>
  <c r="BS100" i="9" s="1"/>
  <c r="BQ100" i="9"/>
  <c r="BR223" i="9"/>
  <c r="BS223" i="9" s="1"/>
  <c r="BQ223" i="9"/>
  <c r="BB31" i="9"/>
  <c r="BU31" i="9"/>
  <c r="BV31" i="9" s="1"/>
  <c r="BB22" i="9"/>
  <c r="BU22" i="9"/>
  <c r="BV22" i="9" s="1"/>
  <c r="BR160" i="9"/>
  <c r="BS160" i="9" s="1"/>
  <c r="BQ160" i="9"/>
  <c r="BB164" i="9"/>
  <c r="BU164" i="9"/>
  <c r="BV164" i="9" s="1"/>
  <c r="BU11" i="9"/>
  <c r="BV11" i="9" s="1"/>
  <c r="BB11" i="9"/>
  <c r="BR146" i="9"/>
  <c r="BS146" i="9" s="1"/>
  <c r="BQ146" i="9"/>
  <c r="BU200" i="9"/>
  <c r="BV200" i="9" s="1"/>
  <c r="BB200" i="9"/>
  <c r="BB125" i="9"/>
  <c r="BU125" i="9"/>
  <c r="BV125" i="9" s="1"/>
  <c r="BU113" i="9"/>
  <c r="BV113" i="9" s="1"/>
  <c r="BB113" i="9"/>
  <c r="BQ153" i="9"/>
  <c r="BR153" i="9"/>
  <c r="BS153" i="9" s="1"/>
  <c r="BR139" i="9"/>
  <c r="BS139" i="9" s="1"/>
  <c r="BQ139" i="9"/>
  <c r="BR114" i="9"/>
  <c r="BS114" i="9" s="1"/>
  <c r="BQ114" i="9"/>
  <c r="BB70" i="9"/>
  <c r="BU70" i="9"/>
  <c r="BV70" i="9" s="1"/>
  <c r="BQ116" i="9"/>
  <c r="BR116" i="9"/>
  <c r="BS116" i="9" s="1"/>
  <c r="BR227" i="9"/>
  <c r="BS227" i="9" s="1"/>
  <c r="BQ227" i="9"/>
  <c r="BR207" i="9"/>
  <c r="BS207" i="9" s="1"/>
  <c r="BQ207" i="9"/>
  <c r="BQ124" i="9"/>
  <c r="BR124" i="9"/>
  <c r="BS124" i="9" s="1"/>
  <c r="BR164" i="9"/>
  <c r="BS164" i="9" s="1"/>
  <c r="BQ164" i="9"/>
  <c r="BR225" i="9"/>
  <c r="BS225" i="9" s="1"/>
  <c r="BQ225" i="9"/>
  <c r="BR172" i="9"/>
  <c r="BS172" i="9" s="1"/>
  <c r="BQ172" i="9"/>
  <c r="BQ78" i="9"/>
  <c r="BR78" i="9"/>
  <c r="BS78" i="9" s="1"/>
  <c r="BR56" i="9"/>
  <c r="BS56" i="9" s="1"/>
  <c r="BQ56" i="9"/>
  <c r="BR191" i="9"/>
  <c r="BS191" i="9" s="1"/>
  <c r="BQ191" i="9"/>
  <c r="BQ136" i="9"/>
  <c r="BR136" i="9"/>
  <c r="BS136" i="9" s="1"/>
  <c r="BQ196" i="9"/>
  <c r="BR196" i="9"/>
  <c r="BS196" i="9" s="1"/>
  <c r="BR40" i="9"/>
  <c r="BS40" i="9" s="1"/>
  <c r="BQ40" i="9"/>
  <c r="BR71" i="9"/>
  <c r="BS71" i="9" s="1"/>
  <c r="BQ71" i="9"/>
  <c r="BQ165" i="9"/>
  <c r="BR165" i="9"/>
  <c r="BS165" i="9" s="1"/>
  <c r="BR141" i="9"/>
  <c r="BS141" i="9" s="1"/>
  <c r="BQ141" i="9"/>
  <c r="BQ43" i="9"/>
  <c r="BR43" i="9"/>
  <c r="BS43" i="9" s="1"/>
  <c r="BR72" i="9"/>
  <c r="BS72" i="9" s="1"/>
  <c r="BQ72" i="9"/>
  <c r="BR228" i="9"/>
  <c r="BS228" i="9" s="1"/>
  <c r="BQ228" i="9"/>
  <c r="BQ226" i="9"/>
  <c r="BR226" i="9"/>
  <c r="BS226" i="9" s="1"/>
  <c r="BB9" i="9"/>
  <c r="BU9" i="9"/>
  <c r="BR33" i="9"/>
  <c r="BS33" i="9" s="1"/>
  <c r="BQ33" i="9"/>
  <c r="BR179" i="9"/>
  <c r="BS179" i="9" s="1"/>
  <c r="BQ179" i="9"/>
  <c r="BR49" i="9"/>
  <c r="BS49" i="9" s="1"/>
  <c r="BQ49" i="9"/>
  <c r="BR218" i="9"/>
  <c r="BS218" i="9" s="1"/>
  <c r="BQ218" i="9"/>
  <c r="BU191" i="9"/>
  <c r="BV191" i="9" s="1"/>
  <c r="BB191" i="9"/>
  <c r="BQ36" i="9"/>
  <c r="BR36" i="9"/>
  <c r="BS36" i="9" s="1"/>
  <c r="BR199" i="9"/>
  <c r="BS199" i="9" s="1"/>
  <c r="BQ199" i="9"/>
  <c r="BB137" i="9"/>
  <c r="BU137" i="9"/>
  <c r="BV137" i="9" s="1"/>
  <c r="BU224" i="9"/>
  <c r="BV224" i="9" s="1"/>
  <c r="BB224" i="9"/>
  <c r="BU121" i="9"/>
  <c r="BV121" i="9" s="1"/>
  <c r="BB121" i="9"/>
  <c r="BQ201" i="9"/>
  <c r="BR201" i="9"/>
  <c r="BS201" i="9" s="1"/>
  <c r="BR27" i="9"/>
  <c r="BS27" i="9" s="1"/>
  <c r="BQ27" i="9"/>
  <c r="BR113" i="9"/>
  <c r="BS113" i="9" s="1"/>
  <c r="BQ113" i="9"/>
  <c r="BR145" i="9"/>
  <c r="BS145" i="9" s="1"/>
  <c r="BQ145" i="9"/>
  <c r="BU183" i="9"/>
  <c r="BV183" i="9" s="1"/>
  <c r="BB183" i="9"/>
  <c r="BR224" i="9"/>
  <c r="BS224" i="9" s="1"/>
  <c r="BQ224" i="9"/>
  <c r="BR187" i="9"/>
  <c r="BS187" i="9" s="1"/>
  <c r="BQ187" i="9"/>
  <c r="BQ15" i="9"/>
  <c r="BR15" i="9"/>
  <c r="BS15" i="9" s="1"/>
  <c r="BQ31" i="9"/>
  <c r="BR31" i="9"/>
  <c r="BS31" i="9" s="1"/>
  <c r="BQ159" i="9"/>
  <c r="BR159" i="9"/>
  <c r="BS159" i="9" s="1"/>
  <c r="BQ125" i="9"/>
  <c r="BR125" i="9"/>
  <c r="BS125" i="9" s="1"/>
  <c r="BR184" i="9"/>
  <c r="BS184" i="9" s="1"/>
  <c r="BQ184" i="9"/>
  <c r="BR144" i="9"/>
  <c r="BS144" i="9" s="1"/>
  <c r="BQ144" i="9"/>
  <c r="BQ236" i="9"/>
  <c r="BR236" i="9"/>
  <c r="BS236" i="9" s="1"/>
  <c r="BR62" i="9"/>
  <c r="BS62" i="9" s="1"/>
  <c r="BQ62" i="9"/>
  <c r="BQ10" i="9"/>
  <c r="BR10" i="9"/>
  <c r="BS10" i="9" s="1"/>
  <c r="BR17" i="9"/>
  <c r="BS17" i="9" s="1"/>
  <c r="BQ17" i="9"/>
  <c r="BR109" i="9"/>
  <c r="BS109" i="9" s="1"/>
  <c r="BQ109" i="9"/>
  <c r="BQ107" i="9"/>
  <c r="BR107" i="9"/>
  <c r="BS107" i="9" s="1"/>
  <c r="BR44" i="9"/>
  <c r="BS44" i="9" s="1"/>
  <c r="BQ44" i="9"/>
  <c r="BQ38" i="9"/>
  <c r="BR38" i="9"/>
  <c r="BS38" i="9" s="1"/>
  <c r="BR131" i="9"/>
  <c r="BS131" i="9" s="1"/>
  <c r="BQ131" i="9"/>
  <c r="BQ82" i="9"/>
  <c r="BR82" i="9"/>
  <c r="BS82" i="9" s="1"/>
  <c r="BR94" i="9"/>
  <c r="BS94" i="9" s="1"/>
  <c r="BQ94" i="9"/>
  <c r="BR103" i="9"/>
  <c r="BS103" i="9" s="1"/>
  <c r="BQ103" i="9"/>
  <c r="BR85" i="9"/>
  <c r="BS85" i="9" s="1"/>
  <c r="BQ85" i="9"/>
  <c r="BQ128" i="9"/>
  <c r="BR128" i="9"/>
  <c r="BS128" i="9" s="1"/>
  <c r="BR102" i="9"/>
  <c r="BS102" i="9" s="1"/>
  <c r="BQ102" i="9"/>
  <c r="BQ155" i="9"/>
  <c r="BR155" i="9"/>
  <c r="BS155" i="9" s="1"/>
  <c r="BQ39" i="9"/>
  <c r="BR39" i="9"/>
  <c r="BS39" i="9" s="1"/>
  <c r="BQ205" i="9"/>
  <c r="BR205" i="9"/>
  <c r="BS205" i="9" s="1"/>
  <c r="BQ222" i="9"/>
  <c r="BR222" i="9"/>
  <c r="BS222" i="9" s="1"/>
  <c r="BQ64" i="9"/>
  <c r="BR64" i="9"/>
  <c r="BS64" i="9" s="1"/>
  <c r="BR158" i="9"/>
  <c r="BS158" i="9" s="1"/>
  <c r="BQ158" i="9"/>
  <c r="BU108" i="9"/>
  <c r="BV108" i="9" s="1"/>
  <c r="BB108" i="9"/>
  <c r="BB165" i="9"/>
  <c r="BU165" i="9"/>
  <c r="BV165" i="9" s="1"/>
  <c r="BU221" i="9"/>
  <c r="BV221" i="9" s="1"/>
  <c r="BB221" i="9"/>
  <c r="BB55" i="9"/>
  <c r="BU55" i="9"/>
  <c r="BV55" i="9" s="1"/>
  <c r="BR132" i="9"/>
  <c r="BS132" i="9" s="1"/>
  <c r="BQ132" i="9"/>
  <c r="BR99" i="9"/>
  <c r="BS99" i="9" s="1"/>
  <c r="BQ99" i="9"/>
  <c r="BB206" i="9"/>
  <c r="BU206" i="9"/>
  <c r="BV206" i="9" s="1"/>
  <c r="BU116" i="9"/>
  <c r="BV116" i="9" s="1"/>
  <c r="BB116" i="9"/>
  <c r="BR59" i="9"/>
  <c r="BS59" i="9" s="1"/>
  <c r="BQ59" i="9"/>
  <c r="BB172" i="9"/>
  <c r="BU172" i="9"/>
  <c r="BV172" i="9" s="1"/>
  <c r="BQ76" i="9"/>
  <c r="BR76" i="9"/>
  <c r="BS76" i="9" s="1"/>
  <c r="BR24" i="9"/>
  <c r="BS24" i="9" s="1"/>
  <c r="BQ24" i="9"/>
  <c r="BQ26" i="9"/>
  <c r="BR26" i="9"/>
  <c r="BS26" i="9" s="1"/>
  <c r="BR193" i="9"/>
  <c r="BS193" i="9" s="1"/>
  <c r="BQ193" i="9"/>
  <c r="BQ206" i="9"/>
  <c r="BR206" i="9"/>
  <c r="BS206" i="9" s="1"/>
  <c r="BQ185" i="9"/>
  <c r="BR185" i="9"/>
  <c r="BS185" i="9" s="1"/>
  <c r="BR143" i="9"/>
  <c r="BS143" i="9" s="1"/>
  <c r="BQ143" i="9"/>
  <c r="BR219" i="9"/>
  <c r="BS219" i="9" s="1"/>
  <c r="BQ219" i="9"/>
  <c r="BQ174" i="9"/>
  <c r="BR174" i="9"/>
  <c r="BS174" i="9" s="1"/>
  <c r="BQ14" i="9"/>
  <c r="BR14" i="9"/>
  <c r="BS14" i="9" s="1"/>
  <c r="BR200" i="9"/>
  <c r="BS200" i="9" s="1"/>
  <c r="BQ200" i="9"/>
  <c r="BQ80" i="9"/>
  <c r="BR80" i="9"/>
  <c r="BS80" i="9" s="1"/>
  <c r="BR13" i="9"/>
  <c r="BS13" i="9" s="1"/>
  <c r="BQ13" i="9"/>
  <c r="BR170" i="9"/>
  <c r="BS170" i="9" s="1"/>
  <c r="BQ170" i="9"/>
  <c r="BR183" i="9"/>
  <c r="BS183" i="9" s="1"/>
  <c r="BQ183" i="9"/>
  <c r="BR119" i="9"/>
  <c r="BS119" i="9" s="1"/>
  <c r="BQ119" i="9"/>
  <c r="BQ134" i="9"/>
  <c r="BR134" i="9"/>
  <c r="BS134" i="9" s="1"/>
  <c r="BQ84" i="9"/>
  <c r="BR84" i="9"/>
  <c r="BS84" i="9" s="1"/>
  <c r="BR221" i="9"/>
  <c r="BS221" i="9" s="1"/>
  <c r="BQ221" i="9"/>
  <c r="BR231" i="9"/>
  <c r="BS231" i="9" s="1"/>
  <c r="BQ231" i="9"/>
  <c r="BQ60" i="9"/>
  <c r="BR60" i="9"/>
  <c r="BS60" i="9" s="1"/>
  <c r="BR11" i="9"/>
  <c r="BS11" i="9" s="1"/>
  <c r="BQ11" i="9"/>
  <c r="BR41" i="9"/>
  <c r="BS41" i="9" s="1"/>
  <c r="BQ41" i="9"/>
  <c r="BR181" i="9"/>
  <c r="BS181" i="9" s="1"/>
  <c r="BQ181" i="9"/>
  <c r="BB17" i="9"/>
  <c r="BU17" i="9"/>
  <c r="BV17" i="9" s="1"/>
  <c r="BU14" i="9"/>
  <c r="BV14" i="9" s="1"/>
  <c r="BB14" i="9"/>
  <c r="BQ79" i="9"/>
  <c r="BR79" i="9"/>
  <c r="BS79" i="9" s="1"/>
  <c r="BR137" i="9"/>
  <c r="BS137" i="9" s="1"/>
  <c r="BQ137" i="9"/>
  <c r="BR90" i="9"/>
  <c r="BS90" i="9" s="1"/>
  <c r="BQ90" i="9"/>
  <c r="BR121" i="9"/>
  <c r="BS121" i="9" s="1"/>
  <c r="BQ121" i="9"/>
  <c r="BQ177" i="9"/>
  <c r="BR177" i="9"/>
  <c r="BS177" i="9" s="1"/>
  <c r="BB158" i="9"/>
  <c r="BU158" i="9"/>
  <c r="BV158" i="9" s="1"/>
  <c r="BR149" i="9"/>
  <c r="BS149" i="9" s="1"/>
  <c r="BQ149" i="9"/>
  <c r="BR127" i="9"/>
  <c r="BS127" i="9" s="1"/>
  <c r="BQ127" i="9"/>
  <c r="BQ171" i="9"/>
  <c r="BR171" i="9"/>
  <c r="BS171" i="9" s="1"/>
  <c r="BB226" i="9"/>
  <c r="BU226" i="9"/>
  <c r="BV226" i="9" s="1"/>
  <c r="BR176" i="9"/>
  <c r="BS176" i="9" s="1"/>
  <c r="BQ176" i="9"/>
  <c r="BR154" i="9"/>
  <c r="BS154" i="9" s="1"/>
  <c r="BQ154" i="9"/>
  <c r="BQ70" i="9"/>
  <c r="BR70" i="9"/>
  <c r="BS70" i="9" s="1"/>
  <c r="BQ167" i="9"/>
  <c r="BR167" i="9"/>
  <c r="BS167" i="9" s="1"/>
  <c r="BR73" i="9"/>
  <c r="BS73" i="9" s="1"/>
  <c r="BQ73" i="9"/>
  <c r="BB160" i="9"/>
  <c r="BU160" i="9"/>
  <c r="BV160" i="9" s="1"/>
  <c r="BQ75" i="9"/>
  <c r="BR75" i="9"/>
  <c r="BS75" i="9" s="1"/>
  <c r="BR150" i="9"/>
  <c r="BS150" i="9" s="1"/>
  <c r="BQ150" i="9"/>
  <c r="BR32" i="9"/>
  <c r="BS32" i="9" s="1"/>
  <c r="BQ32" i="9"/>
  <c r="BQ55" i="9"/>
  <c r="BR55" i="9"/>
  <c r="BS55" i="9" s="1"/>
  <c r="BR203" i="9"/>
  <c r="BS203" i="9" s="1"/>
  <c r="BQ203" i="9"/>
  <c r="BR135" i="9"/>
  <c r="BS135" i="9" s="1"/>
  <c r="BQ135" i="9"/>
  <c r="BQ129" i="9"/>
  <c r="BR129" i="9"/>
  <c r="BS129" i="9" s="1"/>
  <c r="BR216" i="9"/>
  <c r="BS216" i="9" s="1"/>
  <c r="BQ216" i="9"/>
  <c r="BR45" i="9"/>
  <c r="BS45" i="9" s="1"/>
  <c r="BQ45" i="9"/>
  <c r="BR162" i="9"/>
  <c r="BS162" i="9" s="1"/>
  <c r="BQ162" i="9"/>
  <c r="BR101" i="9"/>
  <c r="BS101" i="9" s="1"/>
  <c r="BQ101" i="9"/>
  <c r="BR50" i="9"/>
  <c r="BS50" i="9" s="1"/>
  <c r="BQ50" i="9"/>
  <c r="BR89" i="9"/>
  <c r="BS89" i="9" s="1"/>
  <c r="BQ89" i="9"/>
  <c r="BR108" i="9"/>
  <c r="BS108" i="9" s="1"/>
  <c r="BQ108" i="9"/>
  <c r="BR190" i="9"/>
  <c r="BS190" i="9" s="1"/>
  <c r="BQ190" i="9"/>
  <c r="BQ23" i="9"/>
  <c r="BR23" i="9"/>
  <c r="BS23" i="9" s="1"/>
  <c r="BQ202" i="9"/>
  <c r="BR202" i="9"/>
  <c r="BS202" i="9" s="1"/>
  <c r="BR133" i="9"/>
  <c r="BS133" i="9" s="1"/>
  <c r="BQ133" i="9"/>
  <c r="BR9" i="9" l="1"/>
  <c r="BQ9" i="9"/>
  <c r="BQ243" i="9" s="1"/>
  <c r="BV9" i="9"/>
  <c r="BV243" i="9" s="1"/>
  <c r="BU243" i="9"/>
  <c r="BB243" i="9"/>
  <c r="BB245" i="9" s="1"/>
  <c r="F1" i="9" l="1"/>
  <c r="H1" i="9" s="1"/>
  <c r="BS9" i="9"/>
  <c r="BS243" i="9" s="1"/>
  <c r="BS245" i="9" s="1"/>
  <c r="BR243" i="9"/>
  <c r="BQ244" i="9"/>
  <c r="BQ245" i="9" s="1"/>
  <c r="A4" i="9" l="1"/>
  <c r="G37" i="3" l="1"/>
  <c r="G54" i="5" l="1"/>
  <c r="H29" i="3" l="1"/>
  <c r="H42" i="3"/>
  <c r="H30" i="3"/>
  <c r="H43" i="3"/>
  <c r="H31" i="3"/>
  <c r="H40" i="3"/>
  <c r="H44" i="3"/>
  <c r="H25" i="3"/>
  <c r="H26" i="3"/>
  <c r="H39" i="3"/>
  <c r="H27" i="3"/>
  <c r="H28" i="3"/>
  <c r="H41" i="3"/>
  <c r="G28" i="5"/>
  <c r="G41" i="5"/>
  <c r="G29" i="5"/>
  <c r="G37" i="5"/>
  <c r="G42" i="5"/>
  <c r="G36" i="5"/>
  <c r="G26" i="5"/>
  <c r="G30" i="5"/>
  <c r="G43" i="5"/>
  <c r="G32" i="5"/>
  <c r="G45" i="5"/>
  <c r="G27" i="5"/>
  <c r="G31" i="5"/>
  <c r="G35" i="5"/>
  <c r="G40" i="5"/>
  <c r="G44" i="5"/>
  <c r="D34" i="5" l="1"/>
  <c r="D47" i="5"/>
  <c r="E24" i="3"/>
  <c r="E25" i="3"/>
  <c r="E26" i="3"/>
  <c r="E27" i="3"/>
  <c r="E28" i="3"/>
  <c r="E29" i="3"/>
  <c r="E30" i="3"/>
  <c r="E31" i="3"/>
  <c r="G57" i="5" l="1"/>
  <c r="G53" i="5"/>
  <c r="G52" i="5"/>
  <c r="G50" i="5"/>
  <c r="G46" i="5"/>
  <c r="G39" i="5"/>
  <c r="G25" i="5"/>
  <c r="D52" i="5" l="1"/>
  <c r="D53" i="5"/>
  <c r="D40" i="5"/>
  <c r="D44" i="5"/>
  <c r="D41" i="5"/>
  <c r="D45" i="5"/>
  <c r="D42" i="5"/>
  <c r="D43" i="5"/>
  <c r="D35" i="5"/>
  <c r="D36" i="5"/>
  <c r="D37" i="5"/>
  <c r="D31" i="5"/>
  <c r="D32" i="5"/>
  <c r="D30" i="5"/>
  <c r="D25" i="5"/>
  <c r="D26" i="5"/>
  <c r="D39" i="5"/>
  <c r="D56" i="5"/>
  <c r="D27" i="5"/>
  <c r="D49" i="5"/>
  <c r="D46" i="5"/>
  <c r="D57" i="5"/>
  <c r="D50" i="5"/>
  <c r="D51" i="5"/>
  <c r="D29" i="5"/>
  <c r="D55" i="5"/>
  <c r="D33" i="5"/>
  <c r="D28" i="5"/>
  <c r="F54" i="5"/>
  <c r="G48" i="5"/>
  <c r="F48" i="5"/>
  <c r="G38" i="5"/>
  <c r="D55" i="3"/>
  <c r="D33" i="3"/>
  <c r="D32" i="3"/>
  <c r="E56" i="3"/>
  <c r="H56" i="3"/>
  <c r="E54" i="3"/>
  <c r="D54" i="3" s="1"/>
  <c r="E51" i="3"/>
  <c r="E52" i="3"/>
  <c r="H51" i="3"/>
  <c r="H52" i="3"/>
  <c r="E50" i="3"/>
  <c r="D50" i="3" s="1"/>
  <c r="E49" i="3"/>
  <c r="E48" i="3"/>
  <c r="D48" i="3" s="1"/>
  <c r="G47" i="3"/>
  <c r="E46" i="3"/>
  <c r="D46" i="3" s="1"/>
  <c r="E45" i="3"/>
  <c r="H45" i="3"/>
  <c r="E39" i="3"/>
  <c r="E40" i="3"/>
  <c r="E41" i="3"/>
  <c r="E42" i="3"/>
  <c r="E43" i="3"/>
  <c r="E44" i="3"/>
  <c r="E38" i="3"/>
  <c r="H38" i="3"/>
  <c r="H37" i="3" s="1"/>
  <c r="E35" i="3"/>
  <c r="E36" i="3"/>
  <c r="E34" i="3"/>
  <c r="H35" i="3"/>
  <c r="H36" i="3"/>
  <c r="H34" i="3"/>
  <c r="H24" i="3"/>
  <c r="E37" i="3" l="1"/>
  <c r="D24" i="3"/>
  <c r="D54" i="5"/>
  <c r="D25" i="3"/>
  <c r="E23" i="3"/>
  <c r="D31" i="3"/>
  <c r="D30" i="3"/>
  <c r="D29" i="3"/>
  <c r="D28" i="3"/>
  <c r="D27" i="3"/>
  <c r="D26" i="3"/>
  <c r="D34" i="3"/>
  <c r="D36" i="3"/>
  <c r="D35" i="3"/>
  <c r="D38" i="3"/>
  <c r="D44" i="3"/>
  <c r="D43" i="3"/>
  <c r="D42" i="3"/>
  <c r="D41" i="3"/>
  <c r="D40" i="3"/>
  <c r="D39" i="3"/>
  <c r="D45" i="3"/>
  <c r="D52" i="3"/>
  <c r="D51" i="3"/>
  <c r="D56" i="3"/>
  <c r="F24" i="5"/>
  <c r="D48" i="5"/>
  <c r="D38" i="5"/>
  <c r="G24" i="5"/>
  <c r="G58" i="5" s="1"/>
  <c r="F38" i="5"/>
  <c r="F58" i="5" l="1"/>
  <c r="D24" i="5"/>
  <c r="D58" i="5" s="1"/>
  <c r="G59" i="5"/>
  <c r="F59" i="5" l="1"/>
  <c r="G61" i="5"/>
  <c r="G63" i="5" s="1"/>
  <c r="F61" i="5" l="1"/>
  <c r="D59" i="5"/>
  <c r="D60" i="5" s="1"/>
  <c r="D23" i="5" s="1"/>
  <c r="G23" i="5"/>
  <c r="D23" i="3"/>
  <c r="D53" i="3"/>
  <c r="D37" i="3"/>
  <c r="F63" i="5" l="1"/>
  <c r="F23" i="5"/>
  <c r="H49" i="3"/>
  <c r="H53" i="3"/>
  <c r="G23" i="3"/>
  <c r="H47" i="3" l="1"/>
  <c r="D49" i="3"/>
  <c r="D47" i="3" s="1"/>
  <c r="D57" i="3" s="1"/>
  <c r="H23" i="3"/>
  <c r="G53" i="3"/>
  <c r="G57" i="3" l="1"/>
  <c r="H57" i="3"/>
  <c r="H58" i="3" l="1"/>
  <c r="G58" i="3"/>
  <c r="E47" i="3"/>
  <c r="E53" i="3"/>
  <c r="H60" i="3" l="1"/>
  <c r="H62" i="3" s="1"/>
  <c r="G60" i="3"/>
  <c r="E57" i="3"/>
  <c r="G22" i="3" l="1"/>
  <c r="G62" i="3"/>
  <c r="H22" i="3"/>
  <c r="E58" i="3"/>
  <c r="D58" i="3" l="1"/>
  <c r="D59" i="3" s="1"/>
  <c r="D22" i="3" s="1"/>
  <c r="E60" i="3"/>
  <c r="E62" i="3" s="1"/>
  <c r="E22" i="3" l="1"/>
</calcChain>
</file>

<file path=xl/sharedStrings.xml><?xml version="1.0" encoding="utf-8"?>
<sst xmlns="http://schemas.openxmlformats.org/spreadsheetml/2006/main" count="3273" uniqueCount="974">
  <si>
    <t>Комунальне підприємство "ЖЕК-10" Чернігівської міської ради</t>
  </si>
  <si>
    <t>для квартир, що не користуються ліфтами</t>
  </si>
  <si>
    <t>для квартир, що користуються ліфтами</t>
  </si>
  <si>
    <t>№ 4/1</t>
  </si>
  <si>
    <t>1-Одноповерхові ЖБ</t>
  </si>
  <si>
    <t>№ 4/2</t>
  </si>
  <si>
    <t>№ 4/3</t>
  </si>
  <si>
    <t>№ 4/4</t>
  </si>
  <si>
    <t>2-х поверхові  ЖБ. цегляні. звичайного типу</t>
  </si>
  <si>
    <t>№ 4/5</t>
  </si>
  <si>
    <t>№ 4/6</t>
  </si>
  <si>
    <t>2-х пов.ЖБ.цегляні. коридорного типу (гурт.малос.)</t>
  </si>
  <si>
    <t>№ 4/7</t>
  </si>
  <si>
    <t>№ 4/8</t>
  </si>
  <si>
    <t>№ 4/9</t>
  </si>
  <si>
    <t>№ 4/10</t>
  </si>
  <si>
    <t>№ 4/11</t>
  </si>
  <si>
    <t>№ 4/12</t>
  </si>
  <si>
    <t>№ 4/13</t>
  </si>
  <si>
    <t>Інд 2-х пов ЖБ. цегляні (Корольова 10а.13.14.15)</t>
  </si>
  <si>
    <t>№ 4/14</t>
  </si>
  <si>
    <t>№ 4/15</t>
  </si>
  <si>
    <t>№ 4/16</t>
  </si>
  <si>
    <t>№ 4/17</t>
  </si>
  <si>
    <t>№ 4/18</t>
  </si>
  <si>
    <t>№ 4/19</t>
  </si>
  <si>
    <t>№ 4/20</t>
  </si>
  <si>
    <t>№ 4/21</t>
  </si>
  <si>
    <t>№ 4/22</t>
  </si>
  <si>
    <t>№ 4/23</t>
  </si>
  <si>
    <t>№ 4/24</t>
  </si>
  <si>
    <t>№ 4/25</t>
  </si>
  <si>
    <t>№ 4/26</t>
  </si>
  <si>
    <t>№ 4/27</t>
  </si>
  <si>
    <t>№ 4/28</t>
  </si>
  <si>
    <t>№ 4/29</t>
  </si>
  <si>
    <t>№ 4/30</t>
  </si>
  <si>
    <t>3-х поверхові ЖБ .цегляні .звичайного типу</t>
  </si>
  <si>
    <t>№ 4/31</t>
  </si>
  <si>
    <t>№ 4/32</t>
  </si>
  <si>
    <t>№ 4/33</t>
  </si>
  <si>
    <t>№ 4/34</t>
  </si>
  <si>
    <t>Інд-3-х пов ЖБ. цегляні (Корольова 18)</t>
  </si>
  <si>
    <t>№ 4/35</t>
  </si>
  <si>
    <t>№ 4/36</t>
  </si>
  <si>
    <t>№ 4/37</t>
  </si>
  <si>
    <t>№ 4/38</t>
  </si>
  <si>
    <t>Інд 4-х пов ЖБ. цегляні (Корольова 14а)</t>
  </si>
  <si>
    <t>№ 4/40</t>
  </si>
  <si>
    <t>5-ти поверхові ЖБ . з/б панелі типу "хрущовка"</t>
  </si>
  <si>
    <t>№ 4/41</t>
  </si>
  <si>
    <t>№ 4/42</t>
  </si>
  <si>
    <t>№ 4/43</t>
  </si>
  <si>
    <t>№ 4/45</t>
  </si>
  <si>
    <t>№ 4/46</t>
  </si>
  <si>
    <t>№ 4/47</t>
  </si>
  <si>
    <t>5-ти поверхові ЖБ. цегляні звичайного типу</t>
  </si>
  <si>
    <t>№ 4/48</t>
  </si>
  <si>
    <t>№ 4/49</t>
  </si>
  <si>
    <t>№ 4/50</t>
  </si>
  <si>
    <t>№ 4/51</t>
  </si>
  <si>
    <t>№ 4/52</t>
  </si>
  <si>
    <t>№ 4/53</t>
  </si>
  <si>
    <t>№ 4/54</t>
  </si>
  <si>
    <t>№ 4/55</t>
  </si>
  <si>
    <t>5-ти пов ЖБ-гуртожитки . цегляні коридорного типу</t>
  </si>
  <si>
    <t>№ 4/56</t>
  </si>
  <si>
    <t>№ 4/57</t>
  </si>
  <si>
    <t>№ 4/58</t>
  </si>
  <si>
    <t>№ 4/59</t>
  </si>
  <si>
    <t>№ 4/60</t>
  </si>
  <si>
    <t>№ 4/62</t>
  </si>
  <si>
    <t>№ 4/63</t>
  </si>
  <si>
    <t>№ 4/64</t>
  </si>
  <si>
    <t>№ 4/65</t>
  </si>
  <si>
    <t>№ 4/66</t>
  </si>
  <si>
    <t>№ 4/67</t>
  </si>
  <si>
    <t>№ 4/68</t>
  </si>
  <si>
    <t>№ 4/69</t>
  </si>
  <si>
    <t>№ 4/70</t>
  </si>
  <si>
    <t>№ 4/71</t>
  </si>
  <si>
    <t>№ 4/72</t>
  </si>
  <si>
    <t>№ 4/73</t>
  </si>
  <si>
    <t>№ 4/74</t>
  </si>
  <si>
    <t>№ 4/75</t>
  </si>
  <si>
    <t>№ 4/76</t>
  </si>
  <si>
    <t>№ 4/77</t>
  </si>
  <si>
    <t>№ 4/78</t>
  </si>
  <si>
    <t>№ 4/79</t>
  </si>
  <si>
    <t>№ 4/80</t>
  </si>
  <si>
    <t>№ 4/81</t>
  </si>
  <si>
    <t>№ 4/82</t>
  </si>
  <si>
    <t>№ 4/83</t>
  </si>
  <si>
    <t>№ 4/84</t>
  </si>
  <si>
    <t>№ 4/85</t>
  </si>
  <si>
    <t>№ 4/86</t>
  </si>
  <si>
    <t>№ 4/87</t>
  </si>
  <si>
    <t>№ 4/88</t>
  </si>
  <si>
    <t>№ 4/89</t>
  </si>
  <si>
    <t>№ 4/90</t>
  </si>
  <si>
    <t>№ 4/91</t>
  </si>
  <si>
    <t>№ 4/92</t>
  </si>
  <si>
    <t>№ 4/93</t>
  </si>
  <si>
    <t>№ 4/94</t>
  </si>
  <si>
    <t>№ 4/95</t>
  </si>
  <si>
    <t>№ 4/96</t>
  </si>
  <si>
    <t>№ 4/97</t>
  </si>
  <si>
    <t>№ 4/98</t>
  </si>
  <si>
    <t>№ 4/99</t>
  </si>
  <si>
    <t>№ 4/100</t>
  </si>
  <si>
    <t>№ 4/101</t>
  </si>
  <si>
    <t>№ 4/102</t>
  </si>
  <si>
    <t>№ 4/103</t>
  </si>
  <si>
    <t>№ 4/104</t>
  </si>
  <si>
    <t>№ 4/105</t>
  </si>
  <si>
    <t>№ 4/106</t>
  </si>
  <si>
    <t>№ 4/107</t>
  </si>
  <si>
    <t>№ 4/108</t>
  </si>
  <si>
    <t>№ 4/109</t>
  </si>
  <si>
    <t>№ 4/110</t>
  </si>
  <si>
    <t>№ 4/111</t>
  </si>
  <si>
    <t>№ 4/112</t>
  </si>
  <si>
    <t>№ 4/113</t>
  </si>
  <si>
    <t>№ 4/114</t>
  </si>
  <si>
    <t>№ 4/115</t>
  </si>
  <si>
    <t>№ 4/116</t>
  </si>
  <si>
    <t>№ 4/117</t>
  </si>
  <si>
    <t>№ 4/118</t>
  </si>
  <si>
    <t>№ 4/119</t>
  </si>
  <si>
    <t>№ 4/120</t>
  </si>
  <si>
    <t>№ 4/121</t>
  </si>
  <si>
    <t>№ 4/122</t>
  </si>
  <si>
    <t>№ 4/123</t>
  </si>
  <si>
    <t>№ 4/124</t>
  </si>
  <si>
    <t>№ 4/125</t>
  </si>
  <si>
    <t>№ 4/126</t>
  </si>
  <si>
    <t>№ 4/127</t>
  </si>
  <si>
    <t>№ 4/128</t>
  </si>
  <si>
    <t>№ 4/129</t>
  </si>
  <si>
    <t>№ 4/130</t>
  </si>
  <si>
    <t>Інд 5-ти пов ЖБ. цегляні (Федорова 1)</t>
  </si>
  <si>
    <t>№ 4/131</t>
  </si>
  <si>
    <t>№ 4/132</t>
  </si>
  <si>
    <t>№ 4/133</t>
  </si>
  <si>
    <t>№ 4/134</t>
  </si>
  <si>
    <t>№ 4/135</t>
  </si>
  <si>
    <t>№ 4/136</t>
  </si>
  <si>
    <t>№ 4/137</t>
  </si>
  <si>
    <t>№ 4/138</t>
  </si>
  <si>
    <t>№ 4/139</t>
  </si>
  <si>
    <t>№ 4/140</t>
  </si>
  <si>
    <t>№ 4/141</t>
  </si>
  <si>
    <t>№ 4/142</t>
  </si>
  <si>
    <t>№ 4/143</t>
  </si>
  <si>
    <t>№ 4/144</t>
  </si>
  <si>
    <t>№ 4/145</t>
  </si>
  <si>
    <t>№ 4/146</t>
  </si>
  <si>
    <t>№ 4/147</t>
  </si>
  <si>
    <t>№ 4/148</t>
  </si>
  <si>
    <t>№ 4/149</t>
  </si>
  <si>
    <t>Інд 5-ти пов ЖБ. цегляні (Рокоссовського 42а)</t>
  </si>
  <si>
    <t>№ 4/150</t>
  </si>
  <si>
    <t>№ 4/151</t>
  </si>
  <si>
    <t>№ 4/152</t>
  </si>
  <si>
    <t>№ 4/153</t>
  </si>
  <si>
    <t>№ 4/154</t>
  </si>
  <si>
    <t>№ 4/155</t>
  </si>
  <si>
    <t>Інд. 7-ми пов ЖБ . цегляні (Верьовки 12)</t>
  </si>
  <si>
    <t>№ 4/156</t>
  </si>
  <si>
    <t>8-ми поверхові ЖБ . з/б панелі ЧН серія</t>
  </si>
  <si>
    <t>№ 4/157</t>
  </si>
  <si>
    <t>№ 4/158</t>
  </si>
  <si>
    <t>№ 4/159</t>
  </si>
  <si>
    <t>9-ти поверхові ЖБ. з/б панелі покращеного типу</t>
  </si>
  <si>
    <t>№ 4/160</t>
  </si>
  <si>
    <t>№ 4/161</t>
  </si>
  <si>
    <t>№ 4/162</t>
  </si>
  <si>
    <t>№ 4/163</t>
  </si>
  <si>
    <t>№ 4/164</t>
  </si>
  <si>
    <t>9-ти поверхові ЖБ. цегляні звичайного типу</t>
  </si>
  <si>
    <t>№ 4/165</t>
  </si>
  <si>
    <t>№ 4/166</t>
  </si>
  <si>
    <t>№ 4/167</t>
  </si>
  <si>
    <t>№ 4/168</t>
  </si>
  <si>
    <t>№ 4/169</t>
  </si>
  <si>
    <t>9-ти пов ЖБ .цегляні коридорного  типу на 2 крила</t>
  </si>
  <si>
    <t>№ 4/171</t>
  </si>
  <si>
    <t>№ 4/172</t>
  </si>
  <si>
    <t>№ 4/173</t>
  </si>
  <si>
    <t>№ 4/174</t>
  </si>
  <si>
    <t>№ 4/175</t>
  </si>
  <si>
    <t>№ 4/176</t>
  </si>
  <si>
    <t>№ 4/177</t>
  </si>
  <si>
    <t>9-ти поверхові ЖБ . з/б панелі. ЧН серія</t>
  </si>
  <si>
    <t>№ 4/178</t>
  </si>
  <si>
    <t>№ 4/179</t>
  </si>
  <si>
    <t>№ 4/180</t>
  </si>
  <si>
    <t>№ 4/181</t>
  </si>
  <si>
    <t>№ 4/182</t>
  </si>
  <si>
    <t>№ 4/183</t>
  </si>
  <si>
    <t>№ 4/184</t>
  </si>
  <si>
    <t>№ 4/185</t>
  </si>
  <si>
    <t>№ 4/186</t>
  </si>
  <si>
    <t>№ 4/187</t>
  </si>
  <si>
    <t>№ 4/188</t>
  </si>
  <si>
    <t>№ 4/189</t>
  </si>
  <si>
    <t>№ 4/190</t>
  </si>
  <si>
    <t>№ 4/191</t>
  </si>
  <si>
    <t>№ 4/195</t>
  </si>
  <si>
    <t>№ 4/196</t>
  </si>
  <si>
    <t>№ 4/197</t>
  </si>
  <si>
    <t>№ 4/198</t>
  </si>
  <si>
    <t>№ 4/199</t>
  </si>
  <si>
    <t>№ 4/200</t>
  </si>
  <si>
    <t>№ 4/201</t>
  </si>
  <si>
    <t>№ 4/202</t>
  </si>
  <si>
    <t>№ 4/203</t>
  </si>
  <si>
    <t>№ 4/204</t>
  </si>
  <si>
    <t>№ 4/205</t>
  </si>
  <si>
    <t>№ 4/206</t>
  </si>
  <si>
    <t>№ 4/207</t>
  </si>
  <si>
    <t>№ 4/208</t>
  </si>
  <si>
    <t>№ 4/209</t>
  </si>
  <si>
    <t>№ 4/210</t>
  </si>
  <si>
    <t>№ 4/211</t>
  </si>
  <si>
    <t>№ 4/212</t>
  </si>
  <si>
    <t>№ 4/213</t>
  </si>
  <si>
    <t>№ 4/214</t>
  </si>
  <si>
    <t>№ 4/215</t>
  </si>
  <si>
    <t>№ 4/216</t>
  </si>
  <si>
    <t>№ 4/217</t>
  </si>
  <si>
    <t>№ 4/218</t>
  </si>
  <si>
    <t>№ 4/219</t>
  </si>
  <si>
    <t>№ 4/220</t>
  </si>
  <si>
    <t>№ 4/221</t>
  </si>
  <si>
    <t>Інд. 9-ти пов. ЖБ. цегляні. (Рокоссовського 48)</t>
  </si>
  <si>
    <t>№ 4/222</t>
  </si>
  <si>
    <t>№ 4/223</t>
  </si>
  <si>
    <t>№ 4/224</t>
  </si>
  <si>
    <t>№ 4/225</t>
  </si>
  <si>
    <t>№ 4/226</t>
  </si>
  <si>
    <t>10-ти поверхові ЖБ. цегляні  звичайного типу</t>
  </si>
  <si>
    <t>№ 4/227</t>
  </si>
  <si>
    <t>№ 4/228</t>
  </si>
  <si>
    <t>№ 4/229</t>
  </si>
  <si>
    <t>№ 4/230</t>
  </si>
  <si>
    <t>№ 4/231</t>
  </si>
  <si>
    <t>13-ти пов ЖБ. з/б панелі. моноліт</t>
  </si>
  <si>
    <t>№ 4/232</t>
  </si>
  <si>
    <t>14-ти поверхові  ЖБ. цегляні звичайного типу</t>
  </si>
  <si>
    <t>№ 4/233</t>
  </si>
  <si>
    <t>№ 4/234</t>
  </si>
  <si>
    <t>пп</t>
  </si>
  <si>
    <t>Складова витрат на утримання будинку та прибудинкової території та поточний ремонт спільного майна будинку (далі-витрати)</t>
  </si>
  <si>
    <t>I</t>
  </si>
  <si>
    <t>1.1</t>
  </si>
  <si>
    <t>Технічне обслуговування внутрішньобудинкових систем</t>
  </si>
  <si>
    <t>1.1.1</t>
  </si>
  <si>
    <t xml:space="preserve">водопостачання </t>
  </si>
  <si>
    <t>1.1.2</t>
  </si>
  <si>
    <t>водовідведення</t>
  </si>
  <si>
    <t>1.1.3</t>
  </si>
  <si>
    <t>теплопостачання</t>
  </si>
  <si>
    <t>1.1.4</t>
  </si>
  <si>
    <t>гарячого водопостачання</t>
  </si>
  <si>
    <t>1.1.5</t>
  </si>
  <si>
    <t>зливової каналізації</t>
  </si>
  <si>
    <t>1.1.6</t>
  </si>
  <si>
    <t>електропостачання</t>
  </si>
  <si>
    <t>1.1.7</t>
  </si>
  <si>
    <t>газопостачання</t>
  </si>
  <si>
    <t>1.1.8</t>
  </si>
  <si>
    <t>аварійне обслуговування</t>
  </si>
  <si>
    <t>1.2</t>
  </si>
  <si>
    <t>Технічне обслуговування ліфтів</t>
  </si>
  <si>
    <t>1.3</t>
  </si>
  <si>
    <t>Обслуговування систем диспетчеризації</t>
  </si>
  <si>
    <t>1.4</t>
  </si>
  <si>
    <t>Обслуговування димових та вентиляційних каналів</t>
  </si>
  <si>
    <t>1.5</t>
  </si>
  <si>
    <t>Технічне обслуговування систем протипожежної автоматики та димовидалення (у разі їх наявності)</t>
  </si>
  <si>
    <t>1.6</t>
  </si>
  <si>
    <t>Поточний ремонт конструктивних елементів, технічних пристроїв та елементів зовнішнього упорядження, що розміщені на закріпленій в установленому порядку прибудинковій території (в т.ч спорт., дитячих та інших майданчиків), та іншого спільного майна ББ</t>
  </si>
  <si>
    <t>1.7</t>
  </si>
  <si>
    <t>Поточний ремонт внутрішньобудинкових систем</t>
  </si>
  <si>
    <t>1.7.1</t>
  </si>
  <si>
    <t>1.7.2</t>
  </si>
  <si>
    <t>1.7.3</t>
  </si>
  <si>
    <t>1.7.4</t>
  </si>
  <si>
    <t>1.7.5</t>
  </si>
  <si>
    <t>1.7.6</t>
  </si>
  <si>
    <t>1.7.7</t>
  </si>
  <si>
    <t>1.8</t>
  </si>
  <si>
    <t>Поточний ремонт систем протипожежної  автоматики та димовидалення (у разі їх наявності)</t>
  </si>
  <si>
    <t>1.9</t>
  </si>
  <si>
    <t>Прибирання прибудинкової території</t>
  </si>
  <si>
    <t>1.10</t>
  </si>
  <si>
    <t>Прибирання приміщень загального користування (у т.ч допоміжних) , в т.ч.:</t>
  </si>
  <si>
    <t>1.10.1</t>
  </si>
  <si>
    <t xml:space="preserve"> - прибирання приміщень загального користування (сходові клітини)</t>
  </si>
  <si>
    <t>1.10.2</t>
  </si>
  <si>
    <t xml:space="preserve"> - прибирання приміщень загального користування (допоміжні приміщення)</t>
  </si>
  <si>
    <t>1.11</t>
  </si>
  <si>
    <t>Прибирання та вивезення снігу, посипання частини прибудинкової території, призначеної для проходу та проїзду, протиожеледними сумішами</t>
  </si>
  <si>
    <t>1.12</t>
  </si>
  <si>
    <t>12. Дератизація</t>
  </si>
  <si>
    <t>1.13</t>
  </si>
  <si>
    <t>13. Дезінсекція</t>
  </si>
  <si>
    <t>1.14</t>
  </si>
  <si>
    <t>14. Придбання електричної енергії для освітлення місць загального користуванння, живлення ліфтів та забезпечення функціонування іншого спільного майна багатоквартирного будинку, в т.ч</t>
  </si>
  <si>
    <t>1.14.1</t>
  </si>
  <si>
    <t xml:space="preserve"> - для освітлення місць загального користування</t>
  </si>
  <si>
    <t>1.14.2</t>
  </si>
  <si>
    <t xml:space="preserve"> - для живлення ліфтів</t>
  </si>
  <si>
    <t>Загальна сума витрат (з урахуванням ПДВ)</t>
  </si>
  <si>
    <t>Винагорода управителю</t>
  </si>
  <si>
    <t>Загальна сума вират з винагородою управителю та ПДВ</t>
  </si>
  <si>
    <t>Річна сума складової витрат  з ПДВ (гривень)</t>
  </si>
  <si>
    <t>Загальна площа, м2</t>
  </si>
  <si>
    <t>Обов'язковий перелік робіт (послуг)</t>
  </si>
  <si>
    <t xml:space="preserve">Додаток 5 </t>
  </si>
  <si>
    <t xml:space="preserve">до договору </t>
  </si>
  <si>
    <t>КОШТОРИС</t>
  </si>
  <si>
    <t>витрат на утримання будинку та прибудинкової території</t>
  </si>
  <si>
    <t xml:space="preserve">місто Чернігів  </t>
  </si>
  <si>
    <t xml:space="preserve">(адреса будинку) </t>
  </si>
  <si>
    <t xml:space="preserve">Інші роботи/послуги  </t>
  </si>
  <si>
    <t>Ціна послуги з управління</t>
  </si>
  <si>
    <t>№ з/п</t>
  </si>
  <si>
    <t>Найменування вулиці та                                        № будинку</t>
  </si>
  <si>
    <t>Повер ховість</t>
  </si>
  <si>
    <t>К-ть під'їздів</t>
  </si>
  <si>
    <t>№ договору від 20.02. 2019</t>
  </si>
  <si>
    <t>Загальна площа квартир та нежитлових приміщень будинку, м2</t>
  </si>
  <si>
    <t>в тому числі:</t>
  </si>
  <si>
    <t>1. Технічне обслуговування ВБС</t>
  </si>
  <si>
    <t>2. Технічне обслуговування ліфтів</t>
  </si>
  <si>
    <t>3. Обслуговування систем диспетчеризації</t>
  </si>
  <si>
    <t>4. Обслуговування димових та вентиляційних каналів</t>
  </si>
  <si>
    <t>5. Тех. обслугов. систем ППА та димовидалення, а також інших внутрішньоб. інженерних систем (у разі їх наявності)</t>
  </si>
  <si>
    <t>6. Поточний ремонт конструктивних елементів, технічних пристроїв будинків та елементів зовнішнього упорядження, що розміщені на закріпленій в установленому порядку прибудинковій території (в тому числі спортивних, дитячих та інших майданчиків), та іншого спільного майна багатоквартирного будинку</t>
  </si>
  <si>
    <t>7. Поточний ремонт ВБС</t>
  </si>
  <si>
    <t>8. Поточний ремонт систем ППА та димовидалення, а також інших внутрішньобуд. інженерних систем (у разі їх наявності)</t>
  </si>
  <si>
    <t>9. Прибирання прибудинкової території</t>
  </si>
  <si>
    <t>10.Прибирання приміщень загального користування (у т.ч. допоміжних)</t>
  </si>
  <si>
    <t>11. Прибирання і вивезення снігу, посипання частини прибудинкової території, призначеної для проходу та проїзду, протиожеледними сумішами</t>
  </si>
  <si>
    <t>Придбання електричної енергії</t>
  </si>
  <si>
    <t>16. Інші роботи (послуги)</t>
  </si>
  <si>
    <t>Винагорода</t>
  </si>
  <si>
    <t xml:space="preserve"> Ціна з управління, грн/м2</t>
  </si>
  <si>
    <t>діючі з 01.06.2021 року ціни на послугу з управління з ПДВ</t>
  </si>
  <si>
    <t>% зростання ціни на послугу з управління</t>
  </si>
  <si>
    <t>Загальна площа квартир, що не користують ся ліфтами, м2</t>
  </si>
  <si>
    <t>Загальна площа квартир, що  користують ся ліфтами, м2</t>
  </si>
  <si>
    <t>Загальна площа нежитлових приміщень з окремим входом, м2</t>
  </si>
  <si>
    <t>1.1. Технічне обслуговування ВБС холодного водопостачання</t>
  </si>
  <si>
    <t>1.2. Технічне обслуговування ВБС  водовідведення</t>
  </si>
  <si>
    <t>1.3. Технічне обслуговування ВБС теплопостачання</t>
  </si>
  <si>
    <t>1.4. Технічне обслуговування ВБС гарячого водопостачання</t>
  </si>
  <si>
    <t>1.5. Технічне обслуговування ВБС зливової каналізації</t>
  </si>
  <si>
    <t>1.6. Технічне обслуговування ВБС електропостачання</t>
  </si>
  <si>
    <t>1.7. Технічне обслуговування ВБС газопостачання</t>
  </si>
  <si>
    <t>1.8. Витрати на аварійну службу</t>
  </si>
  <si>
    <t>7.1. Поточний ремонт ВБС холодного водопостачання</t>
  </si>
  <si>
    <t>7.2. Поточний ремонт ВБС водовідведення</t>
  </si>
  <si>
    <t>7.3. Поточний ремонт ВБС теплопостачання</t>
  </si>
  <si>
    <t>7.4. Поточний ремонт ВБС гарячого водопостачання</t>
  </si>
  <si>
    <t>7.5. Поточний ремонт ВБС зливової каналізації</t>
  </si>
  <si>
    <t>7.6. Поточний ремонт ВБС електропостачання</t>
  </si>
  <si>
    <t>7.7. Поточний ремонт ВБС газопостачання</t>
  </si>
  <si>
    <t>10.1  Прибирання приміщень загального користування (сходові клітини)</t>
  </si>
  <si>
    <t>10.2  Прибирання приміщень загального користування (допоміжні приміщення)</t>
  </si>
  <si>
    <t>14. Придбання ел.енергії для освітлення місць загального користування і підвальних приміщень та підкачування води</t>
  </si>
  <si>
    <t>15. Придбання ел.енергії для живлення ліфтів</t>
  </si>
  <si>
    <t>Винаго рода для квартир, що не користують ся ліфтами</t>
  </si>
  <si>
    <t>Винаго рода для квартир, що  користують ся ліфтами</t>
  </si>
  <si>
    <t>Винагорода для нежитлових приміщень з окремим входом</t>
  </si>
  <si>
    <t>для нежитло вих примі щень з окремим входом</t>
  </si>
  <si>
    <t xml:space="preserve"> першого поверху , грн/м2</t>
  </si>
  <si>
    <t>вище першого поверху, грн/м2</t>
  </si>
  <si>
    <t xml:space="preserve"> першого поверху , %</t>
  </si>
  <si>
    <t>вище першого поверху, %</t>
  </si>
  <si>
    <t>№ 4/235</t>
  </si>
  <si>
    <t>Інд. 9-ти пов.ЖБ.цегляні. коридорного типу (гурт.малос.) (Шевченка 246а)</t>
  </si>
  <si>
    <t xml:space="preserve">РАЗОМ    </t>
  </si>
  <si>
    <t>РАЗОМ у статтях</t>
  </si>
  <si>
    <t>різниця</t>
  </si>
  <si>
    <t>з управління багатоквартирним будинком від 20.02.2019 року</t>
  </si>
  <si>
    <t>про надання послуги</t>
  </si>
  <si>
    <t>поверх</t>
  </si>
  <si>
    <t>(колишня вул. Генерала Бєлова)</t>
  </si>
  <si>
    <t>(колишня вул. Рокоссовського)</t>
  </si>
  <si>
    <t>(колишня вул. Генерала Пухова)</t>
  </si>
  <si>
    <t>(колишня вул. Доценка)</t>
  </si>
  <si>
    <t>(колишня вул. Малиновського)</t>
  </si>
  <si>
    <t>(колишня вул. Маресьєва)</t>
  </si>
  <si>
    <t>Поверховість</t>
  </si>
  <si>
    <t>Загальна площа квартир та нежитлових приміщень будинку без підвалів, м2 - РОЗРАХУНКОВА</t>
  </si>
  <si>
    <r>
      <t>Площа</t>
    </r>
    <r>
      <rPr>
        <b/>
        <sz val="10"/>
        <rFont val="Times New Roman"/>
        <family val="1"/>
        <charset val="204"/>
      </rPr>
      <t>нежитлових приміщень з окремим входом</t>
    </r>
    <r>
      <rPr>
        <sz val="10"/>
        <rFont val="Times New Roman"/>
        <family val="1"/>
        <charset val="204"/>
      </rPr>
      <t>, м2</t>
    </r>
  </si>
  <si>
    <t>10. Прибирання приміщень загального користування (без допоміжних допоміжних)</t>
  </si>
  <si>
    <t>10. Прибирання приміщень загального користування (ДОПОМІЖНІ приміщення)</t>
  </si>
  <si>
    <t>Додаткові послуги ( податок на землю)</t>
  </si>
  <si>
    <t>16.Винагорода управителя  для 1-го пов</t>
  </si>
  <si>
    <t xml:space="preserve"> Ціна з управління для 1-го пов</t>
  </si>
  <si>
    <t>16.Винагорода управителя  вище 1-го пов</t>
  </si>
  <si>
    <t xml:space="preserve"> Ціна з управління вище 1-го пов</t>
  </si>
  <si>
    <t xml:space="preserve"> Ціна з управління для нежитлових приміщень з окремим входом</t>
  </si>
  <si>
    <t>вул. Корольова,6</t>
  </si>
  <si>
    <t>вул. Корольова,2</t>
  </si>
  <si>
    <t>вул. Шевченка,246а</t>
  </si>
  <si>
    <t>з 01.05.2026 року</t>
  </si>
  <si>
    <t>Прибирання приміщень загального користування              (у т.ч допоміжних) , в т.ч.:</t>
  </si>
  <si>
    <t>Проект ціни на  послугу з управління багатоквартирними будинками (з ПДВ) з 01.05.2026 року</t>
  </si>
  <si>
    <t>ОРИГИНАЛ - з цим документом працювати</t>
  </si>
  <si>
    <t>відсутня послуга</t>
  </si>
  <si>
    <t xml:space="preserve"> +</t>
  </si>
  <si>
    <t>Ціна послуги з управління свод з ПДВ</t>
  </si>
  <si>
    <t xml:space="preserve"> -</t>
  </si>
  <si>
    <t>К-ть квартир</t>
  </si>
  <si>
    <t>Загальна площа квартир та нежитлових приміщень будинку, м2 (без одноповерхівок)</t>
  </si>
  <si>
    <t>Загальна площа квартир та нежитлових приміщень будинку вище першого поверху, м2 (для будинків з ліфтами)</t>
  </si>
  <si>
    <t>Загальна площа квартир та нежитлових приміщень будинку, м2 - вся</t>
  </si>
  <si>
    <t>діючі з 01.03.2019 року ціни на послугу з управління з ПДВ</t>
  </si>
  <si>
    <t>новий</t>
  </si>
  <si>
    <t>старий</t>
  </si>
  <si>
    <t>2026 з посл кц та абон</t>
  </si>
  <si>
    <t>Доходи</t>
  </si>
  <si>
    <t>Тарифи</t>
  </si>
  <si>
    <r>
      <t>Площа</t>
    </r>
    <r>
      <rPr>
        <b/>
        <sz val="10"/>
        <rFont val="Times New Roman"/>
        <family val="1"/>
        <charset val="204"/>
      </rPr>
      <t xml:space="preserve"> квартир першого поверху та нежитлових приміщень без окремого входу</t>
    </r>
    <r>
      <rPr>
        <sz val="10"/>
        <rFont val="Times New Roman"/>
        <family val="1"/>
        <charset val="204"/>
      </rPr>
      <t>, м2</t>
    </r>
  </si>
  <si>
    <r>
      <t xml:space="preserve">Площа загальної площі </t>
    </r>
    <r>
      <rPr>
        <b/>
        <sz val="10"/>
        <rFont val="Times New Roman"/>
        <family val="1"/>
        <charset val="204"/>
      </rPr>
      <t>квартир другого і вище поверхів</t>
    </r>
    <r>
      <rPr>
        <sz val="10"/>
        <rFont val="Times New Roman"/>
        <family val="1"/>
        <charset val="204"/>
      </rPr>
      <t>, м2</t>
    </r>
  </si>
  <si>
    <t>Загальна площа квартир будинку, м2</t>
  </si>
  <si>
    <t>Загальна площа нежитлових приміщень  без окремого входу, м2</t>
  </si>
  <si>
    <t>Площа для тар без ліфт</t>
  </si>
  <si>
    <t>РАЗОМ статті без винаг 1 пов</t>
  </si>
  <si>
    <t>РАЗОМ статті без вище 1 пов</t>
  </si>
  <si>
    <t>РАЗОМ статті для нежитлових приміщень</t>
  </si>
  <si>
    <t>16.Винагорода управителя  для нежитлових приміщень з окремим входом</t>
  </si>
  <si>
    <t>була помилка</t>
  </si>
  <si>
    <t>площа 1 пов</t>
  </si>
  <si>
    <t>вище 1</t>
  </si>
  <si>
    <t>витрати міс</t>
  </si>
  <si>
    <t>рік</t>
  </si>
  <si>
    <r>
      <t>Площа</t>
    </r>
    <r>
      <rPr>
        <b/>
        <sz val="10"/>
        <color rgb="FFC00000"/>
        <rFont val="Times New Roman"/>
        <family val="1"/>
        <charset val="204"/>
      </rPr>
      <t xml:space="preserve"> квартир  та нежитлових приміщень без окремого входу що не корист ліфтами</t>
    </r>
    <r>
      <rPr>
        <sz val="10"/>
        <color rgb="FFC00000"/>
        <rFont val="Times New Roman"/>
        <family val="1"/>
        <charset val="204"/>
      </rPr>
      <t>, м2</t>
    </r>
  </si>
  <si>
    <r>
      <t xml:space="preserve">Площа  </t>
    </r>
    <r>
      <rPr>
        <b/>
        <sz val="10"/>
        <color rgb="FFC00000"/>
        <rFont val="Times New Roman"/>
        <family val="1"/>
        <charset val="204"/>
      </rPr>
      <t>квартир другого і вище поверхів що корист ліфтами</t>
    </r>
    <r>
      <rPr>
        <sz val="10"/>
        <color rgb="FFC00000"/>
        <rFont val="Times New Roman"/>
        <family val="1"/>
        <charset val="204"/>
      </rPr>
      <t>, м2</t>
    </r>
  </si>
  <si>
    <r>
      <t>Площа</t>
    </r>
    <r>
      <rPr>
        <b/>
        <sz val="10"/>
        <color rgb="FFC00000"/>
        <rFont val="Times New Roman"/>
        <family val="1"/>
        <charset val="204"/>
      </rPr>
      <t>нежитлових приміщень з окремим входом</t>
    </r>
    <r>
      <rPr>
        <sz val="10"/>
        <color rgb="FFC00000"/>
        <rFont val="Times New Roman"/>
        <family val="1"/>
        <charset val="204"/>
      </rPr>
      <t>, м2</t>
    </r>
  </si>
  <si>
    <t>темп</t>
  </si>
  <si>
    <t>10. Прибирання приміщень загального користування (у тому числі допоміжних)</t>
  </si>
  <si>
    <t>було %</t>
  </si>
  <si>
    <t>1 пов</t>
  </si>
  <si>
    <t xml:space="preserve">вище </t>
  </si>
  <si>
    <t>вище</t>
  </si>
  <si>
    <t>1пов</t>
  </si>
  <si>
    <t>до 24</t>
  </si>
  <si>
    <t>накл кц/прямі кц</t>
  </si>
  <si>
    <t>без ліфт</t>
  </si>
  <si>
    <t>з ліфт</t>
  </si>
  <si>
    <t>РАЗОМ</t>
  </si>
  <si>
    <t>Серед разом</t>
  </si>
  <si>
    <t>просп. М. Грушевського,155</t>
  </si>
  <si>
    <t>колишня вул. 1Травня</t>
  </si>
  <si>
    <t>1-го Травня,155</t>
  </si>
  <si>
    <t>просп. М. Грушевського,157</t>
  </si>
  <si>
    <t>1-го Травня,157</t>
  </si>
  <si>
    <t>просп. М. Грушевського,159</t>
  </si>
  <si>
    <t>1-го Травня,159</t>
  </si>
  <si>
    <t>просп. М. Грушевського,161</t>
  </si>
  <si>
    <t>1-го Травня,161</t>
  </si>
  <si>
    <t xml:space="preserve">просп. М. Грушевського,161а  </t>
  </si>
  <si>
    <t xml:space="preserve">1-го Травня,161а  </t>
  </si>
  <si>
    <t>просп. М. Грушевського,163</t>
  </si>
  <si>
    <t>1-го Травня,163</t>
  </si>
  <si>
    <t xml:space="preserve">просп. М. Грушевського,165к1 </t>
  </si>
  <si>
    <t xml:space="preserve">1-го Травня,165к1 </t>
  </si>
  <si>
    <t xml:space="preserve">просп. М. Грушевського,165к2 </t>
  </si>
  <si>
    <t xml:space="preserve">1-го Травня,165к2 </t>
  </si>
  <si>
    <t>просп. М. Грушевського,167</t>
  </si>
  <si>
    <t>1-го Травня,167</t>
  </si>
  <si>
    <t xml:space="preserve">просп. М. Грушевського,167а  </t>
  </si>
  <si>
    <t xml:space="preserve">1-го Травня,167а  </t>
  </si>
  <si>
    <t xml:space="preserve">просп. М. Грушевського,169к1 </t>
  </si>
  <si>
    <t xml:space="preserve">1-го Травня,169к1 </t>
  </si>
  <si>
    <t xml:space="preserve">просп. М. Грушевського,169к2 </t>
  </si>
  <si>
    <t xml:space="preserve">1-го Травня,169к2 </t>
  </si>
  <si>
    <t>просп. М. Грушевського,171</t>
  </si>
  <si>
    <t>1-го Травня,171</t>
  </si>
  <si>
    <t>просп. М. Грушевського,182</t>
  </si>
  <si>
    <t>1-го Травня,182</t>
  </si>
  <si>
    <t>вул. Борщова,2</t>
  </si>
  <si>
    <t>Борщова,2</t>
  </si>
  <si>
    <t>вул. Борщова,4</t>
  </si>
  <si>
    <t>Борщова,4</t>
  </si>
  <si>
    <t xml:space="preserve">вул. Борщова,4а    </t>
  </si>
  <si>
    <t xml:space="preserve">Борщова,4а    </t>
  </si>
  <si>
    <t>вул. Борщова,5</t>
  </si>
  <si>
    <t>Борщова,5</t>
  </si>
  <si>
    <t xml:space="preserve">вул. Борщова,6а    </t>
  </si>
  <si>
    <t xml:space="preserve">Борщова,6а    </t>
  </si>
  <si>
    <t>вул. Верьовки ,12</t>
  </si>
  <si>
    <t>Верьовки ,12</t>
  </si>
  <si>
    <t xml:space="preserve">вул. Всіхсвятська,10а   </t>
  </si>
  <si>
    <t xml:space="preserve">Всіхсвятська,10а   </t>
  </si>
  <si>
    <t>вул. Всіхсвятська,12</t>
  </si>
  <si>
    <t>Всіхсвятська,12</t>
  </si>
  <si>
    <t xml:space="preserve">вул. Всіхсвятська,12а   </t>
  </si>
  <si>
    <t xml:space="preserve">Всіхсвятська,12а   </t>
  </si>
  <si>
    <t xml:space="preserve">вул. Всіхсвятська,16а   </t>
  </si>
  <si>
    <t xml:space="preserve">Всіхсвятська,16а   </t>
  </si>
  <si>
    <t>вул. Всіхсвятська,18</t>
  </si>
  <si>
    <t>Всіхсвятська,18</t>
  </si>
  <si>
    <t xml:space="preserve">вул. Всіхсвятська,18б   </t>
  </si>
  <si>
    <t xml:space="preserve">Всіхсвятська,18б   </t>
  </si>
  <si>
    <t>вул. Всіхсвятська,6</t>
  </si>
  <si>
    <t>Всіхсвятська,6</t>
  </si>
  <si>
    <t xml:space="preserve">вул. Всіхсвятська,6а    </t>
  </si>
  <si>
    <t xml:space="preserve">Всіхсвятська,6а    </t>
  </si>
  <si>
    <t>вул. Всіхсвятська,8</t>
  </si>
  <si>
    <t>Всіхсвятська,8</t>
  </si>
  <si>
    <t>вул. 1-ої танкової бригади,10</t>
  </si>
  <si>
    <t>колишня вул. Генерала Бєлова</t>
  </si>
  <si>
    <t>Генерала Бєлова,10</t>
  </si>
  <si>
    <t>вул. 1-ої танкової бригади,12</t>
  </si>
  <si>
    <t>Генерала Бєлова,12</t>
  </si>
  <si>
    <t xml:space="preserve">вул. 1-ої танкової бригади,12а   </t>
  </si>
  <si>
    <t xml:space="preserve">Генерала Бєлова,12а   </t>
  </si>
  <si>
    <t>вул. 1-ої танкової бригади,14</t>
  </si>
  <si>
    <t>Генерала Бєлова,14</t>
  </si>
  <si>
    <t>вул. 1-ої танкової бригади,17</t>
  </si>
  <si>
    <t>Генерала Бєлова,17</t>
  </si>
  <si>
    <t>вул. 1-ої танкової бригади,18</t>
  </si>
  <si>
    <t>Генерала Бєлова,18</t>
  </si>
  <si>
    <t>вул. 1-ої танкової бригади,2</t>
  </si>
  <si>
    <t>Генерала Бєлова,2</t>
  </si>
  <si>
    <t>вул. 1-ої танкової бригади,20</t>
  </si>
  <si>
    <t>Генерала Бєлова,20</t>
  </si>
  <si>
    <t xml:space="preserve">вул. 1-ої танкової бригади,21к1  </t>
  </si>
  <si>
    <t xml:space="preserve">Генерала Бєлова,21к1  </t>
  </si>
  <si>
    <t xml:space="preserve">вул. 1-ої танкової бригади,21к2  </t>
  </si>
  <si>
    <t xml:space="preserve">Генерала Бєлова,21к2  </t>
  </si>
  <si>
    <t xml:space="preserve">вул. 1-ої танкової бригади,21к3  </t>
  </si>
  <si>
    <t xml:space="preserve">Генерала Бєлова,21к3  </t>
  </si>
  <si>
    <t>вул. 1-ої танкової бригади,22</t>
  </si>
  <si>
    <t>Генерала Бєлова,22</t>
  </si>
  <si>
    <t xml:space="preserve">вул. 1-ої танкової бригади,23к1  </t>
  </si>
  <si>
    <t xml:space="preserve">Генерала Бєлова,23к1  </t>
  </si>
  <si>
    <t xml:space="preserve">вул. 1-ої танкової бригади,23к2  </t>
  </si>
  <si>
    <t xml:space="preserve">Генерала Бєлова,23к2  </t>
  </si>
  <si>
    <t xml:space="preserve">вул. 1-ої танкової бригади,23к3  </t>
  </si>
  <si>
    <t xml:space="preserve">Генерала Бєлова,23к3  </t>
  </si>
  <si>
    <t xml:space="preserve">вул. 1-ої танкової бригади,23к4  </t>
  </si>
  <si>
    <t xml:space="preserve">Генерала Бєлова,23к4  </t>
  </si>
  <si>
    <t>вул. 1-ої танкової бригади,24</t>
  </si>
  <si>
    <t>Генерала Бєлова,24</t>
  </si>
  <si>
    <t>вул. 1-ої танкової бригади,25</t>
  </si>
  <si>
    <t>Генерала Бєлова,25</t>
  </si>
  <si>
    <t>вул. 1-ої танкової бригади,27</t>
  </si>
  <si>
    <t>Генерала Бєлова,27</t>
  </si>
  <si>
    <t>вул. 1-ої танкової бригади,29(п.1)</t>
  </si>
  <si>
    <t>Генерала Бєлова,29(п.1)</t>
  </si>
  <si>
    <t>вул. 1-ої танкової бригади,29(п.2-3)</t>
  </si>
  <si>
    <t>Генерала Бєлова,29(п.2-3)</t>
  </si>
  <si>
    <t xml:space="preserve">вул. 1-ої танкової бригади,30к1  </t>
  </si>
  <si>
    <t xml:space="preserve">Генерала Бєлова,30к1  </t>
  </si>
  <si>
    <t xml:space="preserve">вул. 1-ої танкової бригади,30к2  </t>
  </si>
  <si>
    <t xml:space="preserve">Генерала Бєлова,30к2  </t>
  </si>
  <si>
    <t xml:space="preserve">вул. 1-ої танкової бригади,30к3  </t>
  </si>
  <si>
    <t xml:space="preserve">Генерала Бєлова,30к3  </t>
  </si>
  <si>
    <t xml:space="preserve">вул. 1-ої танкової бригади,37к1  </t>
  </si>
  <si>
    <t xml:space="preserve">Генерала Бєлова,37к1  </t>
  </si>
  <si>
    <t xml:space="preserve">вул. 1-ої танкової бригади,37к2  </t>
  </si>
  <si>
    <t xml:space="preserve">Генерала Бєлова,37к2  </t>
  </si>
  <si>
    <t xml:space="preserve">вул. 1-ої танкової бригади,37к3  </t>
  </si>
  <si>
    <t xml:space="preserve">Генерала Бєлова,37к3  </t>
  </si>
  <si>
    <t xml:space="preserve">вул. 1-ої танкової бригади,37к4  </t>
  </si>
  <si>
    <t xml:space="preserve">Генерала Бєлова,37к4  </t>
  </si>
  <si>
    <t xml:space="preserve">вул. 1-ої танкової бригади,37к5  </t>
  </si>
  <si>
    <t xml:space="preserve">Генерала Бєлова,37к5  </t>
  </si>
  <si>
    <t>вул. 1-ої танкової бригади,6</t>
  </si>
  <si>
    <t>Генерала Бєлова,6</t>
  </si>
  <si>
    <t>вул. 1-ої танкової бригади,8</t>
  </si>
  <si>
    <t>Генерала Бєлова,8</t>
  </si>
  <si>
    <t>вул. Володимира Коваленка,107</t>
  </si>
  <si>
    <t>колишня вул. Генерала Пухова</t>
  </si>
  <si>
    <t>Генерала Пухова,107</t>
  </si>
  <si>
    <t xml:space="preserve">вул. Володимира Коваленка,109к1 </t>
  </si>
  <si>
    <t xml:space="preserve">Генерала Пухова,109к1 </t>
  </si>
  <si>
    <t xml:space="preserve">вул. Володимира Коваленка,109к2 </t>
  </si>
  <si>
    <t xml:space="preserve">Генерала Пухова,109к2 </t>
  </si>
  <si>
    <t xml:space="preserve">вул. Володимира Коваленка,109к3 </t>
  </si>
  <si>
    <t xml:space="preserve">Генерала Пухова,109к3 </t>
  </si>
  <si>
    <t xml:space="preserve">вул. Володимира Коваленка,111к1 </t>
  </si>
  <si>
    <t xml:space="preserve">Генерала Пухова,111к1 </t>
  </si>
  <si>
    <t xml:space="preserve">вул. Володимира Коваленка,115а  </t>
  </si>
  <si>
    <t xml:space="preserve">Генерала Пухова,115а  </t>
  </si>
  <si>
    <t>вул. Володимира Коваленка,117</t>
  </si>
  <si>
    <t>Генерала Пухова,117</t>
  </si>
  <si>
    <t>вул. Володимира Коваленка,119</t>
  </si>
  <si>
    <t>Генерала Пухова,119</t>
  </si>
  <si>
    <t>вул. Володимира Коваленка,121</t>
  </si>
  <si>
    <t>Генерала Пухова,121</t>
  </si>
  <si>
    <t xml:space="preserve">вул. Володимира Коваленка,129к1 </t>
  </si>
  <si>
    <t xml:space="preserve">Генерала Пухова,129к1 </t>
  </si>
  <si>
    <t xml:space="preserve">вул. Володимира Коваленка,129к2 </t>
  </si>
  <si>
    <t xml:space="preserve">Генерала Пухова,129к2 </t>
  </si>
  <si>
    <t xml:space="preserve">вул. Володимира Коваленка,129к3 </t>
  </si>
  <si>
    <t xml:space="preserve">Генерала Пухова,129к3 </t>
  </si>
  <si>
    <t>вул. Володимира Коваленка,130</t>
  </si>
  <si>
    <t>Генерала Пухова,130</t>
  </si>
  <si>
    <t xml:space="preserve">вул. Володимира Коваленка,131к1 </t>
  </si>
  <si>
    <t xml:space="preserve">Генерала Пухова,131к1 </t>
  </si>
  <si>
    <t xml:space="preserve">вул. Володимира Коваленка,131к2 </t>
  </si>
  <si>
    <t xml:space="preserve">Генерала Пухова,131к2 </t>
  </si>
  <si>
    <t xml:space="preserve">вул. Володимира Коваленка,131к3 </t>
  </si>
  <si>
    <t xml:space="preserve">Генерала Пухова,131к3 </t>
  </si>
  <si>
    <t>вул. Володимира Коваленка,132</t>
  </si>
  <si>
    <t>Генерала Пухова,132</t>
  </si>
  <si>
    <t>вул. Володимира Коваленка,133</t>
  </si>
  <si>
    <t>Генерала Пухова,133</t>
  </si>
  <si>
    <t>вул. Володимира Коваленка,136</t>
  </si>
  <si>
    <t>Генерала Пухова,136</t>
  </si>
  <si>
    <t>вул. Володимира Коваленка,138</t>
  </si>
  <si>
    <t>Генерала Пухова,138</t>
  </si>
  <si>
    <t>вул. Володимира Коваленка,140</t>
  </si>
  <si>
    <t>Генерала Пухова,140</t>
  </si>
  <si>
    <t>вул. Володимира Коваленка,142</t>
  </si>
  <si>
    <t>Генерала Пухова,142</t>
  </si>
  <si>
    <t>вул. Володимира Коваленка,148</t>
  </si>
  <si>
    <t>Генерала Пухова,148</t>
  </si>
  <si>
    <t>вул. Володимира Коваленка,150</t>
  </si>
  <si>
    <t>Генерала Пухова,150</t>
  </si>
  <si>
    <t>вул. Володимира Коваленка,152</t>
  </si>
  <si>
    <t>Генерала Пухова,152</t>
  </si>
  <si>
    <t>вул. Володимира Коваленка,154</t>
  </si>
  <si>
    <t>Генерала Пухова,154</t>
  </si>
  <si>
    <t>вул. Володимира Коваленка,45</t>
  </si>
  <si>
    <t>Генерала Пухова,45</t>
  </si>
  <si>
    <t>вул. Володимира Коваленка,51</t>
  </si>
  <si>
    <t>Генерала Пухова,51</t>
  </si>
  <si>
    <t>вул. Соборності,1</t>
  </si>
  <si>
    <t>колишня вул. Доценка</t>
  </si>
  <si>
    <t>Доценка,1</t>
  </si>
  <si>
    <t>вул. Соборності,10</t>
  </si>
  <si>
    <t>Доценка,10</t>
  </si>
  <si>
    <t>вул. Соборності,11</t>
  </si>
  <si>
    <t>Доценка,11</t>
  </si>
  <si>
    <t>вул. Соборності,12</t>
  </si>
  <si>
    <t>Доценка,12</t>
  </si>
  <si>
    <t>вул. Соборності,14</t>
  </si>
  <si>
    <t>Доценка,14</t>
  </si>
  <si>
    <t>вул. Соборності,15</t>
  </si>
  <si>
    <t>Доценка,15</t>
  </si>
  <si>
    <t>вул. Соборності,16</t>
  </si>
  <si>
    <t>Доценка,16</t>
  </si>
  <si>
    <t xml:space="preserve">вул. Соборності,17а   </t>
  </si>
  <si>
    <t xml:space="preserve">Доценка,17а   </t>
  </si>
  <si>
    <t xml:space="preserve">вул. Соборності,17б   </t>
  </si>
  <si>
    <t xml:space="preserve">Доценка,17б   </t>
  </si>
  <si>
    <t xml:space="preserve">вул. Соборності,17в   </t>
  </si>
  <si>
    <t xml:space="preserve">Доценка,17в   </t>
  </si>
  <si>
    <t xml:space="preserve">вул. Соборності,17г   </t>
  </si>
  <si>
    <t xml:space="preserve">Доценка,17г   </t>
  </si>
  <si>
    <t>вул. Соборності,2</t>
  </si>
  <si>
    <t>Доценка,2</t>
  </si>
  <si>
    <t>вул. Соборності,21</t>
  </si>
  <si>
    <t>Доценка,21</t>
  </si>
  <si>
    <t xml:space="preserve">вул. Соборності,25в   </t>
  </si>
  <si>
    <t xml:space="preserve">Доценка,25в   </t>
  </si>
  <si>
    <t xml:space="preserve">вул. Соборності,26а   </t>
  </si>
  <si>
    <t xml:space="preserve">Доценка,26а   </t>
  </si>
  <si>
    <t>вул. Соборності,27</t>
  </si>
  <si>
    <t>Доценка,27</t>
  </si>
  <si>
    <t>вул. Соборності,3</t>
  </si>
  <si>
    <t>Доценка,3</t>
  </si>
  <si>
    <t>вул. Соборності,30</t>
  </si>
  <si>
    <t>Доценка,30</t>
  </si>
  <si>
    <t>вул. Соборності,32</t>
  </si>
  <si>
    <t>Доценка,32</t>
  </si>
  <si>
    <t xml:space="preserve">вул. Соборності,3а    </t>
  </si>
  <si>
    <t xml:space="preserve">Доценка,3а    </t>
  </si>
  <si>
    <t>вул. Соборності,4</t>
  </si>
  <si>
    <t>Доценка,4</t>
  </si>
  <si>
    <t xml:space="preserve">вул. Соборності,4а    </t>
  </si>
  <si>
    <t xml:space="preserve">Доценка,4а    </t>
  </si>
  <si>
    <t xml:space="preserve">вул. Соборності,4б    </t>
  </si>
  <si>
    <t xml:space="preserve">Доценка,4б    </t>
  </si>
  <si>
    <t>вул. Соборності,5</t>
  </si>
  <si>
    <t>Доценка,5</t>
  </si>
  <si>
    <t xml:space="preserve">вул. Соборності,5а    </t>
  </si>
  <si>
    <t xml:space="preserve">Доценка,5а    </t>
  </si>
  <si>
    <t>вул. Соборності,7</t>
  </si>
  <si>
    <t>Доценка,7</t>
  </si>
  <si>
    <t xml:space="preserve">вул. Соборності,7а    </t>
  </si>
  <si>
    <t xml:space="preserve">Доценка,7а    </t>
  </si>
  <si>
    <t>вул. Соборності,7в</t>
  </si>
  <si>
    <t>Доценка,7в</t>
  </si>
  <si>
    <t xml:space="preserve">вул. Соборності,8а    </t>
  </si>
  <si>
    <t xml:space="preserve">Доценка,8а    </t>
  </si>
  <si>
    <t>вул. Захисників України,1</t>
  </si>
  <si>
    <t>Захисників України,1</t>
  </si>
  <si>
    <t>вул. Захисників України,10</t>
  </si>
  <si>
    <t>Захисників України,10</t>
  </si>
  <si>
    <t xml:space="preserve">вул. Захисників України,10а   </t>
  </si>
  <si>
    <t xml:space="preserve">Захисників України,10а   </t>
  </si>
  <si>
    <t xml:space="preserve">вул. Захисників України,11а   </t>
  </si>
  <si>
    <t xml:space="preserve">Захисників України,11а   </t>
  </si>
  <si>
    <t xml:space="preserve">вул. Захисників України,11б   </t>
  </si>
  <si>
    <t xml:space="preserve">Захисників України,11б   </t>
  </si>
  <si>
    <t>вул. Захисників України,12</t>
  </si>
  <si>
    <t>Захисників України,12</t>
  </si>
  <si>
    <t xml:space="preserve">вул. Захисників України,12а   </t>
  </si>
  <si>
    <t xml:space="preserve">Захисників України,12а   </t>
  </si>
  <si>
    <t xml:space="preserve">вул. Захисників України,12б   </t>
  </si>
  <si>
    <t xml:space="preserve">Захисників України,12б   </t>
  </si>
  <si>
    <t>вул. Захисників України,13</t>
  </si>
  <si>
    <t>Захисників України,13</t>
  </si>
  <si>
    <t xml:space="preserve">вул. Захисників України,13а   </t>
  </si>
  <si>
    <t xml:space="preserve">Захисників України,13а   </t>
  </si>
  <si>
    <t xml:space="preserve">вул. Захисників України,13б   </t>
  </si>
  <si>
    <t xml:space="preserve">Захисників України,13б   </t>
  </si>
  <si>
    <t>вул. Захисників України,14</t>
  </si>
  <si>
    <t>Захисників України,14</t>
  </si>
  <si>
    <t xml:space="preserve">вул. Захисників України,14б   </t>
  </si>
  <si>
    <t xml:space="preserve">Захисників України,14б   </t>
  </si>
  <si>
    <t>вул. Захисників України,16</t>
  </si>
  <si>
    <t>Захисників України,16</t>
  </si>
  <si>
    <t>вул. Захисників України,17</t>
  </si>
  <si>
    <t>Захисників України,17</t>
  </si>
  <si>
    <t>вул. Захисників України,3</t>
  </si>
  <si>
    <t>Захисників України,3</t>
  </si>
  <si>
    <t xml:space="preserve">вул. Захисників України,3а    </t>
  </si>
  <si>
    <t xml:space="preserve">Захисників України,3а    </t>
  </si>
  <si>
    <t>вул. Захисників України,5</t>
  </si>
  <si>
    <t>Захисників України,5</t>
  </si>
  <si>
    <t>вул. Захисників України,6</t>
  </si>
  <si>
    <t>Захисників України,6</t>
  </si>
  <si>
    <t>вул. Захисників України,7</t>
  </si>
  <si>
    <t>Захисників України,7</t>
  </si>
  <si>
    <t>вул. Захисників України,8</t>
  </si>
  <si>
    <t>Захисників України,8</t>
  </si>
  <si>
    <t xml:space="preserve">вул. Захисників України,9а    </t>
  </si>
  <si>
    <t xml:space="preserve">Захисників України,9а    </t>
  </si>
  <si>
    <t>вул. Кiльцева,20</t>
  </si>
  <si>
    <t>Кiльцева,20</t>
  </si>
  <si>
    <t xml:space="preserve">вул. Кленова,12а   </t>
  </si>
  <si>
    <t xml:space="preserve">Кленова,12а   </t>
  </si>
  <si>
    <t>вул. Кленова,18</t>
  </si>
  <si>
    <t>Кленова,18</t>
  </si>
  <si>
    <t>вул. Кленова,32</t>
  </si>
  <si>
    <t>Кленова,32</t>
  </si>
  <si>
    <t>вул. Корольова,10</t>
  </si>
  <si>
    <t>Корольова,10</t>
  </si>
  <si>
    <t xml:space="preserve">вул. Корольова,10а   </t>
  </si>
  <si>
    <t xml:space="preserve">Корольова,10а   </t>
  </si>
  <si>
    <t xml:space="preserve">вул. Корольова,10б   </t>
  </si>
  <si>
    <t xml:space="preserve">Корольова,10б   </t>
  </si>
  <si>
    <t>пок</t>
  </si>
  <si>
    <t xml:space="preserve">вул. Корольова,10в   </t>
  </si>
  <si>
    <t xml:space="preserve">Корольова,10в   </t>
  </si>
  <si>
    <t>пок,дв</t>
  </si>
  <si>
    <t>вул. Корольова,11</t>
  </si>
  <si>
    <t>Корольова,11</t>
  </si>
  <si>
    <t>вул. Корольова,12</t>
  </si>
  <si>
    <t>Корольова,12</t>
  </si>
  <si>
    <t>вул. Корольова,13</t>
  </si>
  <si>
    <t>Корольова,13</t>
  </si>
  <si>
    <t>вул. Корольова,14</t>
  </si>
  <si>
    <t>Корольова,14</t>
  </si>
  <si>
    <t xml:space="preserve">вул. Корольова,14а   </t>
  </si>
  <si>
    <t xml:space="preserve">Корольова,14а   </t>
  </si>
  <si>
    <t>вул. Корольова,15</t>
  </si>
  <si>
    <t>Корольова,15</t>
  </si>
  <si>
    <t>вул. Корольова,16</t>
  </si>
  <si>
    <t>Корольова,16</t>
  </si>
  <si>
    <t>вул. Корольова,17</t>
  </si>
  <si>
    <t>Корольова,17</t>
  </si>
  <si>
    <t>вул. Корольова,18</t>
  </si>
  <si>
    <t>Корольова,18</t>
  </si>
  <si>
    <t>дв</t>
  </si>
  <si>
    <t xml:space="preserve">вул. Корольова,18а   </t>
  </si>
  <si>
    <t xml:space="preserve">Корольова,18а   </t>
  </si>
  <si>
    <t>вул. Корольова,19</t>
  </si>
  <si>
    <t>Корольова,19</t>
  </si>
  <si>
    <t>№ 4/235 від 30.04.2019</t>
  </si>
  <si>
    <t>Корольова,2</t>
  </si>
  <si>
    <t>вул. Корольова,21</t>
  </si>
  <si>
    <t>Корольова,21</t>
  </si>
  <si>
    <t>вул. Корольова,4</t>
  </si>
  <si>
    <t>Корольова,4</t>
  </si>
  <si>
    <t xml:space="preserve">вул. Корольова,4а    </t>
  </si>
  <si>
    <t xml:space="preserve">Корольова,4а    </t>
  </si>
  <si>
    <t>№ 4/236 від 23.08.2022</t>
  </si>
  <si>
    <t>Корольова 6</t>
  </si>
  <si>
    <t>вул. Корольова,8</t>
  </si>
  <si>
    <t>Корольова,8</t>
  </si>
  <si>
    <t>вул. Корольова,9</t>
  </si>
  <si>
    <t>Корольова,9</t>
  </si>
  <si>
    <t>вул. Космонавтiв,1</t>
  </si>
  <si>
    <t>Космонавтiв,1</t>
  </si>
  <si>
    <t>вул. Космонавтiв,10</t>
  </si>
  <si>
    <t>Космонавтiв,10</t>
  </si>
  <si>
    <t xml:space="preserve">вул. Космонавтiв,10а   </t>
  </si>
  <si>
    <t xml:space="preserve">Космонавтiв,10а   </t>
  </si>
  <si>
    <t>вул. Космонавтiв,12</t>
  </si>
  <si>
    <t>Космонавтiв,12</t>
  </si>
  <si>
    <t xml:space="preserve">вул. Космонавтiв,1а    </t>
  </si>
  <si>
    <t xml:space="preserve">Космонавтiв,1а    </t>
  </si>
  <si>
    <t>вул. Космонавтiв,2</t>
  </si>
  <si>
    <t>Космонавтiв,2</t>
  </si>
  <si>
    <t>вул. Космонавтiв,20</t>
  </si>
  <si>
    <t>Космонавтiв,20</t>
  </si>
  <si>
    <t>вул. Космонавтiв,22</t>
  </si>
  <si>
    <t>Космонавтiв,22</t>
  </si>
  <si>
    <t>вул. Космонавтiв,24</t>
  </si>
  <si>
    <t>Космонавтiв,24</t>
  </si>
  <si>
    <t>вул. Космонавтiв,26</t>
  </si>
  <si>
    <t>Космонавтiв,26</t>
  </si>
  <si>
    <t>вул. Космонавтiв,3</t>
  </si>
  <si>
    <t>Космонавтiв,3</t>
  </si>
  <si>
    <t>вул. Космонавтiв,4</t>
  </si>
  <si>
    <t>Космонавтiв,4</t>
  </si>
  <si>
    <t xml:space="preserve">вул. Космонавтiв,4а    </t>
  </si>
  <si>
    <t xml:space="preserve">Космонавтiв,4а    </t>
  </si>
  <si>
    <t>вул. Космонавтiв,5</t>
  </si>
  <si>
    <t>Космонавтiв,5</t>
  </si>
  <si>
    <t xml:space="preserve">вул. Космонавтiв,5а    </t>
  </si>
  <si>
    <t xml:space="preserve">Космонавтiв,5а    </t>
  </si>
  <si>
    <t>вул. Космонавтiв,6</t>
  </si>
  <si>
    <t>Космонавтiв,6</t>
  </si>
  <si>
    <t>вул. Космонавтiв,8</t>
  </si>
  <si>
    <t>Космонавтiв,8</t>
  </si>
  <si>
    <t>вул. Максима Березовського,1</t>
  </si>
  <si>
    <t>Максима Березовського,1</t>
  </si>
  <si>
    <t>вул. Максима Березовського,2</t>
  </si>
  <si>
    <t>Максима Березовського,2</t>
  </si>
  <si>
    <t>вул. Івана Виговського,38</t>
  </si>
  <si>
    <t>колишня вул. Малиновського</t>
  </si>
  <si>
    <t>Малиновського,38</t>
  </si>
  <si>
    <t>вул. Івана Виговського,39</t>
  </si>
  <si>
    <t>Малиновського,39</t>
  </si>
  <si>
    <t>вул. Івана Виговського,41</t>
  </si>
  <si>
    <t>Малиновського,41</t>
  </si>
  <si>
    <t>вул. Івана Виговського,55</t>
  </si>
  <si>
    <t>Малиновського,55</t>
  </si>
  <si>
    <t>вул. Івана Виговського,57</t>
  </si>
  <si>
    <t>Малиновського,57</t>
  </si>
  <si>
    <t>вул. Ветеринарна,1</t>
  </si>
  <si>
    <t>колишня вул. Маресьєва</t>
  </si>
  <si>
    <t>Маресьєва,1</t>
  </si>
  <si>
    <t>вул. Ветеринарна,4</t>
  </si>
  <si>
    <t>Маресьєва,4</t>
  </si>
  <si>
    <t>вул. Петра Смолічева,12</t>
  </si>
  <si>
    <t>Петра Смолічева,12</t>
  </si>
  <si>
    <t>просп. Л. Лук'яненка,10</t>
  </si>
  <si>
    <t>колишня вул. Рокоссовського</t>
  </si>
  <si>
    <t>Рокоссовського,10</t>
  </si>
  <si>
    <t xml:space="preserve">просп. Л. Лук'яненка,12а   </t>
  </si>
  <si>
    <t xml:space="preserve">Рокоссовського,12а   </t>
  </si>
  <si>
    <t xml:space="preserve">просп. Л. Лук'яненка,12б   </t>
  </si>
  <si>
    <t xml:space="preserve">Рокоссовського,12б   </t>
  </si>
  <si>
    <t xml:space="preserve">просп. Л. Лук'яненка,12в   </t>
  </si>
  <si>
    <t xml:space="preserve">Рокоссовського,12в   </t>
  </si>
  <si>
    <t xml:space="preserve">просп. Л. Лук'яненка,12к1  </t>
  </si>
  <si>
    <t xml:space="preserve">Рокоссовського,12к1  </t>
  </si>
  <si>
    <t>просп. Л. Лук'яненка,14</t>
  </si>
  <si>
    <t>Рокоссовського,14</t>
  </si>
  <si>
    <t xml:space="preserve">просп. Л. Лук'яненка,14а   </t>
  </si>
  <si>
    <t xml:space="preserve">Рокоссовського,14а   </t>
  </si>
  <si>
    <t xml:space="preserve">просп. Л. Лук'яненка,14б   </t>
  </si>
  <si>
    <t xml:space="preserve">Рокоссовського,14б   </t>
  </si>
  <si>
    <t xml:space="preserve">просп. Л. Лук'яненка,14в   </t>
  </si>
  <si>
    <t xml:space="preserve">Рокоссовського,14в   </t>
  </si>
  <si>
    <t>просп. Л. Лук'яненка,18</t>
  </si>
  <si>
    <t>Рокоссовського,18</t>
  </si>
  <si>
    <t>просп. Л. Лук'яненка,20</t>
  </si>
  <si>
    <t>Рокоссовського,20</t>
  </si>
  <si>
    <t xml:space="preserve">просп. Л. Лук'яненка,20б   </t>
  </si>
  <si>
    <t xml:space="preserve">Рокоссовського,20б   </t>
  </si>
  <si>
    <t>просп. Л. Лук'яненка,22</t>
  </si>
  <si>
    <t>Рокоссовського,22</t>
  </si>
  <si>
    <t>просп. Л. Лук'яненка,28</t>
  </si>
  <si>
    <t>Рокоссовського,28</t>
  </si>
  <si>
    <t>просп. Л. Лук'яненка,30</t>
  </si>
  <si>
    <t>Рокоссовського,30</t>
  </si>
  <si>
    <t>просп. Л. Лук'яненка,32</t>
  </si>
  <si>
    <t>Рокоссовського,32</t>
  </si>
  <si>
    <t>просп. Л. Лук'яненка,34</t>
  </si>
  <si>
    <t>Рокоссовського,34</t>
  </si>
  <si>
    <t>просп. Л. Лук'яненка,36</t>
  </si>
  <si>
    <t>Рокоссовського,36</t>
  </si>
  <si>
    <t>просп. Л. Лук'яненка,38</t>
  </si>
  <si>
    <t>Рокоссовського,38</t>
  </si>
  <si>
    <t>просп. Л. Лук'яненка,4</t>
  </si>
  <si>
    <t>Рокоссовського,4</t>
  </si>
  <si>
    <t>просп. Л. Лук'яненка,40</t>
  </si>
  <si>
    <t>Рокоссовського,40</t>
  </si>
  <si>
    <t>просп. Л. Лук'яненка,42</t>
  </si>
  <si>
    <t>Рокоссовського,42</t>
  </si>
  <si>
    <t xml:space="preserve">просп. Л. Лук'яненка,42а   </t>
  </si>
  <si>
    <t xml:space="preserve">Рокоссовського,42а   </t>
  </si>
  <si>
    <t>просп. Л. Лук'яненка,44</t>
  </si>
  <si>
    <t>Рокоссовського,44</t>
  </si>
  <si>
    <t>просп. Л. Лук'яненка,46</t>
  </si>
  <si>
    <t>Рокоссовського,46</t>
  </si>
  <si>
    <t>просп. Л. Лук'яненка,48</t>
  </si>
  <si>
    <t>Рокоссовського,48</t>
  </si>
  <si>
    <t>просп. Л. Лук'яненка,50</t>
  </si>
  <si>
    <t>Рокоссовського,50</t>
  </si>
  <si>
    <t>просп. Л. Лук'яненка,54</t>
  </si>
  <si>
    <t>Рокоссовського,54</t>
  </si>
  <si>
    <t xml:space="preserve">просп. Л. Лук'яненка,54а   </t>
  </si>
  <si>
    <t xml:space="preserve">Рокоссовського,54а   </t>
  </si>
  <si>
    <t>просп. Л. Лук'яненка,58</t>
  </si>
  <si>
    <t>Рокоссовського,58</t>
  </si>
  <si>
    <t>просп. Л. Лук'яненка,6</t>
  </si>
  <si>
    <t>Рокоссовського,6</t>
  </si>
  <si>
    <t>просп. Л. Лук'яненка,60</t>
  </si>
  <si>
    <t>Рокоссовського,60</t>
  </si>
  <si>
    <t>просп. Л. Лук'яненка,62</t>
  </si>
  <si>
    <t>Рокоссовського,62</t>
  </si>
  <si>
    <t>просп. Л. Лук'яненка,66</t>
  </si>
  <si>
    <t>Рокоссовського,66</t>
  </si>
  <si>
    <t>просп. Л. Лук'яненка,68</t>
  </si>
  <si>
    <t>Рокоссовського,68</t>
  </si>
  <si>
    <t>вул. Шевченка,101</t>
  </si>
  <si>
    <t>Шевченка,101</t>
  </si>
  <si>
    <t>№80/22 від 01.09.2022</t>
  </si>
  <si>
    <t>Шевченка 246а</t>
  </si>
  <si>
    <t xml:space="preserve">вул. Шевченка,248а  </t>
  </si>
  <si>
    <t xml:space="preserve">Шевченка,248а  </t>
  </si>
  <si>
    <t>просп. М. Грушевського,179а</t>
  </si>
  <si>
    <t>№240/24 від 01.04.2024</t>
  </si>
  <si>
    <t>3-х пов. ж/б -цегляні, загальний коридор та 2-ві сходові клітини (ремонт сходових та коридору) - М.Грушевського 179а</t>
  </si>
  <si>
    <t>площа</t>
  </si>
  <si>
    <t>доходи</t>
  </si>
  <si>
    <t>тариф</t>
  </si>
  <si>
    <t>2 пов</t>
  </si>
  <si>
    <t>3 пов</t>
  </si>
  <si>
    <t>4 пов</t>
  </si>
  <si>
    <t>5 пов</t>
  </si>
  <si>
    <t>7 пов</t>
  </si>
  <si>
    <t>8 пов</t>
  </si>
  <si>
    <t>9 пов</t>
  </si>
  <si>
    <t>10 пов</t>
  </si>
  <si>
    <t>13 пов</t>
  </si>
  <si>
    <t>14 пов</t>
  </si>
  <si>
    <t xml:space="preserve"> </t>
  </si>
  <si>
    <t>колишнє найменування вулиці</t>
  </si>
  <si>
    <t>(колишня вул. 1Травня)</t>
  </si>
  <si>
    <t>діючі з 04.11.2024 року ціни на послугу з управління з ПДВ</t>
  </si>
  <si>
    <t>для нежитл прим з окрем входом</t>
  </si>
  <si>
    <t>для нежитл прим з окрем входом, %</t>
  </si>
  <si>
    <t>підїзд</t>
  </si>
  <si>
    <t>Діюча ціна послуги з управління з 04.11.2024 року</t>
  </si>
  <si>
    <t>% росту</t>
  </si>
  <si>
    <t>Дата набрання чинності</t>
  </si>
  <si>
    <t xml:space="preserve"> 01.05.2026 року</t>
  </si>
  <si>
    <t>УПРАВИТЕЛЬ</t>
  </si>
  <si>
    <t>Начальник підприємства</t>
  </si>
  <si>
    <t xml:space="preserve">Костянтин  ДМИТЕРКО </t>
  </si>
  <si>
    <t>31.03.2026 року</t>
  </si>
  <si>
    <t xml:space="preserve">           Приведення у відповідність ціни на послугу з управління до економічно обгрунтованих витрат є запорукою якісного та своєчасного надання житлових послуг, зокрема з виконання поточного ремонту житлового фонду і підготовки його до експлуатації в осінньо-зимовий період, особливо в умовах воєнного часу.</t>
  </si>
  <si>
    <t xml:space="preserve">           Це викликано суттєвими змінами розрахункових показників, які безпосередньо впливають на розмір вартості та не залежать від Управителя, а саме ріст мінімальної заробітної плати з 8000 грн. до 8647 грн., зміни до Галузевої угоди на 2023-2027 роки, які стосуються підвищення соціальних гарантій працюючих у сфері житлово-комунального господарства і не допущення кадрової кризи, ріст вартості ПММ, будівельних матеріалів, інструменту, інвентарю, збільшення вартості послуг підрядних організацій.</t>
  </si>
  <si>
    <t xml:space="preserve">           Ціна на послугу з управління вважається прийнятою, якщо протягом 30 днів з моменту оприлюднення співвласники не надали обгрунтованих зауважень та/або заперечень.</t>
  </si>
  <si>
    <t xml:space="preserve">            КП "ЖЕК-10" Чернігівської міської ради відповідно до  п.40.1 Договору про надання послуги з управління багатоквартирним будинком повідомляє про перерахунок Кошторису витрат на утримання будинку та прибудинкової території та намір зміни ціни на послугу з управління багатоквартирним будинком.</t>
  </si>
  <si>
    <t xml:space="preserve">            КП "ЖЕК-10" Чернігівської міської ради відповідно до п.40.1 Договору про надання послуги з управління багатоквартирним будинком  повідомляє про перерахунок Кошторису витрат на утримання будинку та прибудинкової території та намір зміни ціни на послугу з управління багатоквартирним будинком.</t>
  </si>
  <si>
    <t>у новій редакції відповідно до п.40.1 Договору</t>
  </si>
  <si>
    <r>
      <t>Місячна сума витрат з ПДВ  у розрахунку  на       1 кв.метр загальної площі</t>
    </r>
    <r>
      <rPr>
        <b/>
        <sz val="18"/>
        <rFont val="Times New Roman"/>
        <family val="1"/>
        <charset val="204"/>
      </rPr>
      <t xml:space="preserve"> квартир що                не користуються ліфтами та нежитлових приміщень без окремого входу</t>
    </r>
    <r>
      <rPr>
        <sz val="18"/>
        <rFont val="Times New Roman"/>
        <family val="1"/>
        <charset val="204"/>
      </rPr>
      <t>, грн/м2</t>
    </r>
  </si>
  <si>
    <r>
      <t xml:space="preserve">Місячна сума витрат з ПДВ у розрахунку                    на 1 кв.метр загальної площі </t>
    </r>
    <r>
      <rPr>
        <b/>
        <sz val="18"/>
        <rFont val="Times New Roman"/>
        <family val="1"/>
        <charset val="204"/>
      </rPr>
      <t xml:space="preserve">квартир що користуються ліфтами                   </t>
    </r>
    <r>
      <rPr>
        <sz val="18"/>
        <rFont val="Times New Roman"/>
        <family val="1"/>
        <charset val="204"/>
      </rPr>
      <t>(другого і вище поверхів), грн/м2</t>
    </r>
  </si>
  <si>
    <r>
      <t xml:space="preserve">Місячна сума витрат з ПДВ  у розрахунку                    на 1 кв.метр загальної площі </t>
    </r>
    <r>
      <rPr>
        <b/>
        <sz val="18"/>
        <rFont val="Times New Roman"/>
        <family val="1"/>
        <charset val="204"/>
      </rPr>
      <t>нежитлових приміщень з окремим входом</t>
    </r>
    <r>
      <rPr>
        <sz val="18"/>
        <rFont val="Times New Roman"/>
        <family val="1"/>
        <charset val="204"/>
      </rPr>
      <t>, грн/м2</t>
    </r>
  </si>
  <si>
    <t xml:space="preserve">       З Кошторисами витрат на утримання будинку і прибудинкової території Ви можете ознайомитися на сайті Чернігівської міської ради:                                                                                                               (Міська рада-Комунальні підприємства-КП "ЖЕК-10"- розділ Споживачам або https://chernigiv-rada.gov.ua/kp-g10-spog/</t>
  </si>
  <si>
    <r>
      <t xml:space="preserve">Місячна сума витрат з ПДВ  у розрахунку на 1 кв.метр загальної площі </t>
    </r>
    <r>
      <rPr>
        <b/>
        <sz val="16"/>
        <rFont val="Times New Roman"/>
        <family val="1"/>
        <charset val="204"/>
      </rPr>
      <t>квартир та нежитлових приміщень без окремого входу</t>
    </r>
    <r>
      <rPr>
        <sz val="16"/>
        <rFont val="Times New Roman"/>
        <family val="1"/>
        <charset val="204"/>
      </rPr>
      <t>, грн/м2</t>
    </r>
  </si>
  <si>
    <r>
      <t xml:space="preserve">Місячна сума витрат з ПДВ  у розрахунку   на 1 кв.метр загальної площі </t>
    </r>
    <r>
      <rPr>
        <b/>
        <sz val="16"/>
        <rFont val="Times New Roman"/>
        <family val="1"/>
        <charset val="204"/>
      </rPr>
      <t>нежитлових приміщень з окремим входом</t>
    </r>
    <r>
      <rPr>
        <sz val="16"/>
        <rFont val="Times New Roman"/>
        <family val="1"/>
        <charset val="204"/>
      </rPr>
      <t>, грн/м2</t>
    </r>
  </si>
  <si>
    <t xml:space="preserve">       З Кошторисами витрат на утримання будинку і прибудинкової території Ви можете ознайомитися на сайті Чернігівської міської ради:                                                                                                     (Міська рада-Комунальні підприємства-КП "ЖЕК-10"- розділ Споживачам або https://chernigiv-rada.gov.ua/kp-g10-spog/</t>
  </si>
  <si>
    <r>
      <t>Повідомлення про намір зміни ціни на послугу з управління багатоквартирним будинком</t>
    </r>
    <r>
      <rPr>
        <b/>
        <u/>
        <sz val="26"/>
        <rFont val="Times New Roman"/>
        <family val="1"/>
        <charset val="204"/>
      </rPr>
      <t xml:space="preserve"> з 01.05.2026 року</t>
    </r>
  </si>
  <si>
    <r>
      <t>Повідомлення про намір зміни ціни на  послугу з управління багатоквартирним будинком</t>
    </r>
    <r>
      <rPr>
        <b/>
        <u/>
        <sz val="24"/>
        <rFont val="Times New Roman"/>
        <family val="1"/>
        <charset val="204"/>
      </rPr>
      <t xml:space="preserve"> з 01.05.2026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</si>
</sst>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#,##0.0000"/>
    <numFmt numFmtId="166" formatCode="0.000000"/>
    <numFmt numFmtId="167" formatCode="0.00000"/>
    <numFmt numFmtId="168" formatCode="0.000"/>
    <numFmt numFmtId="169" formatCode="0.000%"/>
    <numFmt numFmtId="170" formatCode="0.0%"/>
  </numFmts>
  <fonts count="10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</font>
    <font>
      <sz val="11"/>
      <color rgb="FFC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name val="MS Sans Serif"/>
      <family val="2"/>
      <charset val="204"/>
    </font>
    <font>
      <sz val="8"/>
      <name val="MS Sans Serif"/>
      <family val="2"/>
      <charset val="204"/>
    </font>
    <font>
      <sz val="8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name val="Calibri"/>
      <family val="2"/>
      <charset val="204"/>
    </font>
    <font>
      <sz val="12"/>
      <name val="Calibri"/>
      <family val="2"/>
    </font>
    <font>
      <sz val="10"/>
      <color rgb="FFC00000"/>
      <name val="Calibri"/>
      <family val="2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rgb="FFC00000"/>
      <name val="Calibri"/>
      <family val="2"/>
      <charset val="204"/>
    </font>
    <font>
      <b/>
      <sz val="8"/>
      <color theme="7" tint="-0.249977111117893"/>
      <name val="MS Sans Serif"/>
      <family val="2"/>
      <charset val="204"/>
    </font>
    <font>
      <sz val="8"/>
      <color theme="7" tint="-0.249977111117893"/>
      <name val="MS Sans Serif"/>
      <family val="2"/>
      <charset val="204"/>
    </font>
    <font>
      <sz val="8"/>
      <color rgb="FFC00000"/>
      <name val="MS Sans Serif"/>
      <family val="2"/>
      <charset val="204"/>
    </font>
    <font>
      <sz val="8"/>
      <color rgb="FFC00000"/>
      <name val="Calibri"/>
      <family val="2"/>
      <scheme val="minor"/>
    </font>
    <font>
      <b/>
      <sz val="8"/>
      <color rgb="FFC00000"/>
      <name val="MS Sans Serif"/>
      <family val="2"/>
      <charset val="204"/>
    </font>
    <font>
      <sz val="8"/>
      <color theme="8" tint="-0.499984740745262"/>
      <name val="MS Sans Serif"/>
      <family val="2"/>
      <charset val="204"/>
    </font>
    <font>
      <b/>
      <sz val="9"/>
      <color theme="7" tint="-0.249977111117893"/>
      <name val="Times New Roman"/>
      <family val="1"/>
      <charset val="204"/>
    </font>
    <font>
      <sz val="10"/>
      <color rgb="FFC00000"/>
      <name val="Calibri"/>
      <family val="2"/>
      <scheme val="minor"/>
    </font>
    <font>
      <sz val="10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b/>
      <sz val="8"/>
      <color theme="8" tint="-0.499984740745262"/>
      <name val="Times New Roman"/>
      <family val="1"/>
      <charset val="204"/>
    </font>
    <font>
      <b/>
      <sz val="9"/>
      <color theme="8" tint="-0.499984740745262"/>
      <name val="Times New Roman"/>
      <family val="1"/>
      <charset val="204"/>
    </font>
    <font>
      <b/>
      <sz val="12"/>
      <color rgb="FFC00000"/>
      <name val="Calibri"/>
      <family val="2"/>
      <scheme val="minor"/>
    </font>
    <font>
      <b/>
      <sz val="12"/>
      <color rgb="FFC00000"/>
      <name val="Calibri"/>
      <family val="2"/>
      <charset val="204"/>
      <scheme val="minor"/>
    </font>
    <font>
      <b/>
      <sz val="12"/>
      <name val="MS Sans Serif"/>
      <family val="2"/>
      <charset val="204"/>
    </font>
    <font>
      <sz val="12"/>
      <color rgb="FFC00000"/>
      <name val="Calibri"/>
      <family val="2"/>
      <scheme val="minor"/>
    </font>
    <font>
      <b/>
      <sz val="12"/>
      <color rgb="FFC00000"/>
      <name val="MS Sans Serif"/>
      <family val="2"/>
      <charset val="204"/>
    </font>
    <font>
      <sz val="8"/>
      <name val="Calibri"/>
      <family val="2"/>
    </font>
    <font>
      <sz val="12"/>
      <color rgb="FFC00000"/>
      <name val="Calibri"/>
      <family val="2"/>
      <charset val="204"/>
    </font>
    <font>
      <sz val="10"/>
      <color rgb="FFC00000"/>
      <name val="Calibri"/>
      <family val="2"/>
      <charset val="204"/>
    </font>
    <font>
      <sz val="8"/>
      <color rgb="FFC00000"/>
      <name val="Calibri"/>
      <family val="2"/>
      <charset val="204"/>
    </font>
    <font>
      <sz val="12"/>
      <color rgb="FFC00000"/>
      <name val="Calibri"/>
      <family val="2"/>
    </font>
    <font>
      <sz val="8"/>
      <name val="Calibri"/>
      <family val="2"/>
      <charset val="204"/>
    </font>
    <font>
      <sz val="8"/>
      <color rgb="FFC00000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charset val="204"/>
    </font>
    <font>
      <b/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sz val="12"/>
      <color theme="7" tint="-0.249977111117893"/>
      <name val="Calibri"/>
      <family val="2"/>
      <scheme val="minor"/>
    </font>
    <font>
      <sz val="8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1"/>
      <name val="Times New Roman"/>
      <family val="1"/>
      <charset val="204"/>
    </font>
    <font>
      <i/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u/>
      <sz val="24"/>
      <name val="Times New Roman"/>
      <family val="1"/>
      <charset val="204"/>
    </font>
    <font>
      <sz val="20"/>
      <name val="Calibri"/>
      <family val="2"/>
      <scheme val="minor"/>
    </font>
    <font>
      <b/>
      <sz val="20"/>
      <name val="Calibri"/>
      <family val="2"/>
      <charset val="204"/>
      <scheme val="minor"/>
    </font>
    <font>
      <i/>
      <sz val="16"/>
      <name val="Times New Roman"/>
      <family val="1"/>
      <charset val="204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b/>
      <u/>
      <sz val="2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0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/>
    <xf numFmtId="0" fontId="9" fillId="0" borderId="7" xfId="0" applyFont="1" applyBorder="1"/>
    <xf numFmtId="0" fontId="7" fillId="0" borderId="0" xfId="0" applyFont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64" fontId="16" fillId="0" borderId="7" xfId="0" applyNumberFormat="1" applyFont="1" applyBorder="1"/>
    <xf numFmtId="164" fontId="16" fillId="10" borderId="9" xfId="0" applyNumberFormat="1" applyFont="1" applyFill="1" applyBorder="1" applyAlignment="1">
      <alignment horizontal="right"/>
    </xf>
    <xf numFmtId="164" fontId="15" fillId="9" borderId="7" xfId="0" applyNumberFormat="1" applyFont="1" applyFill="1" applyBorder="1"/>
    <xf numFmtId="0" fontId="14" fillId="0" borderId="0" xfId="0" applyFont="1"/>
    <xf numFmtId="164" fontId="16" fillId="12" borderId="7" xfId="0" applyNumberFormat="1" applyFont="1" applyFill="1" applyBorder="1"/>
    <xf numFmtId="164" fontId="15" fillId="2" borderId="7" xfId="0" applyNumberFormat="1" applyFont="1" applyFill="1" applyBorder="1"/>
    <xf numFmtId="164" fontId="15" fillId="3" borderId="7" xfId="0" applyNumberFormat="1" applyFont="1" applyFill="1" applyBorder="1"/>
    <xf numFmtId="164" fontId="15" fillId="17" borderId="7" xfId="0" applyNumberFormat="1" applyFont="1" applyFill="1" applyBorder="1"/>
    <xf numFmtId="0" fontId="14" fillId="0" borderId="7" xfId="0" applyFont="1" applyBorder="1"/>
    <xf numFmtId="0" fontId="17" fillId="0" borderId="0" xfId="0" applyFont="1"/>
    <xf numFmtId="164" fontId="1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4" fontId="1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2" fillId="0" borderId="7" xfId="0" applyFont="1" applyBorder="1"/>
    <xf numFmtId="0" fontId="22" fillId="0" borderId="0" xfId="0" applyFont="1"/>
    <xf numFmtId="0" fontId="22" fillId="10" borderId="0" xfId="0" applyFont="1" applyFill="1"/>
    <xf numFmtId="0" fontId="24" fillId="0" borderId="0" xfId="0" applyFont="1" applyAlignment="1">
      <alignment vertical="center"/>
    </xf>
    <xf numFmtId="0" fontId="24" fillId="10" borderId="0" xfId="0" applyFont="1" applyFill="1" applyAlignment="1">
      <alignment vertical="center"/>
    </xf>
    <xf numFmtId="168" fontId="22" fillId="0" borderId="0" xfId="0" applyNumberFormat="1" applyFont="1"/>
    <xf numFmtId="0" fontId="25" fillId="0" borderId="7" xfId="0" applyFont="1" applyBorder="1"/>
    <xf numFmtId="0" fontId="20" fillId="0" borderId="4" xfId="0" applyFont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 wrapText="1"/>
    </xf>
    <xf numFmtId="49" fontId="6" fillId="0" borderId="17" xfId="0" applyNumberFormat="1" applyFont="1" applyBorder="1" applyAlignment="1">
      <alignment horizontal="center" vertical="center" textRotation="90" wrapText="1"/>
    </xf>
    <xf numFmtId="49" fontId="10" fillId="3" borderId="17" xfId="0" applyNumberFormat="1" applyFont="1" applyFill="1" applyBorder="1" applyAlignment="1">
      <alignment horizontal="center" vertical="center" textRotation="90" wrapText="1"/>
    </xf>
    <xf numFmtId="0" fontId="23" fillId="10" borderId="18" xfId="0" applyFont="1" applyFill="1" applyBorder="1" applyAlignment="1">
      <alignment horizontal="center" vertical="center" textRotation="90" wrapText="1"/>
    </xf>
    <xf numFmtId="0" fontId="15" fillId="9" borderId="7" xfId="0" applyFont="1" applyFill="1" applyBorder="1" applyAlignment="1">
      <alignment horizontal="center" vertical="center" wrapText="1"/>
    </xf>
    <xf numFmtId="49" fontId="6" fillId="19" borderId="17" xfId="0" applyNumberFormat="1" applyFont="1" applyFill="1" applyBorder="1" applyAlignment="1">
      <alignment horizontal="center" vertical="center" textRotation="90" wrapText="1"/>
    </xf>
    <xf numFmtId="0" fontId="23" fillId="0" borderId="19" xfId="0" applyFont="1" applyBorder="1" applyAlignment="1">
      <alignment horizontal="center" vertical="center" textRotation="90" wrapText="1"/>
    </xf>
    <xf numFmtId="0" fontId="26" fillId="9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8" fillId="20" borderId="7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left" vertical="center" wrapText="1"/>
    </xf>
    <xf numFmtId="0" fontId="28" fillId="20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2" fontId="28" fillId="0" borderId="7" xfId="0" applyNumberFormat="1" applyFont="1" applyBorder="1" applyAlignment="1">
      <alignment horizontal="center" vertical="center" wrapText="1"/>
    </xf>
    <xf numFmtId="2" fontId="29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/>
    <xf numFmtId="164" fontId="22" fillId="10" borderId="9" xfId="0" applyNumberFormat="1" applyFont="1" applyFill="1" applyBorder="1" applyAlignment="1">
      <alignment horizontal="right"/>
    </xf>
    <xf numFmtId="164" fontId="32" fillId="0" borderId="7" xfId="0" applyNumberFormat="1" applyFont="1" applyBorder="1"/>
    <xf numFmtId="164" fontId="15" fillId="0" borderId="7" xfId="0" applyNumberFormat="1" applyFont="1" applyBorder="1"/>
    <xf numFmtId="10" fontId="22" fillId="11" borderId="7" xfId="0" applyNumberFormat="1" applyFont="1" applyFill="1" applyBorder="1"/>
    <xf numFmtId="10" fontId="32" fillId="11" borderId="7" xfId="0" applyNumberFormat="1" applyFont="1" applyFill="1" applyBorder="1"/>
    <xf numFmtId="0" fontId="29" fillId="20" borderId="7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left" vertical="center" wrapText="1"/>
    </xf>
    <xf numFmtId="10" fontId="22" fillId="3" borderId="7" xfId="0" applyNumberFormat="1" applyFont="1" applyFill="1" applyBorder="1"/>
    <xf numFmtId="0" fontId="11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textRotation="90" wrapText="1"/>
    </xf>
    <xf numFmtId="0" fontId="1" fillId="0" borderId="0" xfId="0" applyFont="1" applyFill="1"/>
    <xf numFmtId="0" fontId="2" fillId="0" borderId="0" xfId="0" applyFont="1" applyFill="1"/>
    <xf numFmtId="0" fontId="32" fillId="0" borderId="0" xfId="0" applyFont="1"/>
    <xf numFmtId="0" fontId="22" fillId="2" borderId="0" xfId="0" applyFont="1" applyFill="1"/>
    <xf numFmtId="0" fontId="22" fillId="3" borderId="0" xfId="0" applyFont="1" applyFill="1"/>
    <xf numFmtId="169" fontId="27" fillId="11" borderId="0" xfId="0" applyNumberFormat="1" applyFont="1" applyFill="1"/>
    <xf numFmtId="0" fontId="22" fillId="19" borderId="0" xfId="0" applyFont="1" applyFill="1"/>
    <xf numFmtId="0" fontId="33" fillId="0" borderId="0" xfId="0" applyFont="1"/>
    <xf numFmtId="0" fontId="32" fillId="3" borderId="0" xfId="0" applyFont="1" applyFill="1"/>
    <xf numFmtId="0" fontId="34" fillId="12" borderId="0" xfId="0" applyFont="1" applyFill="1"/>
    <xf numFmtId="0" fontId="22" fillId="21" borderId="0" xfId="0" applyFont="1" applyFill="1"/>
    <xf numFmtId="0" fontId="31" fillId="3" borderId="0" xfId="0" applyFont="1" applyFill="1"/>
    <xf numFmtId="10" fontId="22" fillId="3" borderId="0" xfId="0" applyNumberFormat="1" applyFont="1" applyFill="1"/>
    <xf numFmtId="0" fontId="35" fillId="3" borderId="0" xfId="0" applyFont="1" applyFill="1"/>
    <xf numFmtId="0" fontId="36" fillId="0" borderId="0" xfId="0" applyFont="1"/>
    <xf numFmtId="0" fontId="22" fillId="22" borderId="0" xfId="0" applyFont="1" applyFill="1"/>
    <xf numFmtId="0" fontId="22" fillId="0" borderId="0" xfId="0" applyFont="1" applyAlignment="1">
      <alignment horizontal="center"/>
    </xf>
    <xf numFmtId="0" fontId="21" fillId="0" borderId="7" xfId="0" applyFont="1" applyBorder="1" applyAlignment="1">
      <alignment horizontal="center" vertical="center" wrapText="1"/>
    </xf>
    <xf numFmtId="0" fontId="21" fillId="22" borderId="7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2" fillId="0" borderId="7" xfId="0" applyFont="1" applyBorder="1"/>
    <xf numFmtId="0" fontId="34" fillId="12" borderId="7" xfId="0" applyFont="1" applyFill="1" applyBorder="1"/>
    <xf numFmtId="0" fontId="21" fillId="22" borderId="14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7" xfId="0" applyFont="1" applyBorder="1"/>
    <xf numFmtId="0" fontId="43" fillId="12" borderId="0" xfId="0" applyFont="1" applyFill="1" applyAlignment="1">
      <alignment vertical="center"/>
    </xf>
    <xf numFmtId="0" fontId="25" fillId="3" borderId="0" xfId="0" applyFont="1" applyFill="1" applyAlignment="1">
      <alignment horizontal="center" wrapText="1"/>
    </xf>
    <xf numFmtId="165" fontId="8" fillId="0" borderId="20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22" borderId="0" xfId="0" applyFont="1" applyFill="1" applyAlignment="1">
      <alignment horizontal="center" vertical="center" wrapText="1"/>
    </xf>
    <xf numFmtId="49" fontId="44" fillId="18" borderId="17" xfId="0" applyNumberFormat="1" applyFont="1" applyFill="1" applyBorder="1" applyAlignment="1">
      <alignment horizontal="center" vertical="center" textRotation="90" wrapText="1"/>
    </xf>
    <xf numFmtId="49" fontId="44" fillId="0" borderId="16" xfId="0" applyNumberFormat="1" applyFont="1" applyBorder="1" applyAlignment="1">
      <alignment horizontal="center" vertical="center" textRotation="90" wrapText="1"/>
    </xf>
    <xf numFmtId="49" fontId="6" fillId="23" borderId="21" xfId="0" applyNumberFormat="1" applyFont="1" applyFill="1" applyBorder="1" applyAlignment="1">
      <alignment horizontal="center" vertical="center" textRotation="90" wrapText="1"/>
    </xf>
    <xf numFmtId="0" fontId="42" fillId="0" borderId="22" xfId="0" applyFont="1" applyBorder="1" applyAlignment="1">
      <alignment horizontal="center" vertical="center" textRotation="90" wrapText="1"/>
    </xf>
    <xf numFmtId="0" fontId="23" fillId="0" borderId="22" xfId="0" applyFont="1" applyBorder="1" applyAlignment="1">
      <alignment horizontal="center" vertical="center" textRotation="90" wrapText="1"/>
    </xf>
    <xf numFmtId="0" fontId="26" fillId="0" borderId="7" xfId="0" applyFont="1" applyBorder="1" applyAlignment="1">
      <alignment horizontal="center" vertical="center" wrapText="1"/>
    </xf>
    <xf numFmtId="0" fontId="26" fillId="9" borderId="0" xfId="0" applyFont="1" applyFill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7" xfId="0" applyFont="1" applyBorder="1"/>
    <xf numFmtId="0" fontId="37" fillId="0" borderId="4" xfId="0" applyFont="1" applyBorder="1" applyAlignment="1">
      <alignment horizontal="center" vertical="center" wrapText="1"/>
    </xf>
    <xf numFmtId="165" fontId="46" fillId="0" borderId="15" xfId="0" applyNumberFormat="1" applyFont="1" applyBorder="1" applyAlignment="1">
      <alignment horizontal="center" vertical="center" wrapText="1"/>
    </xf>
    <xf numFmtId="165" fontId="46" fillId="0" borderId="20" xfId="0" applyNumberFormat="1" applyFont="1" applyBorder="1" applyAlignment="1">
      <alignment horizontal="center" vertical="center" wrapText="1"/>
    </xf>
    <xf numFmtId="49" fontId="48" fillId="0" borderId="16" xfId="0" applyNumberFormat="1" applyFont="1" applyBorder="1" applyAlignment="1">
      <alignment horizontal="center" vertical="center" textRotation="90" wrapText="1"/>
    </xf>
    <xf numFmtId="49" fontId="48" fillId="0" borderId="17" xfId="0" applyNumberFormat="1" applyFont="1" applyBorder="1" applyAlignment="1">
      <alignment horizontal="center" vertical="center" textRotation="90" wrapText="1"/>
    </xf>
    <xf numFmtId="49" fontId="48" fillId="19" borderId="17" xfId="0" applyNumberFormat="1" applyFont="1" applyFill="1" applyBorder="1" applyAlignment="1">
      <alignment horizontal="center" vertical="center" textRotation="90" wrapText="1"/>
    </xf>
    <xf numFmtId="49" fontId="49" fillId="3" borderId="17" xfId="0" applyNumberFormat="1" applyFont="1" applyFill="1" applyBorder="1" applyAlignment="1">
      <alignment horizontal="center" vertical="center" textRotation="90" wrapText="1"/>
    </xf>
    <xf numFmtId="49" fontId="50" fillId="12" borderId="17" xfId="0" applyNumberFormat="1" applyFont="1" applyFill="1" applyBorder="1" applyAlignment="1">
      <alignment horizontal="center" vertical="center" textRotation="90" wrapText="1"/>
    </xf>
    <xf numFmtId="49" fontId="51" fillId="12" borderId="17" xfId="0" applyNumberFormat="1" applyFont="1" applyFill="1" applyBorder="1" applyAlignment="1">
      <alignment horizontal="center" vertical="center" textRotation="90" wrapText="1"/>
    </xf>
    <xf numFmtId="0" fontId="42" fillId="0" borderId="18" xfId="0" applyFont="1" applyBorder="1" applyAlignment="1">
      <alignment horizontal="center" vertical="center" textRotation="90" wrapText="1"/>
    </xf>
    <xf numFmtId="0" fontId="52" fillId="9" borderId="7" xfId="0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textRotation="90" wrapText="1"/>
    </xf>
    <xf numFmtId="0" fontId="53" fillId="9" borderId="7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9" fillId="22" borderId="7" xfId="0" applyFont="1" applyFill="1" applyBorder="1" applyAlignment="1">
      <alignment horizontal="center" vertical="center" wrapText="1"/>
    </xf>
    <xf numFmtId="49" fontId="44" fillId="0" borderId="7" xfId="0" applyNumberFormat="1" applyFont="1" applyBorder="1" applyAlignment="1">
      <alignment horizontal="center" vertical="center" textRotation="90" wrapText="1"/>
    </xf>
    <xf numFmtId="49" fontId="6" fillId="0" borderId="9" xfId="0" applyNumberFormat="1" applyFont="1" applyBorder="1" applyAlignment="1">
      <alignment horizontal="center" vertical="center" textRotation="90" wrapText="1"/>
    </xf>
    <xf numFmtId="2" fontId="23" fillId="10" borderId="9" xfId="0" applyNumberFormat="1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textRotation="90" wrapText="1"/>
    </xf>
    <xf numFmtId="164" fontId="16" fillId="9" borderId="7" xfId="0" applyNumberFormat="1" applyFont="1" applyFill="1" applyBorder="1"/>
    <xf numFmtId="2" fontId="23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textRotation="90" wrapText="1"/>
    </xf>
    <xf numFmtId="0" fontId="54" fillId="9" borderId="7" xfId="0" applyFont="1" applyFill="1" applyBorder="1" applyAlignment="1">
      <alignment horizontal="center" vertical="center" textRotation="90" wrapText="1"/>
    </xf>
    <xf numFmtId="0" fontId="54" fillId="0" borderId="7" xfId="0" applyFont="1" applyBorder="1" applyAlignment="1">
      <alignment horizontal="center" vertical="center" textRotation="90" wrapText="1"/>
    </xf>
    <xf numFmtId="0" fontId="54" fillId="9" borderId="0" xfId="0" applyFont="1" applyFill="1" applyAlignment="1">
      <alignment horizontal="center" vertical="center" textRotation="90" wrapText="1"/>
    </xf>
    <xf numFmtId="0" fontId="37" fillId="0" borderId="7" xfId="0" applyFont="1" applyBorder="1" applyAlignment="1">
      <alignment horizontal="center" vertical="center"/>
    </xf>
    <xf numFmtId="49" fontId="48" fillId="0" borderId="7" xfId="0" applyNumberFormat="1" applyFont="1" applyBorder="1" applyAlignment="1">
      <alignment horizontal="center" vertical="center" textRotation="90" wrapText="1"/>
    </xf>
    <xf numFmtId="49" fontId="49" fillId="0" borderId="7" xfId="0" applyNumberFormat="1" applyFont="1" applyBorder="1" applyAlignment="1">
      <alignment horizontal="center" vertical="center" textRotation="90" wrapText="1"/>
    </xf>
    <xf numFmtId="49" fontId="50" fillId="12" borderId="7" xfId="0" applyNumberFormat="1" applyFont="1" applyFill="1" applyBorder="1" applyAlignment="1">
      <alignment horizontal="center" vertical="center" textRotation="90" wrapText="1"/>
    </xf>
    <xf numFmtId="49" fontId="51" fillId="12" borderId="7" xfId="0" applyNumberFormat="1" applyFont="1" applyFill="1" applyBorder="1" applyAlignment="1">
      <alignment horizontal="center" vertical="center" textRotation="90" wrapText="1"/>
    </xf>
    <xf numFmtId="164" fontId="55" fillId="9" borderId="7" xfId="0" applyNumberFormat="1" applyFont="1" applyFill="1" applyBorder="1"/>
    <xf numFmtId="0" fontId="42" fillId="0" borderId="7" xfId="0" applyFont="1" applyBorder="1" applyAlignment="1">
      <alignment horizontal="center" vertical="center" textRotation="90" wrapText="1"/>
    </xf>
    <xf numFmtId="0" fontId="56" fillId="9" borderId="7" xfId="0" applyFont="1" applyFill="1" applyBorder="1" applyAlignment="1">
      <alignment horizontal="center" vertical="center" textRotation="90" wrapText="1"/>
    </xf>
    <xf numFmtId="0" fontId="29" fillId="20" borderId="7" xfId="0" applyFont="1" applyFill="1" applyBorder="1" applyAlignment="1">
      <alignment horizontal="center" vertical="center"/>
    </xf>
    <xf numFmtId="0" fontId="29" fillId="20" borderId="7" xfId="0" applyFont="1" applyFill="1" applyBorder="1" applyAlignment="1">
      <alignment horizontal="left" vertical="center" wrapText="1"/>
    </xf>
    <xf numFmtId="0" fontId="57" fillId="0" borderId="7" xfId="0" applyFont="1" applyBorder="1" applyAlignment="1">
      <alignment horizontal="center" vertical="center" wrapText="1"/>
    </xf>
    <xf numFmtId="2" fontId="28" fillId="22" borderId="7" xfId="0" applyNumberFormat="1" applyFont="1" applyFill="1" applyBorder="1" applyAlignment="1">
      <alignment horizontal="center" vertical="center" wrapText="1"/>
    </xf>
    <xf numFmtId="164" fontId="33" fillId="0" borderId="7" xfId="0" applyNumberFormat="1" applyFont="1" applyBorder="1"/>
    <xf numFmtId="164" fontId="22" fillId="23" borderId="9" xfId="0" applyNumberFormat="1" applyFont="1" applyFill="1" applyBorder="1"/>
    <xf numFmtId="164" fontId="32" fillId="0" borderId="9" xfId="0" applyNumberFormat="1" applyFont="1" applyBorder="1"/>
    <xf numFmtId="164" fontId="32" fillId="23" borderId="7" xfId="0" applyNumberFormat="1" applyFont="1" applyFill="1" applyBorder="1"/>
    <xf numFmtId="164" fontId="15" fillId="9" borderId="0" xfId="0" applyNumberFormat="1" applyFont="1" applyFill="1"/>
    <xf numFmtId="164" fontId="22" fillId="0" borderId="0" xfId="0" applyNumberFormat="1" applyFont="1"/>
    <xf numFmtId="164" fontId="32" fillId="0" borderId="0" xfId="0" applyNumberFormat="1" applyFont="1"/>
    <xf numFmtId="2" fontId="32" fillId="0" borderId="0" xfId="0" applyNumberFormat="1" applyFont="1"/>
    <xf numFmtId="0" fontId="58" fillId="0" borderId="7" xfId="0" applyFont="1" applyBorder="1" applyAlignment="1">
      <alignment horizontal="center" vertical="center"/>
    </xf>
    <xf numFmtId="0" fontId="58" fillId="11" borderId="7" xfId="0" applyFont="1" applyFill="1" applyBorder="1" applyAlignment="1">
      <alignment horizontal="left" vertical="center" wrapText="1"/>
    </xf>
    <xf numFmtId="0" fontId="58" fillId="0" borderId="7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2" fontId="58" fillId="0" borderId="7" xfId="0" applyNumberFormat="1" applyFont="1" applyBorder="1" applyAlignment="1">
      <alignment horizontal="center" vertical="center" wrapText="1"/>
    </xf>
    <xf numFmtId="2" fontId="58" fillId="0" borderId="9" xfId="0" applyNumberFormat="1" applyFont="1" applyBorder="1" applyAlignment="1">
      <alignment horizontal="center" vertical="center" wrapText="1"/>
    </xf>
    <xf numFmtId="2" fontId="61" fillId="0" borderId="7" xfId="0" applyNumberFormat="1" applyFont="1" applyBorder="1" applyAlignment="1">
      <alignment horizontal="center" vertical="center" wrapText="1"/>
    </xf>
    <xf numFmtId="164" fontId="32" fillId="19" borderId="7" xfId="0" applyNumberFormat="1" applyFont="1" applyFill="1" applyBorder="1"/>
    <xf numFmtId="164" fontId="32" fillId="11" borderId="7" xfId="0" applyNumberFormat="1" applyFont="1" applyFill="1" applyBorder="1"/>
    <xf numFmtId="164" fontId="34" fillId="12" borderId="7" xfId="0" applyNumberFormat="1" applyFont="1" applyFill="1" applyBorder="1"/>
    <xf numFmtId="164" fontId="53" fillId="9" borderId="7" xfId="0" applyNumberFormat="1" applyFont="1" applyFill="1" applyBorder="1"/>
    <xf numFmtId="166" fontId="32" fillId="0" borderId="7" xfId="0" applyNumberFormat="1" applyFont="1" applyBorder="1"/>
    <xf numFmtId="164" fontId="22" fillId="3" borderId="0" xfId="0" applyNumberFormat="1" applyFont="1" applyFill="1"/>
    <xf numFmtId="10" fontId="22" fillId="0" borderId="0" xfId="0" applyNumberFormat="1" applyFont="1"/>
    <xf numFmtId="10" fontId="31" fillId="3" borderId="0" xfId="0" applyNumberFormat="1" applyFont="1" applyFill="1"/>
    <xf numFmtId="10" fontId="32" fillId="3" borderId="0" xfId="0" applyNumberFormat="1" applyFont="1" applyFill="1"/>
    <xf numFmtId="2" fontId="22" fillId="3" borderId="0" xfId="0" applyNumberFormat="1" applyFont="1" applyFill="1"/>
    <xf numFmtId="10" fontId="32" fillId="0" borderId="0" xfId="0" applyNumberFormat="1" applyFont="1"/>
    <xf numFmtId="2" fontId="22" fillId="0" borderId="0" xfId="0" applyNumberFormat="1" applyFont="1"/>
    <xf numFmtId="0" fontId="62" fillId="0" borderId="7" xfId="0" applyFont="1" applyBorder="1" applyAlignment="1">
      <alignment horizontal="center" vertical="center" wrapText="1"/>
    </xf>
    <xf numFmtId="10" fontId="32" fillId="3" borderId="7" xfId="0" applyNumberFormat="1" applyFont="1" applyFill="1" applyBorder="1"/>
    <xf numFmtId="0" fontId="58" fillId="3" borderId="7" xfId="0" applyFont="1" applyFill="1" applyBorder="1" applyAlignment="1">
      <alignment horizontal="left" vertical="center" wrapText="1"/>
    </xf>
    <xf numFmtId="164" fontId="32" fillId="3" borderId="7" xfId="0" applyNumberFormat="1" applyFont="1" applyFill="1" applyBorder="1"/>
    <xf numFmtId="164" fontId="32" fillId="3" borderId="0" xfId="0" applyNumberFormat="1" applyFont="1" applyFill="1"/>
    <xf numFmtId="9" fontId="32" fillId="3" borderId="7" xfId="0" applyNumberFormat="1" applyFont="1" applyFill="1" applyBorder="1"/>
    <xf numFmtId="0" fontId="29" fillId="12" borderId="7" xfId="0" applyFont="1" applyFill="1" applyBorder="1" applyAlignment="1">
      <alignment horizontal="center" vertical="center" wrapText="1"/>
    </xf>
    <xf numFmtId="164" fontId="16" fillId="23" borderId="9" xfId="0" applyNumberFormat="1" applyFont="1" applyFill="1" applyBorder="1"/>
    <xf numFmtId="164" fontId="55" fillId="0" borderId="9" xfId="0" applyNumberFormat="1" applyFont="1" applyBorder="1"/>
    <xf numFmtId="164" fontId="55" fillId="0" borderId="7" xfId="0" applyNumberFormat="1" applyFont="1" applyBorder="1"/>
    <xf numFmtId="164" fontId="55" fillId="23" borderId="7" xfId="0" applyNumberFormat="1" applyFont="1" applyFill="1" applyBorder="1"/>
    <xf numFmtId="170" fontId="32" fillId="24" borderId="7" xfId="0" applyNumberFormat="1" applyFont="1" applyFill="1" applyBorder="1"/>
    <xf numFmtId="0" fontId="58" fillId="24" borderId="7" xfId="0" applyFont="1" applyFill="1" applyBorder="1" applyAlignment="1">
      <alignment horizontal="left" vertical="center" wrapText="1"/>
    </xf>
    <xf numFmtId="164" fontId="32" fillId="24" borderId="7" xfId="0" applyNumberFormat="1" applyFont="1" applyFill="1" applyBorder="1"/>
    <xf numFmtId="164" fontId="32" fillId="8" borderId="9" xfId="0" applyNumberFormat="1" applyFont="1" applyFill="1" applyBorder="1"/>
    <xf numFmtId="0" fontId="16" fillId="0" borderId="0" xfId="0" applyFont="1"/>
    <xf numFmtId="10" fontId="16" fillId="0" borderId="0" xfId="0" applyNumberFormat="1" applyFont="1"/>
    <xf numFmtId="10" fontId="55" fillId="0" borderId="0" xfId="0" applyNumberFormat="1" applyFont="1"/>
    <xf numFmtId="164" fontId="32" fillId="8" borderId="0" xfId="0" applyNumberFormat="1" applyFont="1" applyFill="1"/>
    <xf numFmtId="170" fontId="32" fillId="11" borderId="7" xfId="0" applyNumberFormat="1" applyFont="1" applyFill="1" applyBorder="1"/>
    <xf numFmtId="0" fontId="29" fillId="13" borderId="7" xfId="0" applyFont="1" applyFill="1" applyBorder="1" applyAlignment="1">
      <alignment horizontal="center" vertical="center" wrapText="1"/>
    </xf>
    <xf numFmtId="10" fontId="22" fillId="12" borderId="7" xfId="0" applyNumberFormat="1" applyFont="1" applyFill="1" applyBorder="1"/>
    <xf numFmtId="10" fontId="32" fillId="11" borderId="0" xfId="0" applyNumberFormat="1" applyFont="1" applyFill="1"/>
    <xf numFmtId="170" fontId="32" fillId="0" borderId="7" xfId="0" applyNumberFormat="1" applyFont="1" applyBorder="1"/>
    <xf numFmtId="164" fontId="32" fillId="14" borderId="9" xfId="0" applyNumberFormat="1" applyFont="1" applyFill="1" applyBorder="1"/>
    <xf numFmtId="164" fontId="32" fillId="14" borderId="7" xfId="0" applyNumberFormat="1" applyFont="1" applyFill="1" applyBorder="1"/>
    <xf numFmtId="170" fontId="32" fillId="3" borderId="7" xfId="0" applyNumberFormat="1" applyFont="1" applyFill="1" applyBorder="1"/>
    <xf numFmtId="164" fontId="32" fillId="4" borderId="9" xfId="0" applyNumberFormat="1" applyFont="1" applyFill="1" applyBorder="1"/>
    <xf numFmtId="10" fontId="35" fillId="3" borderId="0" xfId="0" applyNumberFormat="1" applyFont="1" applyFill="1"/>
    <xf numFmtId="164" fontId="22" fillId="11" borderId="0" xfId="0" applyNumberFormat="1" applyFont="1" applyFill="1"/>
    <xf numFmtId="10" fontId="22" fillId="16" borderId="7" xfId="0" applyNumberFormat="1" applyFont="1" applyFill="1" applyBorder="1"/>
    <xf numFmtId="164" fontId="15" fillId="17" borderId="0" xfId="0" applyNumberFormat="1" applyFont="1" applyFill="1"/>
    <xf numFmtId="10" fontId="22" fillId="17" borderId="7" xfId="0" applyNumberFormat="1" applyFont="1" applyFill="1" applyBorder="1"/>
    <xf numFmtId="164" fontId="22" fillId="6" borderId="0" xfId="0" applyNumberFormat="1" applyFont="1" applyFill="1"/>
    <xf numFmtId="10" fontId="32" fillId="12" borderId="7" xfId="0" applyNumberFormat="1" applyFont="1" applyFill="1" applyBorder="1"/>
    <xf numFmtId="164" fontId="32" fillId="25" borderId="9" xfId="0" applyNumberFormat="1" applyFont="1" applyFill="1" applyBorder="1"/>
    <xf numFmtId="164" fontId="32" fillId="25" borderId="7" xfId="0" applyNumberFormat="1" applyFont="1" applyFill="1" applyBorder="1"/>
    <xf numFmtId="0" fontId="62" fillId="8" borderId="7" xfId="0" applyFont="1" applyFill="1" applyBorder="1" applyAlignment="1">
      <alignment horizontal="center" vertical="center" wrapText="1"/>
    </xf>
    <xf numFmtId="164" fontId="22" fillId="8" borderId="0" xfId="0" applyNumberFormat="1" applyFont="1" applyFill="1"/>
    <xf numFmtId="0" fontId="28" fillId="2" borderId="7" xfId="0" applyFont="1" applyFill="1" applyBorder="1" applyAlignment="1">
      <alignment horizontal="left" vertical="center" wrapText="1"/>
    </xf>
    <xf numFmtId="0" fontId="32" fillId="3" borderId="7" xfId="0" applyFont="1" applyFill="1" applyBorder="1"/>
    <xf numFmtId="0" fontId="58" fillId="15" borderId="7" xfId="0" applyFont="1" applyFill="1" applyBorder="1" applyAlignment="1">
      <alignment horizontal="center" vertical="center" wrapText="1"/>
    </xf>
    <xf numFmtId="0" fontId="59" fillId="15" borderId="7" xfId="0" applyFont="1" applyFill="1" applyBorder="1" applyAlignment="1">
      <alignment horizontal="center" vertical="center" wrapText="1"/>
    </xf>
    <xf numFmtId="0" fontId="60" fillId="15" borderId="7" xfId="0" applyFont="1" applyFill="1" applyBorder="1" applyAlignment="1">
      <alignment horizontal="center" vertical="center" wrapText="1"/>
    </xf>
    <xf numFmtId="164" fontId="32" fillId="15" borderId="7" xfId="0" applyNumberFormat="1" applyFont="1" applyFill="1" applyBorder="1"/>
    <xf numFmtId="164" fontId="22" fillId="15" borderId="9" xfId="0" applyNumberFormat="1" applyFont="1" applyFill="1" applyBorder="1"/>
    <xf numFmtId="164" fontId="22" fillId="15" borderId="7" xfId="0" applyNumberFormat="1" applyFont="1" applyFill="1" applyBorder="1"/>
    <xf numFmtId="0" fontId="58" fillId="9" borderId="7" xfId="0" applyFont="1" applyFill="1" applyBorder="1" applyAlignment="1">
      <alignment horizontal="left" vertical="center" wrapText="1"/>
    </xf>
    <xf numFmtId="164" fontId="32" fillId="9" borderId="7" xfId="0" applyNumberFormat="1" applyFont="1" applyFill="1" applyBorder="1"/>
    <xf numFmtId="164" fontId="32" fillId="20" borderId="9" xfId="0" applyNumberFormat="1" applyFont="1" applyFill="1" applyBorder="1"/>
    <xf numFmtId="10" fontId="22" fillId="14" borderId="7" xfId="0" applyNumberFormat="1" applyFont="1" applyFill="1" applyBorder="1"/>
    <xf numFmtId="164" fontId="15" fillId="3" borderId="0" xfId="0" applyNumberFormat="1" applyFont="1" applyFill="1"/>
    <xf numFmtId="170" fontId="32" fillId="9" borderId="7" xfId="0" applyNumberFormat="1" applyFont="1" applyFill="1" applyBorder="1"/>
    <xf numFmtId="164" fontId="32" fillId="7" borderId="9" xfId="0" applyNumberFormat="1" applyFont="1" applyFill="1" applyBorder="1"/>
    <xf numFmtId="164" fontId="22" fillId="22" borderId="0" xfId="0" applyNumberFormat="1" applyFont="1" applyFill="1"/>
    <xf numFmtId="10" fontId="22" fillId="15" borderId="7" xfId="0" applyNumberFormat="1" applyFont="1" applyFill="1" applyBorder="1"/>
    <xf numFmtId="164" fontId="22" fillId="12" borderId="0" xfId="0" applyNumberFormat="1" applyFont="1" applyFill="1"/>
    <xf numFmtId="0" fontId="61" fillId="0" borderId="7" xfId="0" applyFont="1" applyBorder="1" applyAlignment="1">
      <alignment horizontal="center" vertical="center"/>
    </xf>
    <xf numFmtId="0" fontId="61" fillId="9" borderId="7" xfId="0" applyFont="1" applyFill="1" applyBorder="1" applyAlignment="1">
      <alignment horizontal="left" vertical="center" wrapText="1"/>
    </xf>
    <xf numFmtId="0" fontId="61" fillId="0" borderId="7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 wrapText="1"/>
    </xf>
    <xf numFmtId="164" fontId="52" fillId="9" borderId="7" xfId="0" applyNumberFormat="1" applyFont="1" applyFill="1" applyBorder="1"/>
    <xf numFmtId="0" fontId="64" fillId="3" borderId="0" xfId="0" applyFont="1" applyFill="1"/>
    <xf numFmtId="164" fontId="32" fillId="6" borderId="9" xfId="0" applyNumberFormat="1" applyFont="1" applyFill="1" applyBorder="1"/>
    <xf numFmtId="164" fontId="53" fillId="6" borderId="7" xfId="0" applyNumberFormat="1" applyFont="1" applyFill="1" applyBorder="1"/>
    <xf numFmtId="164" fontId="32" fillId="6" borderId="7" xfId="0" applyNumberFormat="1" applyFont="1" applyFill="1" applyBorder="1"/>
    <xf numFmtId="0" fontId="58" fillId="6" borderId="7" xfId="0" applyFont="1" applyFill="1" applyBorder="1" applyAlignment="1">
      <alignment horizontal="left" vertical="center" wrapText="1"/>
    </xf>
    <xf numFmtId="0" fontId="32" fillId="6" borderId="7" xfId="0" applyFont="1" applyFill="1" applyBorder="1"/>
    <xf numFmtId="10" fontId="32" fillId="6" borderId="7" xfId="0" applyNumberFormat="1" applyFont="1" applyFill="1" applyBorder="1"/>
    <xf numFmtId="0" fontId="32" fillId="12" borderId="7" xfId="0" applyFont="1" applyFill="1" applyBorder="1"/>
    <xf numFmtId="170" fontId="32" fillId="12" borderId="7" xfId="0" applyNumberFormat="1" applyFont="1" applyFill="1" applyBorder="1"/>
    <xf numFmtId="0" fontId="28" fillId="24" borderId="7" xfId="0" applyFont="1" applyFill="1" applyBorder="1" applyAlignment="1">
      <alignment horizontal="left" vertical="center" wrapText="1"/>
    </xf>
    <xf numFmtId="0" fontId="58" fillId="12" borderId="7" xfId="0" applyFont="1" applyFill="1" applyBorder="1" applyAlignment="1">
      <alignment horizontal="left" vertical="center" wrapText="1"/>
    </xf>
    <xf numFmtId="0" fontId="58" fillId="12" borderId="7" xfId="0" applyFont="1" applyFill="1" applyBorder="1" applyAlignment="1">
      <alignment horizontal="center" vertical="center" wrapText="1"/>
    </xf>
    <xf numFmtId="164" fontId="32" fillId="12" borderId="7" xfId="0" applyNumberFormat="1" applyFont="1" applyFill="1" applyBorder="1"/>
    <xf numFmtId="164" fontId="52" fillId="0" borderId="7" xfId="0" applyNumberFormat="1" applyFont="1" applyBorder="1"/>
    <xf numFmtId="164" fontId="52" fillId="9" borderId="0" xfId="0" applyNumberFormat="1" applyFont="1" applyFill="1"/>
    <xf numFmtId="164" fontId="65" fillId="9" borderId="7" xfId="0" applyNumberFormat="1" applyFont="1" applyFill="1" applyBorder="1"/>
    <xf numFmtId="164" fontId="35" fillId="0" borderId="7" xfId="0" applyNumberFormat="1" applyFont="1" applyBorder="1"/>
    <xf numFmtId="164" fontId="26" fillId="9" borderId="7" xfId="0" applyNumberFormat="1" applyFont="1" applyFill="1" applyBorder="1"/>
    <xf numFmtId="164" fontId="16" fillId="19" borderId="7" xfId="0" applyNumberFormat="1" applyFont="1" applyFill="1" applyBorder="1"/>
    <xf numFmtId="164" fontId="16" fillId="0" borderId="9" xfId="0" applyNumberFormat="1" applyFont="1" applyBorder="1"/>
    <xf numFmtId="164" fontId="16" fillId="10" borderId="9" xfId="0" applyNumberFormat="1" applyFont="1" applyFill="1" applyBorder="1"/>
    <xf numFmtId="166" fontId="55" fillId="0" borderId="7" xfId="0" applyNumberFormat="1" applyFont="1" applyBorder="1"/>
    <xf numFmtId="164" fontId="26" fillId="0" borderId="7" xfId="0" applyNumberFormat="1" applyFont="1" applyBorder="1"/>
    <xf numFmtId="164" fontId="26" fillId="9" borderId="0" xfId="0" applyNumberFormat="1" applyFont="1" applyFill="1"/>
    <xf numFmtId="164" fontId="16" fillId="0" borderId="0" xfId="0" applyNumberFormat="1" applyFont="1"/>
    <xf numFmtId="0" fontId="55" fillId="0" borderId="0" xfId="0" applyFont="1"/>
    <xf numFmtId="0" fontId="66" fillId="0" borderId="7" xfId="0" applyFont="1" applyBorder="1" applyAlignment="1">
      <alignment horizontal="center" vertical="center"/>
    </xf>
    <xf numFmtId="0" fontId="66" fillId="0" borderId="7" xfId="0" applyFont="1" applyBorder="1" applyAlignment="1">
      <alignment horizontal="left" vertical="center" wrapText="1"/>
    </xf>
    <xf numFmtId="1" fontId="66" fillId="0" borderId="7" xfId="0" applyNumberFormat="1" applyFont="1" applyBorder="1" applyAlignment="1">
      <alignment horizontal="center" vertical="center" wrapText="1"/>
    </xf>
    <xf numFmtId="2" fontId="67" fillId="0" borderId="7" xfId="0" applyNumberFormat="1" applyFont="1" applyBorder="1" applyAlignment="1">
      <alignment horizontal="center" vertical="center" wrapText="1"/>
    </xf>
    <xf numFmtId="2" fontId="66" fillId="0" borderId="7" xfId="0" applyNumberFormat="1" applyFont="1" applyBorder="1" applyAlignment="1">
      <alignment horizontal="center" vertical="center" wrapText="1"/>
    </xf>
    <xf numFmtId="164" fontId="35" fillId="0" borderId="10" xfId="0" applyNumberFormat="1" applyFont="1" applyBorder="1"/>
    <xf numFmtId="164" fontId="68" fillId="0" borderId="7" xfId="0" applyNumberFormat="1" applyFont="1" applyBorder="1"/>
    <xf numFmtId="0" fontId="68" fillId="0" borderId="0" xfId="0" applyFont="1"/>
    <xf numFmtId="0" fontId="68" fillId="0" borderId="7" xfId="0" applyFont="1" applyBorder="1"/>
    <xf numFmtId="0" fontId="68" fillId="3" borderId="0" xfId="0" applyFont="1" applyFill="1"/>
    <xf numFmtId="0" fontId="69" fillId="0" borderId="7" xfId="0" applyFont="1" applyBorder="1" applyAlignment="1">
      <alignment horizontal="center" vertical="center"/>
    </xf>
    <xf numFmtId="0" fontId="69" fillId="0" borderId="7" xfId="0" applyFont="1" applyBorder="1" applyAlignment="1">
      <alignment horizontal="left" vertical="center" wrapText="1"/>
    </xf>
    <xf numFmtId="0" fontId="69" fillId="0" borderId="7" xfId="0" applyFont="1" applyBorder="1" applyAlignment="1">
      <alignment horizontal="center" vertical="center" wrapText="1"/>
    </xf>
    <xf numFmtId="0" fontId="70" fillId="0" borderId="7" xfId="0" applyFont="1" applyBorder="1"/>
    <xf numFmtId="2" fontId="69" fillId="0" borderId="7" xfId="0" applyNumberFormat="1" applyFont="1" applyBorder="1" applyAlignment="1">
      <alignment horizontal="center" vertical="center" wrapText="1"/>
    </xf>
    <xf numFmtId="2" fontId="69" fillId="0" borderId="9" xfId="0" applyNumberFormat="1" applyFont="1" applyBorder="1" applyAlignment="1">
      <alignment horizontal="center" vertical="center" wrapText="1"/>
    </xf>
    <xf numFmtId="164" fontId="70" fillId="0" borderId="7" xfId="0" applyNumberFormat="1" applyFont="1" applyBorder="1"/>
    <xf numFmtId="164" fontId="71" fillId="12" borderId="7" xfId="0" applyNumberFormat="1" applyFont="1" applyFill="1" applyBorder="1"/>
    <xf numFmtId="164" fontId="70" fillId="0" borderId="9" xfId="0" applyNumberFormat="1" applyFont="1" applyBorder="1"/>
    <xf numFmtId="0" fontId="35" fillId="0" borderId="0" xfId="0" applyFont="1"/>
    <xf numFmtId="0" fontId="15" fillId="0" borderId="0" xfId="0" applyFont="1"/>
    <xf numFmtId="10" fontId="15" fillId="0" borderId="0" xfId="0" applyNumberFormat="1" applyFont="1"/>
    <xf numFmtId="0" fontId="52" fillId="0" borderId="0" xfId="0" applyFont="1"/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166" fontId="16" fillId="0" borderId="7" xfId="0" applyNumberFormat="1" applyFont="1" applyBorder="1"/>
    <xf numFmtId="167" fontId="16" fillId="0" borderId="7" xfId="0" applyNumberFormat="1" applyFont="1" applyBorder="1"/>
    <xf numFmtId="164" fontId="26" fillId="0" borderId="0" xfId="0" applyNumberFormat="1" applyFont="1"/>
    <xf numFmtId="164" fontId="72" fillId="0" borderId="0" xfId="0" applyNumberFormat="1" applyFont="1"/>
    <xf numFmtId="164" fontId="16" fillId="10" borderId="0" xfId="0" applyNumberFormat="1" applyFont="1" applyFill="1"/>
    <xf numFmtId="164" fontId="55" fillId="0" borderId="0" xfId="0" applyNumberFormat="1" applyFont="1"/>
    <xf numFmtId="0" fontId="72" fillId="0" borderId="0" xfId="0" applyFont="1"/>
    <xf numFmtId="0" fontId="16" fillId="10" borderId="0" xfId="0" applyFont="1" applyFill="1"/>
    <xf numFmtId="0" fontId="22" fillId="0" borderId="7" xfId="0" applyFont="1" applyBorder="1" applyAlignment="1">
      <alignment vertical="center"/>
    </xf>
    <xf numFmtId="2" fontId="22" fillId="0" borderId="7" xfId="0" applyNumberFormat="1" applyFont="1" applyBorder="1"/>
    <xf numFmtId="0" fontId="35" fillId="0" borderId="7" xfId="0" applyFont="1" applyBorder="1"/>
    <xf numFmtId="2" fontId="35" fillId="0" borderId="7" xfId="0" applyNumberFormat="1" applyFont="1" applyBorder="1"/>
    <xf numFmtId="0" fontId="2" fillId="0" borderId="2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7" xfId="0" applyFont="1" applyBorder="1"/>
    <xf numFmtId="0" fontId="2" fillId="0" borderId="7" xfId="0" applyFont="1" applyFill="1" applyBorder="1"/>
    <xf numFmtId="0" fontId="3" fillId="0" borderId="7" xfId="0" applyFont="1" applyBorder="1"/>
    <xf numFmtId="0" fontId="3" fillId="0" borderId="7" xfId="0" applyFont="1" applyFill="1" applyBorder="1"/>
    <xf numFmtId="0" fontId="17" fillId="0" borderId="7" xfId="0" applyFont="1" applyBorder="1"/>
    <xf numFmtId="2" fontId="2" fillId="0" borderId="7" xfId="0" applyNumberFormat="1" applyFont="1" applyBorder="1"/>
    <xf numFmtId="2" fontId="3" fillId="0" borderId="7" xfId="0" applyNumberFormat="1" applyFont="1" applyBorder="1"/>
    <xf numFmtId="164" fontId="2" fillId="0" borderId="7" xfId="0" applyNumberFormat="1" applyFont="1" applyBorder="1"/>
    <xf numFmtId="164" fontId="3" fillId="0" borderId="7" xfId="0" applyNumberFormat="1" applyFont="1" applyBorder="1"/>
    <xf numFmtId="10" fontId="2" fillId="0" borderId="7" xfId="0" applyNumberFormat="1" applyFont="1" applyBorder="1"/>
    <xf numFmtId="0" fontId="46" fillId="0" borderId="4" xfId="0" applyFont="1" applyBorder="1" applyAlignment="1">
      <alignment horizontal="center" vertical="center" wrapText="1"/>
    </xf>
    <xf numFmtId="164" fontId="74" fillId="0" borderId="7" xfId="0" applyNumberFormat="1" applyFont="1" applyBorder="1"/>
    <xf numFmtId="0" fontId="74" fillId="0" borderId="7" xfId="0" applyFont="1" applyBorder="1"/>
    <xf numFmtId="0" fontId="75" fillId="0" borderId="7" xfId="0" applyFont="1" applyBorder="1"/>
    <xf numFmtId="0" fontId="6" fillId="23" borderId="3" xfId="0" applyFont="1" applyFill="1" applyBorder="1" applyAlignment="1">
      <alignment horizontal="center" vertical="center" wrapText="1"/>
    </xf>
    <xf numFmtId="0" fontId="6" fillId="23" borderId="4" xfId="0" applyFont="1" applyFill="1" applyBorder="1" applyAlignment="1">
      <alignment horizontal="center" vertical="center" wrapText="1"/>
    </xf>
    <xf numFmtId="0" fontId="6" fillId="23" borderId="5" xfId="0" applyFont="1" applyFill="1" applyBorder="1" applyAlignment="1">
      <alignment horizontal="center" vertical="center" wrapText="1"/>
    </xf>
    <xf numFmtId="164" fontId="3" fillId="23" borderId="7" xfId="0" applyNumberFormat="1" applyFont="1" applyFill="1" applyBorder="1"/>
    <xf numFmtId="0" fontId="10" fillId="0" borderId="14" xfId="0" applyFont="1" applyBorder="1" applyAlignment="1">
      <alignment horizontal="center" vertical="center" textRotation="90" wrapText="1"/>
    </xf>
    <xf numFmtId="164" fontId="2" fillId="0" borderId="9" xfId="0" applyNumberFormat="1" applyFont="1" applyBorder="1"/>
    <xf numFmtId="164" fontId="3" fillId="0" borderId="9" xfId="0" applyNumberFormat="1" applyFont="1" applyBorder="1"/>
    <xf numFmtId="0" fontId="14" fillId="0" borderId="9" xfId="0" applyFont="1" applyBorder="1"/>
    <xf numFmtId="0" fontId="14" fillId="0" borderId="10" xfId="0" applyFont="1" applyBorder="1"/>
    <xf numFmtId="0" fontId="17" fillId="0" borderId="10" xfId="0" applyFont="1" applyBorder="1"/>
    <xf numFmtId="164" fontId="3" fillId="23" borderId="27" xfId="0" applyNumberFormat="1" applyFont="1" applyFill="1" applyBorder="1"/>
    <xf numFmtId="164" fontId="3" fillId="23" borderId="28" xfId="0" applyNumberFormat="1" applyFont="1" applyFill="1" applyBorder="1"/>
    <xf numFmtId="0" fontId="17" fillId="23" borderId="28" xfId="0" applyFont="1" applyFill="1" applyBorder="1"/>
    <xf numFmtId="164" fontId="3" fillId="23" borderId="29" xfId="0" applyNumberFormat="1" applyFont="1" applyFill="1" applyBorder="1"/>
    <xf numFmtId="164" fontId="3" fillId="23" borderId="30" xfId="0" applyNumberFormat="1" applyFont="1" applyFill="1" applyBorder="1"/>
    <xf numFmtId="0" fontId="17" fillId="23" borderId="3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90" wrapText="1"/>
    </xf>
    <xf numFmtId="49" fontId="10" fillId="0" borderId="4" xfId="0" applyNumberFormat="1" applyFont="1" applyBorder="1" applyAlignment="1">
      <alignment horizontal="center" vertical="center" textRotation="90" wrapText="1"/>
    </xf>
    <xf numFmtId="2" fontId="2" fillId="0" borderId="7" xfId="0" applyNumberFormat="1" applyFont="1" applyFill="1" applyBorder="1"/>
    <xf numFmtId="2" fontId="3" fillId="0" borderId="7" xfId="0" applyNumberFormat="1" applyFont="1" applyFill="1" applyBorder="1"/>
    <xf numFmtId="0" fontId="12" fillId="0" borderId="7" xfId="0" applyFont="1" applyBorder="1" applyAlignment="1">
      <alignment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0" fontId="76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/>
    </xf>
    <xf numFmtId="0" fontId="77" fillId="0" borderId="0" xfId="0" applyFont="1" applyAlignment="1">
      <alignment vertical="center"/>
    </xf>
    <xf numFmtId="4" fontId="77" fillId="0" borderId="0" xfId="0" applyNumberFormat="1" applyFont="1" applyAlignment="1">
      <alignment horizontal="left" vertical="center"/>
    </xf>
    <xf numFmtId="0" fontId="78" fillId="0" borderId="0" xfId="0" applyFont="1" applyAlignment="1">
      <alignment vertical="center" wrapText="1"/>
    </xf>
    <xf numFmtId="0" fontId="78" fillId="0" borderId="0" xfId="0" applyFont="1" applyAlignment="1">
      <alignment horizontal="left" vertical="center"/>
    </xf>
    <xf numFmtId="0" fontId="79" fillId="0" borderId="0" xfId="0" applyFont="1" applyAlignment="1">
      <alignment vertical="center"/>
    </xf>
    <xf numFmtId="4" fontId="79" fillId="0" borderId="0" xfId="0" applyNumberFormat="1" applyFont="1" applyAlignment="1">
      <alignment horizontal="left" vertical="center"/>
    </xf>
    <xf numFmtId="4" fontId="79" fillId="0" borderId="0" xfId="0" applyNumberFormat="1" applyFont="1" applyAlignment="1">
      <alignment horizontal="center" vertical="center"/>
    </xf>
    <xf numFmtId="165" fontId="78" fillId="0" borderId="0" xfId="0" applyNumberFormat="1" applyFont="1" applyAlignment="1">
      <alignment horizontal="right" vertical="center"/>
    </xf>
    <xf numFmtId="0" fontId="81" fillId="0" borderId="0" xfId="0" applyFont="1" applyAlignment="1">
      <alignment vertical="center" wrapText="1"/>
    </xf>
    <xf numFmtId="0" fontId="81" fillId="0" borderId="0" xfId="0" applyFont="1" applyAlignment="1">
      <alignment vertical="center"/>
    </xf>
    <xf numFmtId="4" fontId="81" fillId="0" borderId="0" xfId="0" applyNumberFormat="1" applyFont="1" applyAlignment="1">
      <alignment horizontal="center" vertical="center"/>
    </xf>
    <xf numFmtId="165" fontId="81" fillId="0" borderId="0" xfId="0" applyNumberFormat="1" applyFont="1" applyAlignment="1">
      <alignment horizontal="center" vertical="center"/>
    </xf>
    <xf numFmtId="2" fontId="81" fillId="5" borderId="0" xfId="0" applyNumberFormat="1" applyFont="1" applyFill="1" applyAlignment="1">
      <alignment horizontal="right" vertical="center"/>
    </xf>
    <xf numFmtId="0" fontId="77" fillId="0" borderId="7" xfId="0" applyFont="1" applyBorder="1" applyAlignment="1">
      <alignment horizontal="center" vertical="center" wrapText="1"/>
    </xf>
    <xf numFmtId="0" fontId="77" fillId="0" borderId="7" xfId="0" applyFont="1" applyBorder="1" applyAlignment="1">
      <alignment vertical="center" wrapText="1"/>
    </xf>
    <xf numFmtId="0" fontId="82" fillId="0" borderId="7" xfId="0" applyFont="1" applyBorder="1" applyAlignment="1">
      <alignment horizontal="right" vertical="center" wrapText="1"/>
    </xf>
    <xf numFmtId="0" fontId="76" fillId="0" borderId="7" xfId="0" applyFont="1" applyBorder="1" applyAlignment="1">
      <alignment vertical="center"/>
    </xf>
    <xf numFmtId="0" fontId="76" fillId="0" borderId="7" xfId="0" applyFont="1" applyBorder="1" applyAlignment="1">
      <alignment horizontal="center" vertical="center"/>
    </xf>
    <xf numFmtId="0" fontId="76" fillId="0" borderId="7" xfId="0" applyFont="1" applyBorder="1" applyAlignment="1">
      <alignment vertical="center" wrapText="1"/>
    </xf>
    <xf numFmtId="49" fontId="77" fillId="0" borderId="7" xfId="0" applyNumberFormat="1" applyFont="1" applyBorder="1" applyAlignment="1">
      <alignment horizontal="center" vertical="center"/>
    </xf>
    <xf numFmtId="16" fontId="77" fillId="0" borderId="7" xfId="0" applyNumberFormat="1" applyFont="1" applyBorder="1" applyAlignment="1">
      <alignment vertical="center" wrapText="1"/>
    </xf>
    <xf numFmtId="0" fontId="76" fillId="0" borderId="7" xfId="0" applyFont="1" applyBorder="1" applyAlignment="1">
      <alignment horizontal="center" vertical="top"/>
    </xf>
    <xf numFmtId="0" fontId="77" fillId="0" borderId="7" xfId="0" applyFont="1" applyBorder="1" applyAlignment="1">
      <alignment horizontal="center" vertical="center"/>
    </xf>
    <xf numFmtId="0" fontId="79" fillId="0" borderId="7" xfId="0" applyFont="1" applyBorder="1" applyAlignment="1">
      <alignment horizontal="center" vertical="center" wrapText="1"/>
    </xf>
    <xf numFmtId="0" fontId="79" fillId="0" borderId="7" xfId="0" applyFont="1" applyBorder="1" applyAlignment="1">
      <alignment vertical="center" wrapText="1"/>
    </xf>
    <xf numFmtId="4" fontId="76" fillId="0" borderId="7" xfId="0" applyNumberFormat="1" applyFont="1" applyBorder="1" applyAlignment="1">
      <alignment horizontal="center" vertical="center" wrapText="1"/>
    </xf>
    <xf numFmtId="2" fontId="83" fillId="0" borderId="7" xfId="0" applyNumberFormat="1" applyFont="1" applyBorder="1" applyAlignment="1">
      <alignment horizontal="right" vertical="center" wrapText="1"/>
    </xf>
    <xf numFmtId="165" fontId="78" fillId="0" borderId="7" xfId="0" applyNumberFormat="1" applyFont="1" applyBorder="1" applyAlignment="1">
      <alignment horizontal="center" vertical="center" wrapText="1"/>
    </xf>
    <xf numFmtId="165" fontId="78" fillId="0" borderId="7" xfId="0" applyNumberFormat="1" applyFont="1" applyBorder="1" applyAlignment="1">
      <alignment horizontal="center" vertical="center"/>
    </xf>
    <xf numFmtId="165" fontId="79" fillId="0" borderId="7" xfId="0" applyNumberFormat="1" applyFont="1" applyBorder="1" applyAlignment="1">
      <alignment horizontal="center" vertical="center"/>
    </xf>
    <xf numFmtId="165" fontId="77" fillId="0" borderId="7" xfId="0" applyNumberFormat="1" applyFont="1" applyBorder="1" applyAlignment="1">
      <alignment horizontal="center" vertical="center" wrapText="1"/>
    </xf>
    <xf numFmtId="0" fontId="86" fillId="0" borderId="7" xfId="0" applyFont="1" applyBorder="1" applyAlignment="1">
      <alignment vertical="center" wrapText="1"/>
    </xf>
    <xf numFmtId="0" fontId="87" fillId="0" borderId="7" xfId="0" applyFont="1" applyBorder="1" applyAlignment="1">
      <alignment horizontal="right" vertical="center" wrapText="1"/>
    </xf>
    <xf numFmtId="2" fontId="87" fillId="0" borderId="7" xfId="0" applyNumberFormat="1" applyFont="1" applyBorder="1" applyAlignment="1">
      <alignment horizontal="right" vertical="center" wrapText="1"/>
    </xf>
    <xf numFmtId="0" fontId="86" fillId="0" borderId="7" xfId="0" applyFont="1" applyBorder="1" applyAlignment="1">
      <alignment horizontal="center" vertical="center" wrapText="1"/>
    </xf>
    <xf numFmtId="0" fontId="88" fillId="0" borderId="7" xfId="0" applyFont="1" applyBorder="1" applyAlignment="1">
      <alignment vertical="center"/>
    </xf>
    <xf numFmtId="4" fontId="88" fillId="0" borderId="7" xfId="0" applyNumberFormat="1" applyFont="1" applyBorder="1" applyAlignment="1">
      <alignment horizontal="center" vertical="center" wrapText="1"/>
    </xf>
    <xf numFmtId="165" fontId="88" fillId="0" borderId="7" xfId="0" applyNumberFormat="1" applyFont="1" applyBorder="1" applyAlignment="1">
      <alignment horizontal="center" vertical="center" wrapText="1"/>
    </xf>
    <xf numFmtId="0" fontId="88" fillId="0" borderId="7" xfId="0" applyFont="1" applyBorder="1" applyAlignment="1">
      <alignment horizontal="center" vertical="center"/>
    </xf>
    <xf numFmtId="0" fontId="88" fillId="0" borderId="7" xfId="0" applyFont="1" applyBorder="1" applyAlignment="1">
      <alignment vertical="center" wrapText="1"/>
    </xf>
    <xf numFmtId="4" fontId="88" fillId="0" borderId="7" xfId="0" applyNumberFormat="1" applyFont="1" applyBorder="1" applyAlignment="1">
      <alignment horizontal="center" vertical="center"/>
    </xf>
    <xf numFmtId="165" fontId="88" fillId="0" borderId="7" xfId="0" applyNumberFormat="1" applyFont="1" applyBorder="1" applyAlignment="1">
      <alignment horizontal="center" vertical="center"/>
    </xf>
    <xf numFmtId="49" fontId="86" fillId="0" borderId="7" xfId="0" applyNumberFormat="1" applyFont="1" applyBorder="1" applyAlignment="1">
      <alignment horizontal="center" vertical="center"/>
    </xf>
    <xf numFmtId="4" fontId="86" fillId="0" borderId="7" xfId="0" applyNumberFormat="1" applyFont="1" applyBorder="1" applyAlignment="1">
      <alignment horizontal="center" vertical="center"/>
    </xf>
    <xf numFmtId="165" fontId="86" fillId="0" borderId="7" xfId="0" applyNumberFormat="1" applyFont="1" applyBorder="1" applyAlignment="1">
      <alignment horizontal="center" vertical="center"/>
    </xf>
    <xf numFmtId="16" fontId="86" fillId="0" borderId="7" xfId="0" applyNumberFormat="1" applyFont="1" applyBorder="1" applyAlignment="1">
      <alignment vertical="center" wrapText="1"/>
    </xf>
    <xf numFmtId="0" fontId="88" fillId="0" borderId="7" xfId="0" applyFont="1" applyBorder="1" applyAlignment="1">
      <alignment horizontal="center" vertical="top"/>
    </xf>
    <xf numFmtId="0" fontId="86" fillId="0" borderId="7" xfId="0" applyFont="1" applyBorder="1" applyAlignment="1">
      <alignment horizontal="center" vertical="center"/>
    </xf>
    <xf numFmtId="0" fontId="88" fillId="4" borderId="7" xfId="0" applyFont="1" applyFill="1" applyBorder="1" applyAlignment="1">
      <alignment horizontal="center" vertical="center"/>
    </xf>
    <xf numFmtId="0" fontId="88" fillId="4" borderId="7" xfId="0" applyFont="1" applyFill="1" applyBorder="1" applyAlignment="1">
      <alignment vertical="center" wrapText="1"/>
    </xf>
    <xf numFmtId="0" fontId="77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 wrapText="1"/>
    </xf>
    <xf numFmtId="2" fontId="79" fillId="0" borderId="0" xfId="0" applyNumberFormat="1" applyFont="1" applyAlignment="1">
      <alignment horizontal="right" vertical="center"/>
    </xf>
    <xf numFmtId="0" fontId="76" fillId="0" borderId="0" xfId="0" applyFont="1" applyAlignment="1">
      <alignment horizontal="center"/>
    </xf>
    <xf numFmtId="0" fontId="79" fillId="0" borderId="0" xfId="0" applyFont="1"/>
    <xf numFmtId="0" fontId="13" fillId="0" borderId="0" xfId="0" applyFont="1"/>
    <xf numFmtId="0" fontId="90" fillId="0" borderId="0" xfId="0" applyFont="1"/>
    <xf numFmtId="0" fontId="79" fillId="0" borderId="1" xfId="0" applyFont="1" applyBorder="1" applyAlignment="1">
      <alignment horizontal="center" vertical="center"/>
    </xf>
    <xf numFmtId="0" fontId="77" fillId="0" borderId="0" xfId="0" applyFont="1"/>
    <xf numFmtId="0" fontId="81" fillId="0" borderId="0" xfId="0" applyFont="1"/>
    <xf numFmtId="0" fontId="79" fillId="0" borderId="0" xfId="0" applyFont="1" applyAlignment="1">
      <alignment horizontal="right"/>
    </xf>
    <xf numFmtId="0" fontId="91" fillId="0" borderId="0" xfId="0" applyFont="1" applyAlignment="1">
      <alignment horizontal="center"/>
    </xf>
    <xf numFmtId="0" fontId="12" fillId="0" borderId="0" xfId="0" applyFont="1"/>
    <xf numFmtId="0" fontId="86" fillId="4" borderId="7" xfId="0" applyFont="1" applyFill="1" applyBorder="1"/>
    <xf numFmtId="165" fontId="88" fillId="4" borderId="7" xfId="0" applyNumberFormat="1" applyFont="1" applyFill="1" applyBorder="1" applyAlignment="1">
      <alignment horizontal="center" vertical="center"/>
    </xf>
    <xf numFmtId="0" fontId="13" fillId="0" borderId="7" xfId="0" applyFont="1" applyBorder="1"/>
    <xf numFmtId="0" fontId="92" fillId="0" borderId="7" xfId="0" applyFont="1" applyBorder="1"/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10" fontId="13" fillId="0" borderId="7" xfId="0" applyNumberFormat="1" applyFont="1" applyBorder="1" applyAlignment="1">
      <alignment horizontal="center"/>
    </xf>
    <xf numFmtId="0" fontId="80" fillId="0" borderId="0" xfId="0" applyFont="1"/>
    <xf numFmtId="0" fontId="93" fillId="0" borderId="0" xfId="0" applyFont="1"/>
    <xf numFmtId="0" fontId="94" fillId="0" borderId="0" xfId="0" applyFont="1"/>
    <xf numFmtId="0" fontId="77" fillId="0" borderId="1" xfId="0" applyFont="1" applyBorder="1" applyAlignment="1">
      <alignment horizontal="center" vertical="center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right"/>
    </xf>
    <xf numFmtId="0" fontId="95" fillId="0" borderId="0" xfId="0" applyFont="1" applyAlignment="1">
      <alignment horizontal="right"/>
    </xf>
    <xf numFmtId="0" fontId="90" fillId="0" borderId="7" xfId="0" applyFont="1" applyBorder="1"/>
    <xf numFmtId="0" fontId="96" fillId="0" borderId="7" xfId="0" applyFont="1" applyBorder="1"/>
    <xf numFmtId="0" fontId="93" fillId="0" borderId="7" xfId="0" applyFont="1" applyBorder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0" fontId="11" fillId="0" borderId="0" xfId="0" applyFont="1"/>
    <xf numFmtId="4" fontId="78" fillId="0" borderId="9" xfId="0" applyNumberFormat="1" applyFont="1" applyBorder="1" applyAlignment="1">
      <alignment horizontal="center" vertical="center"/>
    </xf>
    <xf numFmtId="4" fontId="78" fillId="0" borderId="10" xfId="0" applyNumberFormat="1" applyFont="1" applyBorder="1" applyAlignment="1">
      <alignment horizontal="center" vertical="center"/>
    </xf>
    <xf numFmtId="0" fontId="93" fillId="0" borderId="9" xfId="0" applyFont="1" applyBorder="1" applyAlignment="1">
      <alignment horizontal="center"/>
    </xf>
    <xf numFmtId="0" fontId="93" fillId="0" borderId="10" xfId="0" applyFont="1" applyBorder="1" applyAlignment="1">
      <alignment horizontal="center"/>
    </xf>
    <xf numFmtId="4" fontId="79" fillId="0" borderId="9" xfId="0" applyNumberFormat="1" applyFont="1" applyBorder="1" applyAlignment="1">
      <alignment horizontal="center" vertical="center"/>
    </xf>
    <xf numFmtId="4" fontId="79" fillId="0" borderId="10" xfId="0" applyNumberFormat="1" applyFont="1" applyBorder="1" applyAlignment="1">
      <alignment horizontal="center" vertical="center"/>
    </xf>
    <xf numFmtId="0" fontId="90" fillId="0" borderId="9" xfId="0" applyFont="1" applyBorder="1" applyAlignment="1">
      <alignment horizontal="center"/>
    </xf>
    <xf numFmtId="0" fontId="90" fillId="0" borderId="10" xfId="0" applyFont="1" applyBorder="1" applyAlignment="1">
      <alignment horizontal="center"/>
    </xf>
    <xf numFmtId="0" fontId="81" fillId="0" borderId="0" xfId="0" applyFont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83" fillId="0" borderId="9" xfId="0" applyNumberFormat="1" applyFont="1" applyBorder="1" applyAlignment="1">
      <alignment horizontal="center" vertical="center" wrapText="1"/>
    </xf>
    <xf numFmtId="0" fontId="83" fillId="0" borderId="10" xfId="0" applyFont="1" applyBorder="1" applyAlignment="1">
      <alignment horizontal="center" vertical="center" wrapText="1"/>
    </xf>
    <xf numFmtId="4" fontId="78" fillId="0" borderId="9" xfId="0" applyNumberFormat="1" applyFont="1" applyBorder="1" applyAlignment="1">
      <alignment horizontal="center" vertical="center" wrapText="1"/>
    </xf>
    <xf numFmtId="4" fontId="78" fillId="0" borderId="10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wrapText="1"/>
    </xf>
    <xf numFmtId="0" fontId="84" fillId="0" borderId="0" xfId="0" applyFont="1" applyAlignment="1">
      <alignment horizontal="center"/>
    </xf>
    <xf numFmtId="0" fontId="79" fillId="0" borderId="0" xfId="0" applyFont="1" applyAlignment="1">
      <alignment horizontal="left" wrapText="1"/>
    </xf>
    <xf numFmtId="0" fontId="7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88" fillId="0" borderId="9" xfId="0" applyNumberFormat="1" applyFont="1" applyBorder="1" applyAlignment="1">
      <alignment horizontal="center" vertical="center"/>
    </xf>
    <xf numFmtId="165" fontId="88" fillId="0" borderId="10" xfId="0" applyNumberFormat="1" applyFont="1" applyBorder="1" applyAlignment="1">
      <alignment horizontal="center" vertical="center"/>
    </xf>
    <xf numFmtId="165" fontId="86" fillId="0" borderId="9" xfId="0" applyNumberFormat="1" applyFont="1" applyBorder="1" applyAlignment="1">
      <alignment horizontal="center" vertical="center"/>
    </xf>
    <xf numFmtId="165" fontId="86" fillId="0" borderId="10" xfId="0" applyNumberFormat="1" applyFont="1" applyBorder="1" applyAlignment="1">
      <alignment horizontal="center" vertical="center"/>
    </xf>
    <xf numFmtId="0" fontId="81" fillId="0" borderId="0" xfId="0" applyFont="1" applyAlignment="1">
      <alignment horizontal="left" wrapText="1"/>
    </xf>
    <xf numFmtId="0" fontId="77" fillId="0" borderId="12" xfId="0" applyFont="1" applyBorder="1" applyAlignment="1">
      <alignment horizontal="left" wrapText="1"/>
    </xf>
    <xf numFmtId="0" fontId="79" fillId="0" borderId="0" xfId="0" applyFont="1" applyAlignment="1">
      <alignment horizontal="left" vertical="center"/>
    </xf>
    <xf numFmtId="165" fontId="88" fillId="0" borderId="9" xfId="0" applyNumberFormat="1" applyFont="1" applyBorder="1" applyAlignment="1">
      <alignment horizontal="center" vertical="center" wrapText="1"/>
    </xf>
    <xf numFmtId="165" fontId="88" fillId="0" borderId="10" xfId="0" applyNumberFormat="1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77" fillId="0" borderId="9" xfId="0" applyNumberFormat="1" applyFont="1" applyBorder="1" applyAlignment="1">
      <alignment horizontal="center" vertical="center" wrapText="1"/>
    </xf>
    <xf numFmtId="165" fontId="77" fillId="0" borderId="10" xfId="0" applyNumberFormat="1" applyFont="1" applyBorder="1" applyAlignment="1">
      <alignment horizontal="center" vertical="center" wrapText="1"/>
    </xf>
    <xf numFmtId="2" fontId="87" fillId="0" borderId="9" xfId="0" applyNumberFormat="1" applyFont="1" applyBorder="1" applyAlignment="1">
      <alignment horizontal="center" vertical="center" wrapText="1"/>
    </xf>
    <xf numFmtId="2" fontId="87" fillId="0" borderId="10" xfId="0" applyNumberFormat="1" applyFont="1" applyBorder="1" applyAlignment="1">
      <alignment horizontal="center" vertical="center" wrapText="1"/>
    </xf>
    <xf numFmtId="0" fontId="88" fillId="0" borderId="9" xfId="0" applyFont="1" applyBorder="1" applyAlignment="1">
      <alignment horizontal="center" vertical="center"/>
    </xf>
    <xf numFmtId="0" fontId="88" fillId="0" borderId="10" xfId="0" applyFont="1" applyBorder="1" applyAlignment="1">
      <alignment horizontal="center" vertical="center"/>
    </xf>
    <xf numFmtId="165" fontId="88" fillId="4" borderId="9" xfId="0" applyNumberFormat="1" applyFont="1" applyFill="1" applyBorder="1" applyAlignment="1">
      <alignment horizontal="center" vertical="center"/>
    </xf>
    <xf numFmtId="165" fontId="88" fillId="4" borderId="10" xfId="0" applyNumberFormat="1" applyFont="1" applyFill="1" applyBorder="1" applyAlignment="1">
      <alignment horizontal="center" vertical="center"/>
    </xf>
    <xf numFmtId="0" fontId="97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0" fontId="13" fillId="0" borderId="9" xfId="0" applyNumberFormat="1" applyFont="1" applyBorder="1" applyAlignment="1">
      <alignment horizontal="center"/>
    </xf>
    <xf numFmtId="10" fontId="13" fillId="0" borderId="10" xfId="0" applyNumberFormat="1" applyFont="1" applyBorder="1" applyAlignment="1">
      <alignment horizontal="center"/>
    </xf>
    <xf numFmtId="4" fontId="80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9" fontId="6" fillId="0" borderId="7" xfId="0" applyNumberFormat="1" applyFont="1" applyBorder="1" applyAlignment="1">
      <alignment horizontal="center" vertical="center" textRotation="90" wrapText="1"/>
    </xf>
    <xf numFmtId="49" fontId="6" fillId="0" borderId="4" xfId="0" applyNumberFormat="1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textRotation="90" wrapText="1"/>
    </xf>
    <xf numFmtId="49" fontId="10" fillId="0" borderId="4" xfId="0" applyNumberFormat="1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23" borderId="24" xfId="0" applyFont="1" applyFill="1" applyBorder="1" applyAlignment="1">
      <alignment horizontal="center" vertical="center" wrapText="1"/>
    </xf>
    <xf numFmtId="0" fontId="3" fillId="23" borderId="25" xfId="0" applyFont="1" applyFill="1" applyBorder="1" applyAlignment="1">
      <alignment horizontal="center" vertical="center" wrapText="1"/>
    </xf>
    <xf numFmtId="0" fontId="3" fillId="23" borderId="26" xfId="0" applyFont="1" applyFill="1" applyBorder="1" applyAlignment="1">
      <alignment horizontal="center" vertical="center" wrapText="1"/>
    </xf>
    <xf numFmtId="0" fontId="73" fillId="0" borderId="9" xfId="0" applyFont="1" applyBorder="1" applyAlignment="1">
      <alignment horizontal="center" wrapText="1"/>
    </xf>
    <xf numFmtId="0" fontId="73" fillId="0" borderId="2" xfId="0" applyFont="1" applyBorder="1" applyAlignment="1">
      <alignment horizontal="center" wrapText="1"/>
    </xf>
    <xf numFmtId="0" fontId="73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38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wrapText="1"/>
    </xf>
    <xf numFmtId="0" fontId="35" fillId="3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99" fillId="0" borderId="0" xfId="0" applyFont="1"/>
    <xf numFmtId="0" fontId="100" fillId="0" borderId="0" xfId="0" applyFont="1" applyAlignment="1">
      <alignment vertical="center" wrapText="1"/>
    </xf>
    <xf numFmtId="0" fontId="101" fillId="0" borderId="0" xfId="0" applyFont="1" applyAlignment="1">
      <alignment vertical="center" wrapText="1"/>
    </xf>
    <xf numFmtId="0" fontId="102" fillId="0" borderId="0" xfId="0" applyFont="1" applyAlignment="1">
      <alignment vertical="center" wrapText="1"/>
    </xf>
    <xf numFmtId="0" fontId="103" fillId="0" borderId="0" xfId="0" applyFont="1" applyAlignment="1">
      <alignment vertical="center" wrapText="1"/>
    </xf>
    <xf numFmtId="0" fontId="104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0%20&#1055;&#1083;&#1072;&#1085;&#1086;&#1074;&#1080;&#1081;\&#1055;&#1083;&#1072;&#1085;\2026\0%20&#1090;&#1072;&#1088;%202026\&#1103;2026%20&#1061;&#1061;%20&#1074;&#1086;&#1108;&#1085;%20&#1089;&#1090;&#1072;&#1085;%20&#1040;&#1050;&#1058;&#1059;&#1040;&#1051;%20%20&#1074;&#1072;&#1088;%20&#1079;%20&#1085;&#1086;&#1074;%20&#1077;&#1083;%20%2000000%20&#1058;&#1040;&#1056;&#1048;&#1060;%2000000%20%20&#1079;%20&#1087;&#1077;&#1088;&#1077;&#1081;&#1084;&#1077;&#1085;&#1086;&#1074;&#1072;&#1085;&#1080;&#1084;&#1080;%20&#1074;&#1091;&#1083;&#1080;&#1094;&#1103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іс звіт по стат без ПДВ для ВК"/>
      <sheetName val="міс звіт по стат з ПДВ (для ВК)"/>
      <sheetName val=" та ДОГОВ"/>
      <sheetName val="Статті % поелементно%"/>
      <sheetName val="Стат 1 поелементно"/>
      <sheetName val="Чисельність"/>
      <sheetName val="Тар свод з ПДВ без форм24 (алф)"/>
      <sheetName val=" Тар свод без форм24 поверх"/>
      <sheetName val="Тариф 26 свод з ПДВ БЕЗ форм "/>
      <sheetName val="Тариф 26 свод з ПДВз форм"/>
      <sheetName val="анализ пр2021"/>
      <sheetName val="Стр-ра тар (пр)2021"/>
      <sheetName val="Стр-ра тар2021"/>
      <sheetName val="Тариф 26 свод без  ПДВ"/>
      <sheetName val="Тариф свод з ПДВ  2021(цифри) н"/>
      <sheetName val="Пониж Коеф24"/>
      <sheetName val="1-1 ХАРАКТЕРИСТИКА"/>
      <sheetName val="Кошторис"/>
      <sheetName val="0 СВОД"/>
      <sheetName val="ТО ліфт"/>
      <sheetName val="ТО Електр"/>
      <sheetName val="ПР Електр "/>
      <sheetName val="Лист2"/>
      <sheetName val="ел-ен ліфтів"/>
      <sheetName val="освітлення місць заг корист"/>
      <sheetName val="приб підвал, тех пов,покрівлі"/>
      <sheetName val="приб сход кліток"/>
      <sheetName val="прибирання терит зимове"/>
      <sheetName val="приб приб терит ЛІТО+смкам"/>
      <sheetName val="ПР ХВП"/>
      <sheetName val="ТО ХВП"/>
      <sheetName val="ПР ГАЗ"/>
      <sheetName val="ПР ВВ"/>
      <sheetName val="ТО ВВ"/>
      <sheetName val="ПР ЗК"/>
      <sheetName val="ТО ЗК"/>
      <sheetName val="ПР ГВП"/>
      <sheetName val="ТО ГВП"/>
      <sheetName val="ПР ЦО"/>
      <sheetName val="ТО ЦО"/>
      <sheetName val="ПР констр ел"/>
      <sheetName val="дезінс"/>
      <sheetName val="дератиз"/>
      <sheetName val="ДВК ТО"/>
      <sheetName val="ТО  ОДС"/>
      <sheetName val="ТО ГАЗ"/>
      <sheetName val="1-5 Інвентар"/>
      <sheetName val="1-4 Спецодяг"/>
      <sheetName val="1-2 ПАРАМ РОЗРАХ"/>
      <sheetName val="1-3 Погод тарифні ставки"/>
      <sheetName val="Розрахунок"/>
      <sheetName val="1-2 ПАРАМ РОЗРАХ (ПЕРІОДИЧНІСТ)"/>
      <sheetName val="податок на земл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U9">
            <v>9.1430000000000007</v>
          </cell>
          <cell r="BG9">
            <v>11.342000000000001</v>
          </cell>
        </row>
        <row r="10">
          <cell r="AU10">
            <v>9.4741</v>
          </cell>
          <cell r="BG10">
            <v>11.806100000000001</v>
          </cell>
        </row>
        <row r="11">
          <cell r="AU11">
            <v>9.0404</v>
          </cell>
          <cell r="BG11">
            <v>11.643700000000001</v>
          </cell>
        </row>
        <row r="12">
          <cell r="AU12">
            <v>9.1735000000000007</v>
          </cell>
          <cell r="BG12">
            <v>11.9099</v>
          </cell>
        </row>
        <row r="13">
          <cell r="AU13">
            <v>9.9290000000000003</v>
          </cell>
          <cell r="BG13">
            <v>11.755599999999999</v>
          </cell>
        </row>
        <row r="14">
          <cell r="AU14">
            <v>8.9093999999999998</v>
          </cell>
          <cell r="BG14">
            <v>11.4064</v>
          </cell>
        </row>
        <row r="15">
          <cell r="AU15">
            <v>8.6677999999999997</v>
          </cell>
          <cell r="BG15">
            <v>11.383800000000001</v>
          </cell>
        </row>
        <row r="16">
          <cell r="AU16">
            <v>8.6674000000000007</v>
          </cell>
          <cell r="BG16">
            <v>11.3591</v>
          </cell>
        </row>
        <row r="17">
          <cell r="AU17">
            <v>10.828099999999999</v>
          </cell>
          <cell r="BG17">
            <v>10.828099999999999</v>
          </cell>
        </row>
        <row r="18">
          <cell r="AU18">
            <v>8.6639999999999997</v>
          </cell>
          <cell r="BG18">
            <v>11.152900000000001</v>
          </cell>
        </row>
        <row r="19">
          <cell r="AU19">
            <v>8.6694999999999993</v>
          </cell>
          <cell r="BG19">
            <v>11.151999999999999</v>
          </cell>
        </row>
        <row r="20">
          <cell r="AU20">
            <v>8.4670000000000005</v>
          </cell>
          <cell r="BG20">
            <v>10.781000000000001</v>
          </cell>
        </row>
        <row r="21">
          <cell r="AU21">
            <v>8.0109999999999992</v>
          </cell>
          <cell r="BG21">
            <v>9.7698</v>
          </cell>
        </row>
        <row r="22">
          <cell r="AU22">
            <v>10.666700000000001</v>
          </cell>
          <cell r="BG22">
            <v>10.666700000000001</v>
          </cell>
        </row>
        <row r="23">
          <cell r="AU23">
            <v>10.720599999999999</v>
          </cell>
          <cell r="BG23">
            <v>10.720599999999999</v>
          </cell>
        </row>
        <row r="24">
          <cell r="AU24">
            <v>12.087</v>
          </cell>
          <cell r="BG24">
            <v>12.087</v>
          </cell>
        </row>
        <row r="25">
          <cell r="AU25">
            <v>11.5609</v>
          </cell>
          <cell r="BG25">
            <v>11.5609</v>
          </cell>
        </row>
        <row r="26">
          <cell r="AU26">
            <v>13.8187</v>
          </cell>
          <cell r="BG26">
            <v>13.8187</v>
          </cell>
        </row>
        <row r="27">
          <cell r="AU27">
            <v>1.7444</v>
          </cell>
          <cell r="BG27">
            <v>1.7444</v>
          </cell>
        </row>
        <row r="28">
          <cell r="AU28">
            <v>9.5675000000000008</v>
          </cell>
          <cell r="BG28">
            <v>10.5337</v>
          </cell>
        </row>
        <row r="29">
          <cell r="AU29">
            <v>10.356</v>
          </cell>
          <cell r="BG29">
            <v>10.356</v>
          </cell>
        </row>
        <row r="30">
          <cell r="AU30">
            <v>8.9526000000000003</v>
          </cell>
          <cell r="BG30">
            <v>8.9526000000000003</v>
          </cell>
        </row>
        <row r="31">
          <cell r="AU31">
            <v>9.5703999999999994</v>
          </cell>
          <cell r="BG31">
            <v>9.5703999999999994</v>
          </cell>
        </row>
        <row r="32">
          <cell r="AU32">
            <v>10.319900000000001</v>
          </cell>
          <cell r="BG32">
            <v>10.319900000000001</v>
          </cell>
        </row>
        <row r="33">
          <cell r="AU33">
            <v>9.0633999999999997</v>
          </cell>
          <cell r="BG33">
            <v>11.514099999999999</v>
          </cell>
        </row>
        <row r="34">
          <cell r="AU34">
            <v>10.451000000000001</v>
          </cell>
          <cell r="BG34">
            <v>10.451000000000001</v>
          </cell>
        </row>
        <row r="35">
          <cell r="AU35">
            <v>9.1644000000000005</v>
          </cell>
          <cell r="BG35">
            <v>11.7254</v>
          </cell>
        </row>
        <row r="36">
          <cell r="AU36">
            <v>10.367000000000001</v>
          </cell>
          <cell r="BG36">
            <v>10.367000000000001</v>
          </cell>
        </row>
        <row r="37">
          <cell r="AU37">
            <v>9.3581000000000003</v>
          </cell>
          <cell r="BG37">
            <v>11.8202</v>
          </cell>
        </row>
        <row r="38">
          <cell r="AU38">
            <v>9.0420999999999996</v>
          </cell>
          <cell r="BG38">
            <v>9.0420999999999996</v>
          </cell>
        </row>
        <row r="39">
          <cell r="AU39">
            <v>9.3759999999999994</v>
          </cell>
          <cell r="BG39">
            <v>9.3759999999999994</v>
          </cell>
        </row>
        <row r="40">
          <cell r="AU40">
            <v>9.9696999999999996</v>
          </cell>
          <cell r="BG40">
            <v>9.9696999999999996</v>
          </cell>
        </row>
        <row r="41">
          <cell r="AU41">
            <v>10.3444</v>
          </cell>
          <cell r="BG41">
            <v>10.3444</v>
          </cell>
        </row>
        <row r="42">
          <cell r="AU42">
            <v>9.5596999999999994</v>
          </cell>
          <cell r="BG42">
            <v>12.0037</v>
          </cell>
        </row>
        <row r="43">
          <cell r="AU43">
            <v>8.7032000000000007</v>
          </cell>
          <cell r="BG43">
            <v>10.9171</v>
          </cell>
        </row>
        <row r="44">
          <cell r="AU44">
            <v>8.2797999999999998</v>
          </cell>
          <cell r="BG44">
            <v>10.062799999999999</v>
          </cell>
        </row>
        <row r="45">
          <cell r="AU45">
            <v>9.2315000000000005</v>
          </cell>
          <cell r="BG45">
            <v>11.7979</v>
          </cell>
        </row>
        <row r="46">
          <cell r="AU46">
            <v>10.248799999999999</v>
          </cell>
          <cell r="BG46">
            <v>12.541600000000001</v>
          </cell>
        </row>
        <row r="47">
          <cell r="AU47">
            <v>9.9397000000000002</v>
          </cell>
          <cell r="BG47">
            <v>12.3133</v>
          </cell>
        </row>
        <row r="48">
          <cell r="AU48">
            <v>10.095499999999999</v>
          </cell>
          <cell r="BG48">
            <v>12.148400000000001</v>
          </cell>
        </row>
        <row r="49">
          <cell r="AU49">
            <v>9.0459999999999994</v>
          </cell>
          <cell r="BG49">
            <v>11.6563</v>
          </cell>
        </row>
        <row r="50">
          <cell r="AU50">
            <v>9.8071000000000002</v>
          </cell>
          <cell r="BG50">
            <v>12.2742</v>
          </cell>
        </row>
        <row r="51">
          <cell r="AU51">
            <v>10.0564</v>
          </cell>
          <cell r="BG51">
            <v>12.321199999999999</v>
          </cell>
        </row>
        <row r="52">
          <cell r="AU52">
            <v>9.6018000000000008</v>
          </cell>
          <cell r="BG52">
            <v>11.6104</v>
          </cell>
        </row>
        <row r="53">
          <cell r="AU53">
            <v>9.8442000000000007</v>
          </cell>
          <cell r="BG53">
            <v>12.399100000000001</v>
          </cell>
        </row>
        <row r="54">
          <cell r="AU54">
            <v>8.8919999999999995</v>
          </cell>
          <cell r="BG54">
            <v>11.3285</v>
          </cell>
        </row>
        <row r="55">
          <cell r="AU55">
            <v>8.0190999999999999</v>
          </cell>
          <cell r="BG55">
            <v>9.8010999999999999</v>
          </cell>
        </row>
        <row r="56">
          <cell r="AU56">
            <v>8.1300000000000008</v>
          </cell>
          <cell r="BG56">
            <v>9.5992999999999995</v>
          </cell>
        </row>
        <row r="57">
          <cell r="AU57">
            <v>8.8931000000000004</v>
          </cell>
          <cell r="BG57">
            <v>10.3072</v>
          </cell>
        </row>
        <row r="58">
          <cell r="AU58">
            <v>10.232799999999999</v>
          </cell>
          <cell r="BG58">
            <v>10.232799999999999</v>
          </cell>
        </row>
        <row r="59">
          <cell r="AU59">
            <v>10.278499999999999</v>
          </cell>
          <cell r="BG59">
            <v>10.278499999999999</v>
          </cell>
        </row>
        <row r="60">
          <cell r="AU60">
            <v>9.9718</v>
          </cell>
          <cell r="BG60">
            <v>9.9718</v>
          </cell>
        </row>
        <row r="61">
          <cell r="AU61">
            <v>9.2545000000000002</v>
          </cell>
          <cell r="BG61">
            <v>9.2545000000000002</v>
          </cell>
        </row>
        <row r="62">
          <cell r="AU62">
            <v>10.0237</v>
          </cell>
          <cell r="BG62">
            <v>12.546200000000001</v>
          </cell>
        </row>
        <row r="63">
          <cell r="AU63">
            <v>9.7873999999999999</v>
          </cell>
          <cell r="BG63">
            <v>12.066700000000001</v>
          </cell>
        </row>
        <row r="64">
          <cell r="AU64">
            <v>8.8277999999999999</v>
          </cell>
          <cell r="BG64">
            <v>10.5692</v>
          </cell>
        </row>
        <row r="65">
          <cell r="AU65">
            <v>10.5212</v>
          </cell>
          <cell r="BG65">
            <v>12.667999999999999</v>
          </cell>
        </row>
        <row r="66">
          <cell r="AU66">
            <v>10.1357</v>
          </cell>
          <cell r="BG66">
            <v>11.778700000000001</v>
          </cell>
        </row>
        <row r="67">
          <cell r="AU67">
            <v>9.4564000000000004</v>
          </cell>
          <cell r="BG67">
            <v>9.4564000000000004</v>
          </cell>
        </row>
        <row r="68">
          <cell r="AU68">
            <v>8.5588999999999995</v>
          </cell>
          <cell r="BG68">
            <v>8.5588999999999995</v>
          </cell>
        </row>
        <row r="69">
          <cell r="AU69">
            <v>9.2993000000000006</v>
          </cell>
          <cell r="BG69">
            <v>11.93</v>
          </cell>
        </row>
        <row r="70">
          <cell r="AU70">
            <v>10.494</v>
          </cell>
          <cell r="BG70">
            <v>10.494</v>
          </cell>
        </row>
        <row r="71">
          <cell r="AU71">
            <v>10.484999999999999</v>
          </cell>
          <cell r="BG71">
            <v>10.484999999999999</v>
          </cell>
        </row>
        <row r="72">
          <cell r="AU72">
            <v>10.263999999999999</v>
          </cell>
          <cell r="BG72">
            <v>10.263999999999999</v>
          </cell>
        </row>
        <row r="73">
          <cell r="AU73">
            <v>9.8672000000000004</v>
          </cell>
          <cell r="BG73">
            <v>9.8672000000000004</v>
          </cell>
        </row>
        <row r="74">
          <cell r="AU74">
            <v>9.6747999999999994</v>
          </cell>
          <cell r="BG74">
            <v>12.4207</v>
          </cell>
        </row>
        <row r="75">
          <cell r="AU75">
            <v>10.043799999999999</v>
          </cell>
          <cell r="BG75">
            <v>10.043799999999999</v>
          </cell>
        </row>
        <row r="76">
          <cell r="AU76">
            <v>9.5158000000000005</v>
          </cell>
          <cell r="BG76">
            <v>9.5158000000000005</v>
          </cell>
        </row>
        <row r="77">
          <cell r="AU77">
            <v>10.0022</v>
          </cell>
          <cell r="BG77">
            <v>10.0022</v>
          </cell>
        </row>
        <row r="78">
          <cell r="AU78">
            <v>9.5846</v>
          </cell>
          <cell r="BG78">
            <v>9.5846</v>
          </cell>
        </row>
        <row r="79">
          <cell r="AU79">
            <v>9.0825999999999993</v>
          </cell>
          <cell r="BG79">
            <v>9.0825999999999993</v>
          </cell>
        </row>
        <row r="80">
          <cell r="AU80">
            <v>9.2753999999999994</v>
          </cell>
          <cell r="BG80">
            <v>9.2753999999999994</v>
          </cell>
        </row>
        <row r="81">
          <cell r="AU81">
            <v>9.234</v>
          </cell>
          <cell r="BG81">
            <v>11.3531</v>
          </cell>
        </row>
        <row r="82">
          <cell r="AU82">
            <v>9.3480000000000008</v>
          </cell>
          <cell r="BG82">
            <v>9.3480000000000008</v>
          </cell>
        </row>
        <row r="83">
          <cell r="AU83">
            <v>9.4661000000000008</v>
          </cell>
          <cell r="BG83">
            <v>9.4661000000000008</v>
          </cell>
        </row>
        <row r="84">
          <cell r="AU84">
            <v>9.3829999999999991</v>
          </cell>
          <cell r="BG84">
            <v>9.3829999999999991</v>
          </cell>
        </row>
        <row r="85">
          <cell r="AU85">
            <v>10.1694</v>
          </cell>
          <cell r="BG85">
            <v>12.2339</v>
          </cell>
        </row>
        <row r="86">
          <cell r="AU86">
            <v>9.5614000000000008</v>
          </cell>
          <cell r="BG86">
            <v>9.5614000000000008</v>
          </cell>
        </row>
        <row r="87">
          <cell r="AU87">
            <v>9.8727999999999998</v>
          </cell>
          <cell r="BG87">
            <v>12.494999999999999</v>
          </cell>
        </row>
        <row r="88">
          <cell r="AU88">
            <v>9.9337</v>
          </cell>
          <cell r="BG88">
            <v>11.8902</v>
          </cell>
        </row>
        <row r="89">
          <cell r="AU89">
            <v>9.9395000000000007</v>
          </cell>
          <cell r="BG89">
            <v>12.176</v>
          </cell>
        </row>
        <row r="90">
          <cell r="AU90">
            <v>9.3704000000000001</v>
          </cell>
          <cell r="BG90">
            <v>11.2645</v>
          </cell>
        </row>
        <row r="91">
          <cell r="AU91">
            <v>10.0153</v>
          </cell>
          <cell r="BG91">
            <v>11.8169</v>
          </cell>
        </row>
        <row r="92">
          <cell r="AU92">
            <v>10.015599999999999</v>
          </cell>
          <cell r="BG92">
            <v>12.0829</v>
          </cell>
        </row>
        <row r="93">
          <cell r="AU93">
            <v>9.9421999999999997</v>
          </cell>
          <cell r="BG93">
            <v>12.0619</v>
          </cell>
        </row>
        <row r="94">
          <cell r="AU94">
            <v>9.9736999999999991</v>
          </cell>
          <cell r="BG94">
            <v>11.1845</v>
          </cell>
        </row>
        <row r="95">
          <cell r="AU95">
            <v>9.7842000000000002</v>
          </cell>
          <cell r="BG95">
            <v>9.7842000000000002</v>
          </cell>
        </row>
        <row r="96">
          <cell r="AU96">
            <v>10.1953</v>
          </cell>
          <cell r="BG96">
            <v>10.1953</v>
          </cell>
        </row>
        <row r="97">
          <cell r="AU97">
            <v>9.5825999999999993</v>
          </cell>
          <cell r="BG97">
            <v>9.5825999999999993</v>
          </cell>
        </row>
        <row r="98">
          <cell r="AU98">
            <v>8.6818000000000008</v>
          </cell>
          <cell r="BG98">
            <v>11.184200000000001</v>
          </cell>
        </row>
        <row r="99">
          <cell r="AU99">
            <v>9.2279999999999998</v>
          </cell>
          <cell r="BG99">
            <v>11.7859</v>
          </cell>
        </row>
        <row r="100">
          <cell r="AU100">
            <v>9.5593000000000004</v>
          </cell>
          <cell r="BG100">
            <v>9.5593000000000004</v>
          </cell>
        </row>
        <row r="101">
          <cell r="AU101">
            <v>11.283200000000001</v>
          </cell>
          <cell r="BG101">
            <v>11.283200000000001</v>
          </cell>
        </row>
        <row r="102">
          <cell r="AU102">
            <v>9.9681999999999995</v>
          </cell>
          <cell r="BG102">
            <v>9.9681999999999995</v>
          </cell>
        </row>
        <row r="103">
          <cell r="AU103">
            <v>10.430400000000001</v>
          </cell>
          <cell r="BG103">
            <v>10.430400000000001</v>
          </cell>
        </row>
        <row r="104">
          <cell r="AU104">
            <v>10.0063</v>
          </cell>
          <cell r="BG104">
            <v>10.0063</v>
          </cell>
        </row>
        <row r="105">
          <cell r="AU105">
            <v>10.028</v>
          </cell>
          <cell r="BG105">
            <v>10.028</v>
          </cell>
        </row>
        <row r="106">
          <cell r="AU106">
            <v>10.184900000000001</v>
          </cell>
          <cell r="BG106">
            <v>10.184900000000001</v>
          </cell>
        </row>
        <row r="107">
          <cell r="AU107">
            <v>10.0487</v>
          </cell>
          <cell r="BG107">
            <v>10.0487</v>
          </cell>
        </row>
        <row r="108">
          <cell r="AU108">
            <v>8.6818000000000008</v>
          </cell>
          <cell r="BG108">
            <v>11.184200000000001</v>
          </cell>
        </row>
        <row r="109">
          <cell r="AU109">
            <v>9.7199000000000009</v>
          </cell>
          <cell r="BG109">
            <v>12.297000000000001</v>
          </cell>
        </row>
        <row r="110">
          <cell r="AU110">
            <v>9.8391999999999999</v>
          </cell>
          <cell r="BG110">
            <v>9.8391999999999999</v>
          </cell>
        </row>
        <row r="111">
          <cell r="AU111">
            <v>8.8122000000000007</v>
          </cell>
          <cell r="BG111">
            <v>10.900600000000001</v>
          </cell>
        </row>
        <row r="112">
          <cell r="AU112">
            <v>9.6273999999999997</v>
          </cell>
          <cell r="BG112">
            <v>12.1928</v>
          </cell>
        </row>
        <row r="113">
          <cell r="AU113">
            <v>10.2262</v>
          </cell>
          <cell r="BG113">
            <v>10.2262</v>
          </cell>
        </row>
        <row r="114">
          <cell r="AU114">
            <v>9.8800000000000008</v>
          </cell>
          <cell r="BG114">
            <v>9.8800000000000008</v>
          </cell>
        </row>
        <row r="115">
          <cell r="AU115">
            <v>10.444599999999999</v>
          </cell>
          <cell r="BG115">
            <v>10.444599999999999</v>
          </cell>
        </row>
        <row r="116">
          <cell r="AU116">
            <v>10.032500000000001</v>
          </cell>
          <cell r="BG116">
            <v>10.032500000000001</v>
          </cell>
        </row>
        <row r="117">
          <cell r="AU117">
            <v>10.504300000000001</v>
          </cell>
          <cell r="BG117">
            <v>10.504300000000001</v>
          </cell>
        </row>
        <row r="118">
          <cell r="AU118">
            <v>9.8597000000000001</v>
          </cell>
          <cell r="BG118">
            <v>9.8597000000000001</v>
          </cell>
        </row>
        <row r="119">
          <cell r="AU119">
            <v>10.3409</v>
          </cell>
          <cell r="BG119">
            <v>10.3409</v>
          </cell>
        </row>
        <row r="120">
          <cell r="AU120">
            <v>10.408799999999999</v>
          </cell>
          <cell r="BG120">
            <v>10.408799999999999</v>
          </cell>
        </row>
        <row r="121">
          <cell r="AU121">
            <v>10.391500000000001</v>
          </cell>
          <cell r="BG121">
            <v>10.391500000000001</v>
          </cell>
        </row>
        <row r="122">
          <cell r="AU122">
            <v>9.8796999999999997</v>
          </cell>
          <cell r="BG122">
            <v>9.8796999999999997</v>
          </cell>
        </row>
        <row r="123">
          <cell r="AU123">
            <v>9.6887000000000008</v>
          </cell>
          <cell r="BG123">
            <v>11.851800000000001</v>
          </cell>
        </row>
        <row r="124">
          <cell r="AU124">
            <v>10.8224</v>
          </cell>
          <cell r="BG124">
            <v>10.8224</v>
          </cell>
        </row>
        <row r="125">
          <cell r="AU125">
            <v>10.1662</v>
          </cell>
          <cell r="BG125">
            <v>10.1662</v>
          </cell>
        </row>
        <row r="126">
          <cell r="AU126">
            <v>10.1684</v>
          </cell>
          <cell r="BG126">
            <v>10.1684</v>
          </cell>
        </row>
        <row r="127">
          <cell r="AU127">
            <v>10.3735</v>
          </cell>
          <cell r="BG127">
            <v>10.3735</v>
          </cell>
        </row>
        <row r="128">
          <cell r="AU128">
            <v>9.5935000000000006</v>
          </cell>
          <cell r="BG128">
            <v>9.5935000000000006</v>
          </cell>
        </row>
        <row r="129">
          <cell r="AU129">
            <v>10.484500000000001</v>
          </cell>
          <cell r="BG129">
            <v>10.484500000000001</v>
          </cell>
        </row>
        <row r="130">
          <cell r="AU130">
            <v>10.3904</v>
          </cell>
          <cell r="BG130">
            <v>10.3904</v>
          </cell>
        </row>
        <row r="131">
          <cell r="AU131">
            <v>9.0319000000000003</v>
          </cell>
          <cell r="BG131">
            <v>9.0319000000000003</v>
          </cell>
        </row>
        <row r="132">
          <cell r="AU132">
            <v>9.0311000000000003</v>
          </cell>
          <cell r="BG132">
            <v>9.0311000000000003</v>
          </cell>
        </row>
        <row r="133">
          <cell r="AU133">
            <v>9.3630999999999993</v>
          </cell>
          <cell r="BG133">
            <v>9.3630999999999993</v>
          </cell>
        </row>
        <row r="134">
          <cell r="AU134">
            <v>9.8924000000000003</v>
          </cell>
          <cell r="BG134">
            <v>9.8924000000000003</v>
          </cell>
        </row>
        <row r="135">
          <cell r="AU135">
            <v>9.6143000000000001</v>
          </cell>
          <cell r="BG135">
            <v>9.6143000000000001</v>
          </cell>
        </row>
        <row r="136">
          <cell r="AU136">
            <v>10.2202</v>
          </cell>
          <cell r="BG136">
            <v>10.2202</v>
          </cell>
        </row>
        <row r="137">
          <cell r="AU137">
            <v>8.8768999999999991</v>
          </cell>
          <cell r="BG137">
            <v>8.8768999999999991</v>
          </cell>
        </row>
        <row r="138">
          <cell r="AU138">
            <v>9.4175000000000004</v>
          </cell>
          <cell r="BG138">
            <v>9.4175000000000004</v>
          </cell>
        </row>
        <row r="139">
          <cell r="AU139">
            <v>8.4526000000000003</v>
          </cell>
          <cell r="BG139">
            <v>11.572800000000001</v>
          </cell>
        </row>
        <row r="140">
          <cell r="AU140">
            <v>8.6179000000000006</v>
          </cell>
          <cell r="BG140">
            <v>11.232100000000001</v>
          </cell>
        </row>
        <row r="141">
          <cell r="AU141">
            <v>10.532299999999999</v>
          </cell>
          <cell r="BG141">
            <v>10.532299999999999</v>
          </cell>
        </row>
        <row r="142">
          <cell r="AU142">
            <v>10.5328</v>
          </cell>
          <cell r="BG142">
            <v>10.5328</v>
          </cell>
        </row>
        <row r="143">
          <cell r="AU143">
            <v>9.9923000000000002</v>
          </cell>
          <cell r="BG143">
            <v>9.9923000000000002</v>
          </cell>
        </row>
        <row r="144">
          <cell r="AU144">
            <v>9.4320000000000004</v>
          </cell>
          <cell r="BG144">
            <v>9.4320000000000004</v>
          </cell>
        </row>
        <row r="145">
          <cell r="AU145">
            <v>10.0915</v>
          </cell>
          <cell r="BG145">
            <v>10.0915</v>
          </cell>
        </row>
        <row r="146">
          <cell r="AU146">
            <v>11.3047</v>
          </cell>
          <cell r="BG146">
            <v>11.3047</v>
          </cell>
        </row>
        <row r="147">
          <cell r="AU147">
            <v>9.4611999999999998</v>
          </cell>
          <cell r="BG147">
            <v>11.859500000000001</v>
          </cell>
        </row>
        <row r="148">
          <cell r="AU148">
            <v>8.0831999999999997</v>
          </cell>
          <cell r="BG148">
            <v>9.9689999999999994</v>
          </cell>
        </row>
        <row r="149">
          <cell r="AU149">
            <v>8.6156000000000006</v>
          </cell>
          <cell r="BG149">
            <v>8.6156000000000006</v>
          </cell>
        </row>
        <row r="150">
          <cell r="AU150">
            <v>9.6187000000000005</v>
          </cell>
          <cell r="BG150">
            <v>9.6187000000000005</v>
          </cell>
        </row>
        <row r="151">
          <cell r="AU151">
            <v>2.2565</v>
          </cell>
          <cell r="BG151">
            <v>2.2565</v>
          </cell>
        </row>
        <row r="152">
          <cell r="AU152">
            <v>10.561</v>
          </cell>
          <cell r="BG152">
            <v>10.561</v>
          </cell>
        </row>
        <row r="153">
          <cell r="AU153">
            <v>10.6279</v>
          </cell>
          <cell r="BG153">
            <v>10.6279</v>
          </cell>
        </row>
        <row r="154">
          <cell r="AU154">
            <v>10.473800000000001</v>
          </cell>
          <cell r="BG154">
            <v>10.473800000000001</v>
          </cell>
        </row>
        <row r="155">
          <cell r="AU155">
            <v>10.989599999999999</v>
          </cell>
          <cell r="BG155">
            <v>10.989599999999999</v>
          </cell>
        </row>
        <row r="156">
          <cell r="AU156">
            <v>10.3903</v>
          </cell>
          <cell r="BG156">
            <v>10.3903</v>
          </cell>
        </row>
        <row r="157">
          <cell r="AU157">
            <v>10.449</v>
          </cell>
          <cell r="BG157">
            <v>10.449</v>
          </cell>
        </row>
        <row r="158">
          <cell r="AU158">
            <v>11.1492</v>
          </cell>
          <cell r="BG158">
            <v>11.1492</v>
          </cell>
        </row>
        <row r="159">
          <cell r="AU159">
            <v>10.9344</v>
          </cell>
          <cell r="BG159">
            <v>10.9344</v>
          </cell>
        </row>
        <row r="160">
          <cell r="AU160">
            <v>8.7529000000000003</v>
          </cell>
          <cell r="BG160">
            <v>8.7529000000000003</v>
          </cell>
        </row>
        <row r="161">
          <cell r="AU161">
            <v>11.082700000000001</v>
          </cell>
          <cell r="BG161">
            <v>11.082700000000001</v>
          </cell>
        </row>
        <row r="162">
          <cell r="AU162">
            <v>10.3346</v>
          </cell>
          <cell r="BG162">
            <v>10.3346</v>
          </cell>
        </row>
        <row r="163">
          <cell r="AU163">
            <v>10.6668</v>
          </cell>
          <cell r="BG163">
            <v>10.6668</v>
          </cell>
        </row>
        <row r="164">
          <cell r="AU164">
            <v>9.8702000000000005</v>
          </cell>
          <cell r="BG164">
            <v>9.8702000000000005</v>
          </cell>
        </row>
        <row r="165">
          <cell r="AU165">
            <v>10.1815</v>
          </cell>
          <cell r="BG165">
            <v>10.1815</v>
          </cell>
        </row>
        <row r="166">
          <cell r="AU166">
            <v>10.677099999999999</v>
          </cell>
          <cell r="BG166">
            <v>10.677099999999999</v>
          </cell>
        </row>
        <row r="167">
          <cell r="AU167">
            <v>10.1105</v>
          </cell>
          <cell r="BG167">
            <v>10.1105</v>
          </cell>
        </row>
        <row r="168">
          <cell r="AU168">
            <v>11.0383</v>
          </cell>
          <cell r="BG168">
            <v>11.0383</v>
          </cell>
        </row>
        <row r="169">
          <cell r="AU169">
            <v>10.5624</v>
          </cell>
          <cell r="BG169">
            <v>10.5624</v>
          </cell>
        </row>
        <row r="170">
          <cell r="AU170">
            <v>10.4489</v>
          </cell>
          <cell r="BG170">
            <v>10.4489</v>
          </cell>
        </row>
        <row r="171">
          <cell r="AU171">
            <v>10.851699999999999</v>
          </cell>
          <cell r="BG171">
            <v>10.851699999999999</v>
          </cell>
        </row>
        <row r="172">
          <cell r="AU172">
            <v>10.8887</v>
          </cell>
          <cell r="BG172">
            <v>10.8887</v>
          </cell>
        </row>
        <row r="173">
          <cell r="AU173">
            <v>11.0708</v>
          </cell>
          <cell r="BG173">
            <v>11.0708</v>
          </cell>
        </row>
        <row r="174">
          <cell r="AU174">
            <v>9.9019999999999992</v>
          </cell>
          <cell r="BG174">
            <v>9.9019999999999992</v>
          </cell>
        </row>
        <row r="175">
          <cell r="AU175">
            <v>10.0717</v>
          </cell>
          <cell r="BG175">
            <v>10.0717</v>
          </cell>
        </row>
        <row r="176">
          <cell r="AU176">
            <v>9.9817</v>
          </cell>
          <cell r="BG176">
            <v>9.9817</v>
          </cell>
        </row>
        <row r="177">
          <cell r="AU177">
            <v>9.8826999999999998</v>
          </cell>
          <cell r="BG177">
            <v>9.8826999999999998</v>
          </cell>
        </row>
        <row r="178">
          <cell r="AU178">
            <v>10.4384</v>
          </cell>
          <cell r="BG178">
            <v>10.4384</v>
          </cell>
        </row>
        <row r="179">
          <cell r="AU179">
            <v>9.7449999999999992</v>
          </cell>
          <cell r="BG179">
            <v>9.7449999999999992</v>
          </cell>
        </row>
        <row r="180">
          <cell r="AU180">
            <v>9.7630999999999997</v>
          </cell>
          <cell r="BG180">
            <v>9.7630999999999997</v>
          </cell>
        </row>
        <row r="181">
          <cell r="AU181">
            <v>9.7297999999999991</v>
          </cell>
          <cell r="BG181">
            <v>9.7297999999999991</v>
          </cell>
        </row>
        <row r="182">
          <cell r="AU182">
            <v>9.6157000000000004</v>
          </cell>
          <cell r="BG182">
            <v>12.286300000000001</v>
          </cell>
        </row>
        <row r="183">
          <cell r="AU183">
            <v>9.7446999999999999</v>
          </cell>
          <cell r="BG183">
            <v>12.5396</v>
          </cell>
        </row>
        <row r="184">
          <cell r="AU184">
            <v>9.8280999999999992</v>
          </cell>
          <cell r="BG184">
            <v>9.8280999999999992</v>
          </cell>
        </row>
        <row r="185">
          <cell r="AU185">
            <v>9.8841999999999999</v>
          </cell>
          <cell r="BG185">
            <v>9.8841999999999999</v>
          </cell>
        </row>
        <row r="186">
          <cell r="AU186">
            <v>10.1633</v>
          </cell>
          <cell r="BG186">
            <v>10.1633</v>
          </cell>
        </row>
        <row r="187">
          <cell r="AU187">
            <v>9.8833000000000002</v>
          </cell>
          <cell r="BG187">
            <v>9.8833000000000002</v>
          </cell>
        </row>
        <row r="188">
          <cell r="AU188">
            <v>9.8839000000000006</v>
          </cell>
          <cell r="BG188">
            <v>9.8839000000000006</v>
          </cell>
        </row>
        <row r="189">
          <cell r="AU189">
            <v>9.7548999999999992</v>
          </cell>
          <cell r="BG189">
            <v>9.7548999999999992</v>
          </cell>
        </row>
        <row r="190">
          <cell r="AU190">
            <v>10.318899999999999</v>
          </cell>
          <cell r="BG190">
            <v>10.318899999999999</v>
          </cell>
        </row>
        <row r="191">
          <cell r="AU191">
            <v>7.6349999999999998</v>
          </cell>
          <cell r="BG191">
            <v>7.6349999999999998</v>
          </cell>
        </row>
        <row r="192">
          <cell r="AU192">
            <v>10.196400000000001</v>
          </cell>
          <cell r="BG192">
            <v>10.196400000000001</v>
          </cell>
        </row>
        <row r="193">
          <cell r="AU193">
            <v>10.0654</v>
          </cell>
          <cell r="BG193">
            <v>10.0654</v>
          </cell>
        </row>
        <row r="194">
          <cell r="AU194">
            <v>9.5002999999999993</v>
          </cell>
          <cell r="BG194">
            <v>9.5002999999999993</v>
          </cell>
        </row>
        <row r="195">
          <cell r="AU195">
            <v>10.0571</v>
          </cell>
          <cell r="BG195">
            <v>10.0571</v>
          </cell>
        </row>
        <row r="196">
          <cell r="AU196">
            <v>10.063599999999999</v>
          </cell>
          <cell r="BG196">
            <v>10.063599999999999</v>
          </cell>
        </row>
        <row r="197">
          <cell r="AU197">
            <v>10.096299999999999</v>
          </cell>
          <cell r="BG197">
            <v>10.096299999999999</v>
          </cell>
        </row>
        <row r="198">
          <cell r="AU198">
            <v>10.8667</v>
          </cell>
          <cell r="BG198">
            <v>10.8667</v>
          </cell>
        </row>
        <row r="199">
          <cell r="AU199">
            <v>10.573</v>
          </cell>
          <cell r="BG199">
            <v>10.573</v>
          </cell>
        </row>
        <row r="200">
          <cell r="AU200">
            <v>2.2313999999999998</v>
          </cell>
          <cell r="BG200">
            <v>2.2313999999999998</v>
          </cell>
        </row>
        <row r="201">
          <cell r="AU201">
            <v>8.8423999999999996</v>
          </cell>
          <cell r="BG201">
            <v>11.117599999999999</v>
          </cell>
        </row>
        <row r="202">
          <cell r="AU202">
            <v>9.7591999999999999</v>
          </cell>
          <cell r="BG202">
            <v>9.7591999999999999</v>
          </cell>
        </row>
        <row r="203">
          <cell r="AU203">
            <v>10.1477</v>
          </cell>
          <cell r="BG203">
            <v>10.1477</v>
          </cell>
        </row>
        <row r="204">
          <cell r="AU204">
            <v>10.154400000000001</v>
          </cell>
          <cell r="BG204">
            <v>10.154400000000001</v>
          </cell>
        </row>
        <row r="205">
          <cell r="AU205">
            <v>8.8543000000000003</v>
          </cell>
          <cell r="BG205">
            <v>11.5334</v>
          </cell>
        </row>
        <row r="206">
          <cell r="AU206">
            <v>8.2463999999999995</v>
          </cell>
          <cell r="BG206">
            <v>10.416700000000001</v>
          </cell>
        </row>
        <row r="207">
          <cell r="AU207">
            <v>9.5570000000000004</v>
          </cell>
          <cell r="BG207">
            <v>9.5570000000000004</v>
          </cell>
        </row>
        <row r="208">
          <cell r="AU208">
            <v>9.7279999999999998</v>
          </cell>
          <cell r="BG208">
            <v>9.7279999999999998</v>
          </cell>
        </row>
        <row r="209">
          <cell r="AU209">
            <v>9.1682000000000006</v>
          </cell>
          <cell r="BG209">
            <v>9.1682000000000006</v>
          </cell>
        </row>
        <row r="210">
          <cell r="AU210">
            <v>10.0801</v>
          </cell>
          <cell r="BG210">
            <v>10.0801</v>
          </cell>
        </row>
        <row r="211">
          <cell r="AU211">
            <v>10.0984</v>
          </cell>
          <cell r="BG211">
            <v>10.0984</v>
          </cell>
        </row>
        <row r="212">
          <cell r="AU212">
            <v>10.647399999999999</v>
          </cell>
          <cell r="BG212">
            <v>10.647399999999999</v>
          </cell>
        </row>
        <row r="213">
          <cell r="AU213">
            <v>10.5892</v>
          </cell>
          <cell r="BG213">
            <v>10.5892</v>
          </cell>
        </row>
        <row r="214">
          <cell r="AU214">
            <v>9.9004999999999992</v>
          </cell>
          <cell r="BG214">
            <v>12.9115</v>
          </cell>
        </row>
        <row r="215">
          <cell r="AU215">
            <v>9.0088000000000008</v>
          </cell>
          <cell r="BG215">
            <v>11.8794</v>
          </cell>
        </row>
        <row r="216">
          <cell r="AU216">
            <v>10.4224</v>
          </cell>
          <cell r="BG216">
            <v>10.4224</v>
          </cell>
        </row>
        <row r="217">
          <cell r="AU217">
            <v>10.5601</v>
          </cell>
          <cell r="BG217">
            <v>10.5601</v>
          </cell>
        </row>
        <row r="218">
          <cell r="AU218">
            <v>10.053599999999999</v>
          </cell>
          <cell r="BG218">
            <v>10.053599999999999</v>
          </cell>
        </row>
        <row r="219">
          <cell r="AU219">
            <v>9.5917999999999992</v>
          </cell>
          <cell r="BG219">
            <v>9.5917999999999992</v>
          </cell>
        </row>
        <row r="220">
          <cell r="AU220">
            <v>10.824199999999999</v>
          </cell>
          <cell r="BG220">
            <v>10.824199999999999</v>
          </cell>
        </row>
        <row r="221">
          <cell r="AU221">
            <v>8.7065999999999999</v>
          </cell>
          <cell r="BG221">
            <v>10.1068</v>
          </cell>
        </row>
        <row r="222">
          <cell r="AU222">
            <v>10.271000000000001</v>
          </cell>
          <cell r="BG222">
            <v>10.271000000000001</v>
          </cell>
        </row>
        <row r="223">
          <cell r="AU223">
            <v>9.1201000000000008</v>
          </cell>
          <cell r="BG223">
            <v>9.1201000000000008</v>
          </cell>
        </row>
        <row r="224">
          <cell r="AU224">
            <v>10.0357</v>
          </cell>
          <cell r="BG224">
            <v>10.0357</v>
          </cell>
        </row>
        <row r="225">
          <cell r="AU225">
            <v>10.3164</v>
          </cell>
          <cell r="BG225">
            <v>10.3164</v>
          </cell>
        </row>
        <row r="226">
          <cell r="AU226">
            <v>9.5815000000000001</v>
          </cell>
          <cell r="BG226">
            <v>10.8376</v>
          </cell>
        </row>
        <row r="227">
          <cell r="AU227">
            <v>11.0006</v>
          </cell>
          <cell r="BG227">
            <v>11.0006</v>
          </cell>
        </row>
        <row r="228">
          <cell r="AU228">
            <v>9.5364000000000004</v>
          </cell>
          <cell r="BG228">
            <v>9.5364000000000004</v>
          </cell>
        </row>
        <row r="229">
          <cell r="AU229">
            <v>9.6059999999999999</v>
          </cell>
          <cell r="BG229">
            <v>12.1844</v>
          </cell>
        </row>
        <row r="230">
          <cell r="AU230">
            <v>9.3592999999999993</v>
          </cell>
          <cell r="BG230">
            <v>11.977</v>
          </cell>
        </row>
        <row r="231">
          <cell r="AU231">
            <v>9.1173999999999999</v>
          </cell>
          <cell r="BG231">
            <v>9.1173999999999999</v>
          </cell>
        </row>
        <row r="232">
          <cell r="AU232">
            <v>9.2622999999999998</v>
          </cell>
          <cell r="BG232">
            <v>11.992800000000001</v>
          </cell>
        </row>
        <row r="233">
          <cell r="AU233">
            <v>8.2421000000000006</v>
          </cell>
          <cell r="BG233">
            <v>10.1203</v>
          </cell>
        </row>
        <row r="234">
          <cell r="AU234">
            <v>9.2376000000000005</v>
          </cell>
          <cell r="BG234">
            <v>11.4269</v>
          </cell>
        </row>
        <row r="235">
          <cell r="AU235">
            <v>8.3789999999999996</v>
          </cell>
          <cell r="BG235">
            <v>10.2638</v>
          </cell>
        </row>
        <row r="236">
          <cell r="AU236">
            <v>10.0063</v>
          </cell>
          <cell r="BG236">
            <v>10.0063</v>
          </cell>
        </row>
        <row r="237">
          <cell r="AU237">
            <v>11.0303</v>
          </cell>
          <cell r="BG237">
            <v>12.707000000000001</v>
          </cell>
        </row>
        <row r="238">
          <cell r="AU238">
            <v>9.2859999999999996</v>
          </cell>
          <cell r="BG238">
            <v>11.3378</v>
          </cell>
        </row>
        <row r="239">
          <cell r="AU239">
            <v>13.4213</v>
          </cell>
          <cell r="BG239">
            <v>13.4213</v>
          </cell>
        </row>
        <row r="244">
          <cell r="BG244">
            <v>2422.1830999999988</v>
          </cell>
        </row>
      </sheetData>
      <sheetData sheetId="14"/>
      <sheetData sheetId="15"/>
      <sheetData sheetId="16">
        <row r="251">
          <cell r="HZ251">
            <v>-17107</v>
          </cell>
        </row>
      </sheetData>
      <sheetData sheetId="17"/>
      <sheetData sheetId="18">
        <row r="1">
          <cell r="A1">
            <v>8.7279137375245721</v>
          </cell>
          <cell r="B1">
            <v>10.590676593906409</v>
          </cell>
          <cell r="Q1">
            <v>10.590676593906409</v>
          </cell>
        </row>
        <row r="24">
          <cell r="AYY24">
            <v>42412.679863760852</v>
          </cell>
        </row>
        <row r="25">
          <cell r="AYY25">
            <v>87790.895733547004</v>
          </cell>
        </row>
        <row r="26">
          <cell r="AYY26">
            <v>42767.141863055542</v>
          </cell>
        </row>
        <row r="27">
          <cell r="AYY27">
            <v>87948.618811228182</v>
          </cell>
        </row>
        <row r="28">
          <cell r="AYY28">
            <v>28262.564555096451</v>
          </cell>
        </row>
        <row r="29">
          <cell r="AYY29">
            <v>61879.909285119313</v>
          </cell>
        </row>
        <row r="30">
          <cell r="AYY30">
            <v>46792.21602640635</v>
          </cell>
        </row>
        <row r="31">
          <cell r="AYY31">
            <v>68282.743347122174</v>
          </cell>
        </row>
        <row r="32">
          <cell r="AYY32">
            <v>5354.5947240835903</v>
          </cell>
        </row>
        <row r="33">
          <cell r="AYY33">
            <v>69419.412264375584</v>
          </cell>
        </row>
        <row r="34">
          <cell r="AYY34">
            <v>69668.624020958101</v>
          </cell>
        </row>
        <row r="35">
          <cell r="AYY35">
            <v>67528.195046155146</v>
          </cell>
        </row>
        <row r="36">
          <cell r="AYY36">
            <v>62078.945819079672</v>
          </cell>
        </row>
        <row r="37">
          <cell r="AYY37">
            <v>9945.4135692422296</v>
          </cell>
        </row>
        <row r="38">
          <cell r="AYY38">
            <v>9437.4034744025412</v>
          </cell>
        </row>
        <row r="39">
          <cell r="AYY39">
            <v>7563.9029988096481</v>
          </cell>
        </row>
        <row r="40">
          <cell r="AYY40">
            <v>8685.7818903462285</v>
          </cell>
        </row>
        <row r="41">
          <cell r="AYY41">
            <v>9747.559435594736</v>
          </cell>
        </row>
        <row r="42">
          <cell r="AYY42">
            <v>265.53681935266161</v>
          </cell>
        </row>
        <row r="43">
          <cell r="AYY43">
            <v>37433.456969037652</v>
          </cell>
        </row>
        <row r="44">
          <cell r="AYY44">
            <v>28913.67482331246</v>
          </cell>
        </row>
        <row r="45">
          <cell r="AYY45">
            <v>15382.993983992645</v>
          </cell>
        </row>
        <row r="46">
          <cell r="AYY46">
            <v>16472.906638334054</v>
          </cell>
        </row>
        <row r="47">
          <cell r="AYY47">
            <v>28395.72444525205</v>
          </cell>
        </row>
        <row r="48">
          <cell r="AYY48">
            <v>87919.911322248823</v>
          </cell>
        </row>
        <row r="49">
          <cell r="AYY49">
            <v>28961.426666487314</v>
          </cell>
        </row>
        <row r="50">
          <cell r="AYY50">
            <v>108403.38310461164</v>
          </cell>
        </row>
        <row r="51">
          <cell r="AYY51">
            <v>28458.531663476224</v>
          </cell>
        </row>
        <row r="52">
          <cell r="AYY52">
            <v>88516.551199083711</v>
          </cell>
        </row>
        <row r="53">
          <cell r="AYY53">
            <v>41299.187174659703</v>
          </cell>
        </row>
        <row r="54">
          <cell r="AYY54">
            <v>44431.923386022689</v>
          </cell>
        </row>
        <row r="55">
          <cell r="AYY55">
            <v>29008.235547893932</v>
          </cell>
        </row>
        <row r="56">
          <cell r="AYY56">
            <v>29888.964500151567</v>
          </cell>
        </row>
        <row r="57">
          <cell r="AYY57">
            <v>49244.503301273966</v>
          </cell>
        </row>
        <row r="58">
          <cell r="AYY58">
            <v>112954.96556057883</v>
          </cell>
        </row>
        <row r="59">
          <cell r="AYY59">
            <v>61168.294952168035</v>
          </cell>
        </row>
        <row r="60">
          <cell r="AYY60">
            <v>43499.370800945893</v>
          </cell>
        </row>
        <row r="61">
          <cell r="AYY61">
            <v>56377.655138970273</v>
          </cell>
        </row>
        <row r="62">
          <cell r="AYY62">
            <v>100531.66733102319</v>
          </cell>
        </row>
        <row r="63">
          <cell r="AYY63">
            <v>58904.914127568009</v>
          </cell>
        </row>
        <row r="64">
          <cell r="AYY64">
            <v>42967.816936044401</v>
          </cell>
        </row>
        <row r="65">
          <cell r="AYY65">
            <v>47906.742950033171</v>
          </cell>
        </row>
        <row r="66">
          <cell r="AYY66">
            <v>54217.086321018221</v>
          </cell>
        </row>
        <row r="67">
          <cell r="AYY67">
            <v>73030.12898433501</v>
          </cell>
        </row>
        <row r="68">
          <cell r="AYY68">
            <v>48277.96139729063</v>
          </cell>
        </row>
        <row r="69">
          <cell r="AYY69">
            <v>41483.632588915156</v>
          </cell>
        </row>
        <row r="70">
          <cell r="AYY70">
            <v>52030.087718022427</v>
          </cell>
        </row>
        <row r="71">
          <cell r="AYY71">
            <v>51321.895680434631</v>
          </cell>
        </row>
        <row r="72">
          <cell r="AYY72">
            <v>24821.562078274681</v>
          </cell>
        </row>
        <row r="73">
          <cell r="AYY73">
            <v>21996.991465118426</v>
          </cell>
        </row>
        <row r="74">
          <cell r="AYY74">
            <v>29684.296063586597</v>
          </cell>
        </row>
        <row r="75">
          <cell r="AYY75">
            <v>46680.434992962888</v>
          </cell>
        </row>
        <row r="76">
          <cell r="AYY76">
            <v>27093.411783745196</v>
          </cell>
        </row>
        <row r="77">
          <cell r="AYY77">
            <v>48919.104663786922</v>
          </cell>
        </row>
        <row r="78">
          <cell r="AYY78">
            <v>52899.938974727971</v>
          </cell>
        </row>
        <row r="79">
          <cell r="AYY79">
            <v>66115.84539333111</v>
          </cell>
        </row>
        <row r="80">
          <cell r="AYY80">
            <v>24656.424142675063</v>
          </cell>
        </row>
        <row r="81">
          <cell r="AYY81">
            <v>60519.976736258948</v>
          </cell>
        </row>
        <row r="82">
          <cell r="AYY82">
            <v>31246.28529978107</v>
          </cell>
        </row>
        <row r="83">
          <cell r="AYY83">
            <v>34031.035872104672</v>
          </cell>
        </row>
        <row r="84">
          <cell r="AYY84">
            <v>69709.854305933142</v>
          </cell>
        </row>
        <row r="85">
          <cell r="AYY85">
            <v>28674.663851260346</v>
          </cell>
        </row>
        <row r="86">
          <cell r="AYY86">
            <v>30528.285117182251</v>
          </cell>
        </row>
        <row r="87">
          <cell r="AYY87">
            <v>30428.446796064913</v>
          </cell>
        </row>
        <row r="88">
          <cell r="AYY88">
            <v>26857.774823202995</v>
          </cell>
        </row>
        <row r="89">
          <cell r="AYY89">
            <v>48430.202175969163</v>
          </cell>
        </row>
        <row r="90">
          <cell r="AYY90">
            <v>27307.152761066343</v>
          </cell>
        </row>
        <row r="91">
          <cell r="AYY91">
            <v>43806.444492073264</v>
          </cell>
        </row>
        <row r="92">
          <cell r="AYY92">
            <v>28893.146001410634</v>
          </cell>
        </row>
        <row r="93">
          <cell r="AYY93">
            <v>27782.216730227105</v>
          </cell>
        </row>
        <row r="94">
          <cell r="AYY94">
            <v>27751.994414819052</v>
          </cell>
        </row>
        <row r="95">
          <cell r="AYY95">
            <v>26915.148541599912</v>
          </cell>
        </row>
        <row r="96">
          <cell r="AYY96">
            <v>112512.89682667852</v>
          </cell>
        </row>
        <row r="97">
          <cell r="AYY97">
            <v>25852.24328899397</v>
          </cell>
        </row>
        <row r="98">
          <cell r="AYY98">
            <v>26062.950707084168</v>
          </cell>
        </row>
        <row r="99">
          <cell r="AYY99">
            <v>25805.244668708812</v>
          </cell>
        </row>
        <row r="100">
          <cell r="AYY100">
            <v>62895.230658617686</v>
          </cell>
        </row>
        <row r="101">
          <cell r="AYY101">
            <v>55731.593516073401</v>
          </cell>
        </row>
        <row r="102">
          <cell r="AYY102">
            <v>66910.855308686791</v>
          </cell>
        </row>
        <row r="103">
          <cell r="AYY103">
            <v>104228.05494572128</v>
          </cell>
        </row>
        <row r="104">
          <cell r="AYY104">
            <v>120894.02042548935</v>
          </cell>
        </row>
        <row r="105">
          <cell r="AYY105">
            <v>113126.4770912103</v>
          </cell>
        </row>
        <row r="106">
          <cell r="AYY106">
            <v>88579.337556939005</v>
          </cell>
        </row>
        <row r="107">
          <cell r="AYY107">
            <v>90509.762472675531</v>
          </cell>
        </row>
        <row r="108">
          <cell r="AYY108">
            <v>90052.164596194649</v>
          </cell>
        </row>
        <row r="109">
          <cell r="AYY109">
            <v>25906.81477782247</v>
          </cell>
        </row>
        <row r="110">
          <cell r="AYY110">
            <v>16899.48024585118</v>
          </cell>
        </row>
        <row r="111">
          <cell r="AYY111">
            <v>35223.084431208226</v>
          </cell>
        </row>
        <row r="112">
          <cell r="AYY112">
            <v>25798.854749327224</v>
          </cell>
        </row>
        <row r="113">
          <cell r="AYY113">
            <v>22582.950445077586</v>
          </cell>
        </row>
        <row r="114">
          <cell r="AYY114">
            <v>110638.54342389781</v>
          </cell>
        </row>
        <row r="115">
          <cell r="AYY115">
            <v>64390.434575357518</v>
          </cell>
        </row>
        <row r="116">
          <cell r="AYY116">
            <v>53559.993512912311</v>
          </cell>
        </row>
        <row r="117">
          <cell r="AYY117">
            <v>28811.160608408467</v>
          </cell>
        </row>
        <row r="118">
          <cell r="AYY118">
            <v>46754.990204669419</v>
          </cell>
        </row>
        <row r="119">
          <cell r="AYY119">
            <v>27136.765328789632</v>
          </cell>
        </row>
        <row r="120">
          <cell r="AYY120">
            <v>27888.367510669439</v>
          </cell>
        </row>
        <row r="121">
          <cell r="AYY121">
            <v>28289.555312021072</v>
          </cell>
        </row>
        <row r="122">
          <cell r="AYY122">
            <v>27694.70963780105</v>
          </cell>
        </row>
        <row r="123">
          <cell r="AYY123">
            <v>21828.900506692891</v>
          </cell>
        </row>
        <row r="124">
          <cell r="AYY124">
            <v>21922.332424078821</v>
          </cell>
        </row>
        <row r="125">
          <cell r="AYY125">
            <v>31706.42264967056</v>
          </cell>
        </row>
        <row r="126">
          <cell r="AYY126">
            <v>22113.167323478719</v>
          </cell>
        </row>
        <row r="127">
          <cell r="AYY127">
            <v>21928.46518996908</v>
          </cell>
        </row>
        <row r="128">
          <cell r="AYY128">
            <v>27547.631460360604</v>
          </cell>
        </row>
        <row r="129">
          <cell r="AYY129">
            <v>56467.533640639223</v>
          </cell>
        </row>
        <row r="130">
          <cell r="AYY130">
            <v>28711.696058725047</v>
          </cell>
        </row>
        <row r="131">
          <cell r="AYY131">
            <v>17239.553442734061</v>
          </cell>
        </row>
        <row r="132">
          <cell r="AYY132">
            <v>46565.069176031175</v>
          </cell>
        </row>
        <row r="133">
          <cell r="AYY133">
            <v>16994.688462930855</v>
          </cell>
        </row>
        <row r="134">
          <cell r="AYY134">
            <v>45835.222267665609</v>
          </cell>
        </row>
        <row r="135">
          <cell r="AYY135">
            <v>28805.56914717811</v>
          </cell>
        </row>
        <row r="136">
          <cell r="AYY136">
            <v>46536.680297027735</v>
          </cell>
        </row>
        <row r="137">
          <cell r="AYY137">
            <v>27202.767601677173</v>
          </cell>
        </row>
        <row r="138">
          <cell r="AYY138">
            <v>43255.410589781241</v>
          </cell>
        </row>
        <row r="139">
          <cell r="AYY139">
            <v>21024.08643811426</v>
          </cell>
        </row>
        <row r="140">
          <cell r="AYY140">
            <v>27832.30643572408</v>
          </cell>
        </row>
        <row r="141">
          <cell r="AYY141">
            <v>45017.40810760203</v>
          </cell>
        </row>
        <row r="142">
          <cell r="AYY142">
            <v>45962.866551378494</v>
          </cell>
        </row>
        <row r="143">
          <cell r="AYY143">
            <v>42050.328134720927</v>
          </cell>
        </row>
        <row r="144">
          <cell r="AYY144">
            <v>28849.929116071526</v>
          </cell>
        </row>
        <row r="145">
          <cell r="AYY145">
            <v>28843.976059261968</v>
          </cell>
        </row>
        <row r="146">
          <cell r="AYY146">
            <v>39812.047198581335</v>
          </cell>
        </row>
        <row r="147">
          <cell r="AYY147">
            <v>30319.005044480749</v>
          </cell>
        </row>
        <row r="148">
          <cell r="AYY148">
            <v>31313.21833162877</v>
          </cell>
        </row>
        <row r="149">
          <cell r="AYY149">
            <v>44343.533174070973</v>
          </cell>
        </row>
        <row r="150">
          <cell r="AYY150">
            <v>26536.307105848729</v>
          </cell>
        </row>
        <row r="151">
          <cell r="AYY151">
            <v>28266.232618989885</v>
          </cell>
        </row>
        <row r="152">
          <cell r="AYY152">
            <v>28399.551510620935</v>
          </cell>
        </row>
        <row r="153">
          <cell r="AYY153">
            <v>31624.275163729624</v>
          </cell>
        </row>
        <row r="154">
          <cell r="AYY154">
            <v>69998.513746697063</v>
          </cell>
        </row>
        <row r="155">
          <cell r="AYY155">
            <v>65593.37085235324</v>
          </cell>
        </row>
        <row r="156">
          <cell r="AYY156">
            <v>28891.334122287502</v>
          </cell>
        </row>
        <row r="157">
          <cell r="AYY157">
            <v>29051.043009086734</v>
          </cell>
        </row>
        <row r="158">
          <cell r="AYY158">
            <v>58438.710178733112</v>
          </cell>
        </row>
        <row r="159">
          <cell r="AYY159">
            <v>42257.773160456854</v>
          </cell>
        </row>
        <row r="160">
          <cell r="AYY160">
            <v>27820.846155547373</v>
          </cell>
        </row>
        <row r="161">
          <cell r="AYY161">
            <v>36243.077354809757</v>
          </cell>
        </row>
        <row r="162">
          <cell r="AYY162">
            <v>128694.40369339351</v>
          </cell>
        </row>
        <row r="163">
          <cell r="AYY163">
            <v>62433.691157231486</v>
          </cell>
        </row>
        <row r="164">
          <cell r="AYY164">
            <v>3360.2098560163568</v>
          </cell>
        </row>
        <row r="165">
          <cell r="AYY165">
            <v>3452.9314914114966</v>
          </cell>
        </row>
        <row r="166">
          <cell r="AYY166">
            <v>142.57144272925254</v>
          </cell>
        </row>
        <row r="167">
          <cell r="AYY167">
            <v>9866.2018579132855</v>
          </cell>
        </row>
        <row r="168">
          <cell r="AYY168">
            <v>10997.974801386055</v>
          </cell>
        </row>
        <row r="169">
          <cell r="AYY169">
            <v>20063.411359711125</v>
          </cell>
        </row>
        <row r="170">
          <cell r="AYY170">
            <v>42898.442091348959</v>
          </cell>
        </row>
        <row r="171">
          <cell r="AYY171">
            <v>9682.1585450948296</v>
          </cell>
        </row>
        <row r="172">
          <cell r="AYY172">
            <v>15362.212108652584</v>
          </cell>
        </row>
        <row r="173">
          <cell r="AYY173">
            <v>11783.31281542447</v>
          </cell>
        </row>
        <row r="174">
          <cell r="AYY174">
            <v>10238.088584641921</v>
          </cell>
        </row>
        <row r="175">
          <cell r="AYY175">
            <v>39737.774294846575</v>
          </cell>
        </row>
        <row r="176">
          <cell r="AYY176">
            <v>11878.154005470959</v>
          </cell>
        </row>
        <row r="177">
          <cell r="AYY177">
            <v>16654.380090959239</v>
          </cell>
        </row>
        <row r="178">
          <cell r="AYY178">
            <v>8405.6095198815674</v>
          </cell>
        </row>
        <row r="179">
          <cell r="AYY179">
            <v>13813.882699255617</v>
          </cell>
        </row>
        <row r="180">
          <cell r="AYY180">
            <v>7249.7097875911522</v>
          </cell>
        </row>
        <row r="181">
          <cell r="AYY181">
            <v>9927.9096804462661</v>
          </cell>
        </row>
        <row r="182">
          <cell r="AYY182">
            <v>15894.811650875206</v>
          </cell>
        </row>
        <row r="183">
          <cell r="AYY183">
            <v>9344.3015876245427</v>
          </cell>
        </row>
        <row r="184">
          <cell r="AYY184">
            <v>9812.4310681456172</v>
          </cell>
        </row>
        <row r="185">
          <cell r="AYY185">
            <v>14463.446803160923</v>
          </cell>
        </row>
        <row r="186">
          <cell r="AYY186">
            <v>10338.406191482805</v>
          </cell>
        </row>
        <row r="187">
          <cell r="AYY187">
            <v>10316.2378050793</v>
          </cell>
        </row>
        <row r="188">
          <cell r="AYY188">
            <v>8769.645101271577</v>
          </cell>
        </row>
        <row r="189">
          <cell r="AYY189">
            <v>45639.576393551877</v>
          </cell>
        </row>
        <row r="190">
          <cell r="AYY190">
            <v>27616.327599529908</v>
          </cell>
        </row>
        <row r="191">
          <cell r="AYY191">
            <v>27444.828846474786</v>
          </cell>
        </row>
        <row r="192">
          <cell r="AYY192">
            <v>44473.233609643583</v>
          </cell>
        </row>
        <row r="193">
          <cell r="AYY193">
            <v>28957.073900756943</v>
          </cell>
        </row>
        <row r="194">
          <cell r="AYY194">
            <v>28545.935029145174</v>
          </cell>
        </row>
        <row r="195">
          <cell r="AYY195">
            <v>42475.271906909482</v>
          </cell>
        </row>
        <row r="196">
          <cell r="AYY196">
            <v>43912.452450299708</v>
          </cell>
        </row>
        <row r="197">
          <cell r="AYY197">
            <v>67638.111424466275</v>
          </cell>
        </row>
        <row r="198">
          <cell r="AYY198">
            <v>68994.77281824821</v>
          </cell>
        </row>
        <row r="199">
          <cell r="AYY199">
            <v>58578.53790576179</v>
          </cell>
        </row>
        <row r="200">
          <cell r="AYY200">
            <v>28675.461497783388</v>
          </cell>
        </row>
        <row r="201">
          <cell r="AYY201">
            <v>29566.118818286683</v>
          </cell>
        </row>
        <row r="202">
          <cell r="AYY202">
            <v>28444.410375803938</v>
          </cell>
        </row>
        <row r="203">
          <cell r="AYY203">
            <v>28411.002178244944</v>
          </cell>
        </row>
        <row r="204">
          <cell r="AYY204">
            <v>18442.451702795013</v>
          </cell>
        </row>
        <row r="205">
          <cell r="AYY205">
            <v>28328.523190963151</v>
          </cell>
        </row>
        <row r="206">
          <cell r="AYY206">
            <v>25290.531370011297</v>
          </cell>
        </row>
        <row r="207">
          <cell r="AYY207">
            <v>16270.542050324166</v>
          </cell>
        </row>
        <row r="208">
          <cell r="AYY208">
            <v>3444.0798156213632</v>
          </cell>
        </row>
        <row r="209">
          <cell r="AYY209">
            <v>23381.132542010026</v>
          </cell>
        </row>
        <row r="210">
          <cell r="AYY210">
            <v>15169.450344469833</v>
          </cell>
        </row>
        <row r="211">
          <cell r="AYY211">
            <v>6247.9313443823667</v>
          </cell>
        </row>
        <row r="212">
          <cell r="AYY212">
            <v>2656.5056136012813</v>
          </cell>
        </row>
        <row r="213">
          <cell r="AYY213">
            <v>10090.992448034498</v>
          </cell>
        </row>
        <row r="214">
          <cell r="AYY214">
            <v>9832.3549134969853</v>
          </cell>
        </row>
        <row r="215">
          <cell r="AYY215">
            <v>381.48200776916354</v>
          </cell>
        </row>
        <row r="216">
          <cell r="AYY216">
            <v>64710.750159581337</v>
          </cell>
        </row>
        <row r="217">
          <cell r="AYY217">
            <v>16738.912722914381</v>
          </cell>
        </row>
        <row r="218">
          <cell r="AYY218">
            <v>17411.807091995139</v>
          </cell>
        </row>
        <row r="219">
          <cell r="AYY219">
            <v>17279.757750638266</v>
          </cell>
        </row>
        <row r="220">
          <cell r="AYY220">
            <v>62211.713815684307</v>
          </cell>
        </row>
        <row r="221">
          <cell r="AYY221">
            <v>107939.96853988894</v>
          </cell>
        </row>
        <row r="222">
          <cell r="AYY222">
            <v>32717.228403918856</v>
          </cell>
        </row>
        <row r="223">
          <cell r="AYY223">
            <v>16691.906141874399</v>
          </cell>
        </row>
        <row r="224">
          <cell r="AYY224">
            <v>15650.109157185008</v>
          </cell>
        </row>
        <row r="225">
          <cell r="AYY225">
            <v>46314.781190959729</v>
          </cell>
        </row>
        <row r="226">
          <cell r="AYY226">
            <v>45201.003759817431</v>
          </cell>
        </row>
        <row r="227">
          <cell r="AYY227">
            <v>29368.974115687954</v>
          </cell>
        </row>
        <row r="228">
          <cell r="AYY228">
            <v>47245.242044103456</v>
          </cell>
        </row>
        <row r="229">
          <cell r="AYY229">
            <v>53415.650457045573</v>
          </cell>
        </row>
        <row r="230">
          <cell r="AYY230">
            <v>85408.829610736182</v>
          </cell>
        </row>
        <row r="231">
          <cell r="AYY231">
            <v>28800.414116543481</v>
          </cell>
        </row>
        <row r="232">
          <cell r="AYY232">
            <v>29027.485992695412</v>
          </cell>
        </row>
        <row r="233">
          <cell r="AYY233">
            <v>58651.941116611604</v>
          </cell>
        </row>
        <row r="234">
          <cell r="AYY234">
            <v>26770.867191631161</v>
          </cell>
        </row>
        <row r="235">
          <cell r="AYY235">
            <v>46780.844041800017</v>
          </cell>
        </row>
        <row r="236">
          <cell r="AYY236">
            <v>33914.937149578851</v>
          </cell>
        </row>
        <row r="237">
          <cell r="AYY237">
            <v>27884.472665016594</v>
          </cell>
        </row>
        <row r="238">
          <cell r="AYY238">
            <v>20479.464276861439</v>
          </cell>
        </row>
        <row r="239">
          <cell r="AYY239">
            <v>27648.335351587048</v>
          </cell>
        </row>
        <row r="240">
          <cell r="AYY240">
            <v>28295.342270380796</v>
          </cell>
        </row>
        <row r="241">
          <cell r="AYY241">
            <v>46522.981651108879</v>
          </cell>
        </row>
        <row r="242">
          <cell r="AYY242">
            <v>30861.957860409151</v>
          </cell>
        </row>
        <row r="243">
          <cell r="AYY243">
            <v>30514.356686100007</v>
          </cell>
        </row>
        <row r="244">
          <cell r="AYY244">
            <v>22501.138572123764</v>
          </cell>
        </row>
        <row r="245">
          <cell r="AYY245">
            <v>44200.417319350694</v>
          </cell>
        </row>
        <row r="246">
          <cell r="AYY246">
            <v>52676.485086254732</v>
          </cell>
        </row>
        <row r="247">
          <cell r="AYY247">
            <v>46124.191942283243</v>
          </cell>
        </row>
        <row r="248">
          <cell r="AYY248">
            <v>93469.448051796178</v>
          </cell>
        </row>
        <row r="249">
          <cell r="AYY249">
            <v>27425.443234580252</v>
          </cell>
        </row>
        <row r="250">
          <cell r="AYY250">
            <v>45722.524644853511</v>
          </cell>
        </row>
        <row r="251">
          <cell r="AYY251">
            <v>3958.1104175277846</v>
          </cell>
        </row>
        <row r="252">
          <cell r="AYY252">
            <v>71659.192163842396</v>
          </cell>
        </row>
        <row r="253">
          <cell r="AYY253">
            <v>46817.43460714176</v>
          </cell>
        </row>
        <row r="254">
          <cell r="AYY254">
            <v>15771.104575783002</v>
          </cell>
        </row>
        <row r="258">
          <cell r="L258">
            <v>1368</v>
          </cell>
          <cell r="M258">
            <v>767</v>
          </cell>
          <cell r="O258">
            <v>840942.55999999982</v>
          </cell>
          <cell r="P258">
            <v>832217.09999999939</v>
          </cell>
          <cell r="Q258">
            <v>8418.5600000000013</v>
          </cell>
          <cell r="R258">
            <v>306.89999999999998</v>
          </cell>
          <cell r="T258">
            <v>840555.96</v>
          </cell>
          <cell r="V258">
            <v>383661.88000000012</v>
          </cell>
        </row>
        <row r="259">
          <cell r="AYQ259">
            <v>9.8671403948754843</v>
          </cell>
        </row>
        <row r="261">
          <cell r="CP261">
            <v>21.130400000000012</v>
          </cell>
          <cell r="EF261">
            <v>67.387799999999984</v>
          </cell>
          <cell r="FU261">
            <v>14.156599999999994</v>
          </cell>
          <cell r="HG261">
            <v>5.3205999999999953</v>
          </cell>
          <cell r="IP261">
            <v>94.293099999999967</v>
          </cell>
          <cell r="JK261">
            <v>0</v>
          </cell>
          <cell r="KO261">
            <v>143.48750000000007</v>
          </cell>
          <cell r="MK261">
            <v>124.29859999999999</v>
          </cell>
          <cell r="MW261">
            <v>1.1883999999999999</v>
          </cell>
          <cell r="NV261">
            <v>44.570299999999996</v>
          </cell>
          <cell r="OE261">
            <v>0</v>
          </cell>
          <cell r="XU261">
            <v>444.54350000000022</v>
          </cell>
          <cell r="ZH261">
            <v>49.060000000000016</v>
          </cell>
          <cell r="AAR261">
            <v>72.764099999999956</v>
          </cell>
          <cell r="ABX261">
            <v>20.713100000000008</v>
          </cell>
          <cell r="ADD261">
            <v>20.224300000000007</v>
          </cell>
          <cell r="AEK261">
            <v>10.347000000000001</v>
          </cell>
          <cell r="AFU261">
            <v>31.542699999999993</v>
          </cell>
          <cell r="AHE261">
            <v>7.2282999999999973</v>
          </cell>
          <cell r="AIH261">
            <v>0</v>
          </cell>
          <cell r="AKD261">
            <v>515.63819999999964</v>
          </cell>
          <cell r="ALF261">
            <v>296.48850000000004</v>
          </cell>
          <cell r="APO261">
            <v>18.799700000000005</v>
          </cell>
          <cell r="AQZ261">
            <v>130.89629999999997</v>
          </cell>
          <cell r="ARP261">
            <v>12.069699999999996</v>
          </cell>
          <cell r="ASF261">
            <v>1.9588999999999994</v>
          </cell>
          <cell r="ASW261">
            <v>81.620999999999995</v>
          </cell>
          <cell r="ATS261">
            <v>39.567099999999996</v>
          </cell>
          <cell r="AVU26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70C0"/>
    <pageSetUpPr fitToPage="1"/>
  </sheetPr>
  <dimension ref="B1:H71"/>
  <sheetViews>
    <sheetView zoomScale="58" zoomScaleNormal="58" workbookViewId="0">
      <selection activeCell="B15" sqref="B15:G15"/>
    </sheetView>
  </sheetViews>
  <sheetFormatPr defaultRowHeight="14.4" x14ac:dyDescent="0.3"/>
  <cols>
    <col min="1" max="1" width="4" style="32" customWidth="1"/>
    <col min="2" max="2" width="11.44140625" style="32" customWidth="1"/>
    <col min="3" max="3" width="108.33203125" style="32" customWidth="1"/>
    <col min="4" max="4" width="20.6640625" style="32" customWidth="1"/>
    <col min="5" max="5" width="19.109375" style="32" customWidth="1"/>
    <col min="6" max="6" width="39.33203125" style="32" customWidth="1"/>
    <col min="7" max="7" width="37.5546875" style="32" customWidth="1"/>
    <col min="8" max="8" width="20.33203125" style="32" customWidth="1"/>
    <col min="9" max="16384" width="8.88671875" style="32"/>
  </cols>
  <sheetData>
    <row r="1" spans="2:8" ht="30" x14ac:dyDescent="0.5">
      <c r="B1" s="451" t="s">
        <v>973</v>
      </c>
      <c r="C1" s="451"/>
      <c r="D1" s="451"/>
      <c r="E1" s="451"/>
      <c r="F1" s="451"/>
      <c r="G1" s="451"/>
    </row>
    <row r="2" spans="2:8" ht="7.2" customHeight="1" x14ac:dyDescent="0.4">
      <c r="B2" s="405"/>
      <c r="C2" s="405"/>
      <c r="D2" s="405"/>
      <c r="E2" s="405"/>
      <c r="F2" s="405"/>
      <c r="G2" s="405"/>
    </row>
    <row r="3" spans="2:8" ht="77.400000000000006" customHeight="1" x14ac:dyDescent="0.45">
      <c r="B3" s="452" t="s">
        <v>963</v>
      </c>
      <c r="C3" s="452"/>
      <c r="D3" s="452"/>
      <c r="E3" s="452"/>
      <c r="F3" s="452"/>
      <c r="G3" s="452"/>
    </row>
    <row r="4" spans="2:8" ht="98.4" customHeight="1" x14ac:dyDescent="0.45">
      <c r="B4" s="452" t="s">
        <v>960</v>
      </c>
      <c r="C4" s="452"/>
      <c r="D4" s="452"/>
      <c r="E4" s="452"/>
      <c r="F4" s="452"/>
      <c r="G4" s="452"/>
    </row>
    <row r="5" spans="2:8" ht="78" customHeight="1" x14ac:dyDescent="0.45">
      <c r="B5" s="452" t="s">
        <v>959</v>
      </c>
      <c r="C5" s="452"/>
      <c r="D5" s="452"/>
      <c r="E5" s="452"/>
      <c r="F5" s="452"/>
      <c r="G5" s="452"/>
    </row>
    <row r="6" spans="2:8" ht="46.8" customHeight="1" x14ac:dyDescent="0.45">
      <c r="B6" s="452" t="s">
        <v>961</v>
      </c>
      <c r="C6" s="452"/>
      <c r="D6" s="452"/>
      <c r="E6" s="452"/>
      <c r="F6" s="452"/>
      <c r="G6" s="452"/>
    </row>
    <row r="9" spans="2:8" s="423" customFormat="1" ht="24.6" x14ac:dyDescent="0.45">
      <c r="B9" s="546">
        <f>VLOOKUP($D$17,'відом з 01.05.26 поверх'!$C$8:$BI$244,3,FALSE)</f>
        <v>3</v>
      </c>
      <c r="C9" s="547" t="s">
        <v>389</v>
      </c>
      <c r="E9" s="350"/>
      <c r="F9" s="424"/>
      <c r="G9" s="355" t="s">
        <v>320</v>
      </c>
      <c r="H9" s="32"/>
    </row>
    <row r="10" spans="2:8" ht="22.8" x14ac:dyDescent="0.3">
      <c r="B10" s="548">
        <f>VLOOKUP($D$17,'відом з 01.05.26 поверх'!$C$8:$BI$244,4,FALSE)</f>
        <v>2</v>
      </c>
      <c r="C10" s="549" t="s">
        <v>950</v>
      </c>
      <c r="E10" s="402" t="s">
        <v>321</v>
      </c>
      <c r="F10" s="425" t="str">
        <f>VLOOKUP($D$17,'відом з 01.05.26 поверх'!$C$8:$BI$244,5,FALSE)</f>
        <v>№ 4/35</v>
      </c>
      <c r="G10" s="352" t="s">
        <v>388</v>
      </c>
    </row>
    <row r="11" spans="2:8" ht="22.8" x14ac:dyDescent="0.3">
      <c r="B11" s="1"/>
      <c r="C11" s="5"/>
      <c r="E11" s="426" t="s">
        <v>387</v>
      </c>
      <c r="F11" s="352"/>
      <c r="G11" s="352"/>
    </row>
    <row r="12" spans="2:8" ht="23.4" x14ac:dyDescent="0.45">
      <c r="B12" s="1"/>
      <c r="C12" s="5"/>
      <c r="E12" s="353" t="s">
        <v>964</v>
      </c>
      <c r="F12" s="424"/>
      <c r="G12" s="426"/>
    </row>
    <row r="13" spans="2:8" ht="4.8" customHeight="1" x14ac:dyDescent="0.3">
      <c r="B13" s="1"/>
      <c r="C13" s="1"/>
      <c r="D13" s="2"/>
      <c r="E13" s="29"/>
      <c r="F13" s="2"/>
      <c r="G13" s="2"/>
    </row>
    <row r="14" spans="2:8" ht="27.6" x14ac:dyDescent="0.3">
      <c r="B14" s="443" t="s">
        <v>322</v>
      </c>
      <c r="C14" s="443"/>
      <c r="D14" s="443"/>
      <c r="E14" s="443"/>
      <c r="F14" s="443"/>
      <c r="G14" s="443"/>
    </row>
    <row r="15" spans="2:8" ht="28.2" x14ac:dyDescent="0.3">
      <c r="B15" s="442" t="s">
        <v>323</v>
      </c>
      <c r="C15" s="442"/>
      <c r="D15" s="442"/>
      <c r="E15" s="442"/>
      <c r="F15" s="442"/>
      <c r="G15" s="442"/>
    </row>
    <row r="16" spans="2:8" ht="20.399999999999999" x14ac:dyDescent="0.3">
      <c r="B16" s="66"/>
      <c r="C16" s="66"/>
      <c r="D16" s="66"/>
      <c r="E16" s="66"/>
      <c r="F16" s="66"/>
      <c r="G16" s="66"/>
    </row>
    <row r="17" spans="2:7" ht="25.2" x14ac:dyDescent="0.3">
      <c r="B17" s="66"/>
      <c r="C17" s="404" t="s">
        <v>324</v>
      </c>
      <c r="D17" s="453" t="s">
        <v>777</v>
      </c>
      <c r="E17" s="453"/>
      <c r="F17" s="453"/>
      <c r="G17" s="453"/>
    </row>
    <row r="18" spans="2:7" ht="17.399999999999999" x14ac:dyDescent="0.3">
      <c r="B18" s="23"/>
      <c r="C18" s="23"/>
      <c r="D18" s="454" t="s">
        <v>325</v>
      </c>
      <c r="E18" s="454"/>
      <c r="F18" s="454"/>
      <c r="G18" s="454"/>
    </row>
    <row r="19" spans="2:7" x14ac:dyDescent="0.3">
      <c r="B19" s="1"/>
      <c r="C19" s="1"/>
      <c r="D19" s="2"/>
      <c r="E19" s="2"/>
      <c r="F19" s="2"/>
      <c r="G19" s="6"/>
    </row>
    <row r="20" spans="2:7" ht="23.4" x14ac:dyDescent="0.45">
      <c r="F20" s="427" t="s">
        <v>953</v>
      </c>
      <c r="G20" s="428" t="s">
        <v>410</v>
      </c>
    </row>
    <row r="21" spans="2:7" ht="104.4" x14ac:dyDescent="0.3">
      <c r="B21" s="403" t="s">
        <v>252</v>
      </c>
      <c r="C21" s="348" t="s">
        <v>253</v>
      </c>
      <c r="D21" s="444" t="s">
        <v>317</v>
      </c>
      <c r="E21" s="445"/>
      <c r="F21" s="349" t="s">
        <v>969</v>
      </c>
      <c r="G21" s="349" t="s">
        <v>970</v>
      </c>
    </row>
    <row r="22" spans="2:7" ht="25.2" x14ac:dyDescent="0.3">
      <c r="B22" s="366"/>
      <c r="C22" s="367" t="s">
        <v>318</v>
      </c>
      <c r="D22" s="446"/>
      <c r="E22" s="447"/>
      <c r="F22" s="378">
        <f>VLOOKUP($D$17,'відом з 01.05.26 поверх'!$C$8:$BI$244,8,FALSE)</f>
        <v>711.7</v>
      </c>
      <c r="G22" s="378">
        <f>VLOOKUP($D$17,'відом з 01.05.26 поверх'!$C$8:$BI$244,10,FALSE)</f>
        <v>0</v>
      </c>
    </row>
    <row r="23" spans="2:7" ht="24.6" x14ac:dyDescent="0.3">
      <c r="B23" s="365" t="s">
        <v>254</v>
      </c>
      <c r="C23" s="368" t="s">
        <v>319</v>
      </c>
      <c r="D23" s="448">
        <f>D60</f>
        <v>86997.638640000005</v>
      </c>
      <c r="E23" s="449"/>
      <c r="F23" s="379">
        <f>F61</f>
        <v>10.1866</v>
      </c>
      <c r="G23" s="379">
        <f>G61</f>
        <v>4.9896999999999991</v>
      </c>
    </row>
    <row r="24" spans="2:7" ht="24.6" x14ac:dyDescent="0.3">
      <c r="B24" s="369" t="s">
        <v>255</v>
      </c>
      <c r="C24" s="370" t="s">
        <v>256</v>
      </c>
      <c r="D24" s="434">
        <f>SUM(D25:D32)</f>
        <v>16832.274360000003</v>
      </c>
      <c r="E24" s="435"/>
      <c r="F24" s="380">
        <f>SUM(F25:F32)</f>
        <v>1.9708999999999999</v>
      </c>
      <c r="G24" s="380">
        <f>SUM(G25:G32)</f>
        <v>1.9708999999999999</v>
      </c>
    </row>
    <row r="25" spans="2:7" ht="25.2" x14ac:dyDescent="0.3">
      <c r="B25" s="371" t="s">
        <v>257</v>
      </c>
      <c r="C25" s="366" t="s">
        <v>258</v>
      </c>
      <c r="D25" s="438">
        <f>(F25*$F$22+G25*$G$22)*12</f>
        <v>1932.6925200000001</v>
      </c>
      <c r="E25" s="439"/>
      <c r="F25" s="381">
        <f>VLOOKUP($D$17,'відом з 01.05.26 поверх'!$C$8:$BI$244,12,FALSE)</f>
        <v>0.2263</v>
      </c>
      <c r="G25" s="381">
        <f>F25</f>
        <v>0.2263</v>
      </c>
    </row>
    <row r="26" spans="2:7" ht="25.2" x14ac:dyDescent="0.3">
      <c r="B26" s="371" t="s">
        <v>259</v>
      </c>
      <c r="C26" s="366" t="s">
        <v>260</v>
      </c>
      <c r="D26" s="438">
        <f>(F26*$F$22+G26*$G$22)*12</f>
        <v>773.76024000000007</v>
      </c>
      <c r="E26" s="439"/>
      <c r="F26" s="381">
        <f>VLOOKUP($D$17,'відом з 01.05.26 поверх'!$C$8:$BI$244,13,FALSE)</f>
        <v>9.06E-2</v>
      </c>
      <c r="G26" s="381">
        <f t="shared" ref="G26:G32" si="0">F26</f>
        <v>9.06E-2</v>
      </c>
    </row>
    <row r="27" spans="2:7" ht="25.2" x14ac:dyDescent="0.3">
      <c r="B27" s="371" t="s">
        <v>261</v>
      </c>
      <c r="C27" s="366" t="s">
        <v>262</v>
      </c>
      <c r="D27" s="438">
        <f>(F27*$F$22+G27*$G$22)*12</f>
        <v>2872.9905599999997</v>
      </c>
      <c r="E27" s="439"/>
      <c r="F27" s="381">
        <f>VLOOKUP($D$17,'відом з 01.05.26 поверх'!$C$8:$BI$244,14,FALSE)</f>
        <v>0.33639999999999998</v>
      </c>
      <c r="G27" s="381">
        <f t="shared" si="0"/>
        <v>0.33639999999999998</v>
      </c>
    </row>
    <row r="28" spans="2:7" ht="25.2" x14ac:dyDescent="0.3">
      <c r="B28" s="371" t="s">
        <v>263</v>
      </c>
      <c r="C28" s="366" t="s">
        <v>264</v>
      </c>
      <c r="D28" s="438">
        <f>(F28*$F$22+G28*$G$22)*12</f>
        <v>667.00524000000007</v>
      </c>
      <c r="E28" s="439"/>
      <c r="F28" s="381">
        <f>VLOOKUP($D$17,'відом з 01.05.26 поверх'!$C$8:$BI$244,15,FALSE)</f>
        <v>7.8100000000000003E-2</v>
      </c>
      <c r="G28" s="381">
        <f t="shared" si="0"/>
        <v>7.8100000000000003E-2</v>
      </c>
    </row>
    <row r="29" spans="2:7" ht="25.2" x14ac:dyDescent="0.3">
      <c r="B29" s="371" t="s">
        <v>265</v>
      </c>
      <c r="C29" s="366" t="s">
        <v>266</v>
      </c>
      <c r="D29" s="438">
        <f>(F29*$F$22+G29*$G$22)*12</f>
        <v>0</v>
      </c>
      <c r="E29" s="439"/>
      <c r="F29" s="381">
        <f>VLOOKUP($D$17,'відом з 01.05.26 поверх'!$C$8:$BI$244,16,FALSE)</f>
        <v>0</v>
      </c>
      <c r="G29" s="381">
        <f t="shared" si="0"/>
        <v>0</v>
      </c>
    </row>
    <row r="30" spans="2:7" ht="25.2" x14ac:dyDescent="0.3">
      <c r="B30" s="371" t="s">
        <v>267</v>
      </c>
      <c r="C30" s="366" t="s">
        <v>268</v>
      </c>
      <c r="D30" s="438">
        <f t="shared" ref="D30:D32" si="1">(F30*$F$22+G30*$G$22)*12</f>
        <v>5192.5632000000005</v>
      </c>
      <c r="E30" s="439"/>
      <c r="F30" s="381">
        <f>VLOOKUP($D$17,'відом з 01.05.26 поверх'!$C$8:$BI$244,17,FALSE)</f>
        <v>0.60799999999999998</v>
      </c>
      <c r="G30" s="381">
        <f t="shared" si="0"/>
        <v>0.60799999999999998</v>
      </c>
    </row>
    <row r="31" spans="2:7" ht="25.2" x14ac:dyDescent="0.3">
      <c r="B31" s="371" t="s">
        <v>269</v>
      </c>
      <c r="C31" s="366" t="s">
        <v>270</v>
      </c>
      <c r="D31" s="438">
        <f t="shared" si="1"/>
        <v>0</v>
      </c>
      <c r="E31" s="439"/>
      <c r="F31" s="381">
        <f>VLOOKUP($D$17,'відом з 01.05.26 поверх'!$C$8:$BI$244,18,FALSE)</f>
        <v>0</v>
      </c>
      <c r="G31" s="381">
        <f t="shared" si="0"/>
        <v>0</v>
      </c>
    </row>
    <row r="32" spans="2:7" ht="25.2" x14ac:dyDescent="0.3">
      <c r="B32" s="371" t="s">
        <v>271</v>
      </c>
      <c r="C32" s="372" t="s">
        <v>272</v>
      </c>
      <c r="D32" s="438">
        <f t="shared" si="1"/>
        <v>5393.2626</v>
      </c>
      <c r="E32" s="439"/>
      <c r="F32" s="381">
        <f>VLOOKUP($D$17,'відом з 01.05.26 поверх'!$C$8:$BI$244,19,FALSE)</f>
        <v>0.63149999999999995</v>
      </c>
      <c r="G32" s="381">
        <f t="shared" si="0"/>
        <v>0.63149999999999995</v>
      </c>
    </row>
    <row r="33" spans="2:7" ht="24.6" x14ac:dyDescent="0.3">
      <c r="B33" s="369" t="s">
        <v>273</v>
      </c>
      <c r="C33" s="370" t="s">
        <v>274</v>
      </c>
      <c r="D33" s="434">
        <f>(F33*$F$22+G33*$G$22)*12</f>
        <v>0</v>
      </c>
      <c r="E33" s="435"/>
      <c r="F33" s="380">
        <f>VLOOKUP($D$17,'відом з 01.05.26 поверх'!$C$8:$BI$244,20,FALSE)</f>
        <v>0</v>
      </c>
      <c r="G33" s="380">
        <v>0</v>
      </c>
    </row>
    <row r="34" spans="2:7" ht="24.6" x14ac:dyDescent="0.3">
      <c r="B34" s="369" t="s">
        <v>275</v>
      </c>
      <c r="C34" s="370" t="s">
        <v>276</v>
      </c>
      <c r="D34" s="434">
        <f t="shared" ref="D34:D37" si="2">(F34*$F$22+G34*$G$22)*12</f>
        <v>0</v>
      </c>
      <c r="E34" s="435"/>
      <c r="F34" s="380">
        <f>VLOOKUP($D$17,'відом з 01.05.26 поверх'!$C$8:$BI$244,21,FALSE)</f>
        <v>0</v>
      </c>
      <c r="G34" s="380">
        <v>0</v>
      </c>
    </row>
    <row r="35" spans="2:7" ht="24.6" x14ac:dyDescent="0.3">
      <c r="B35" s="369" t="s">
        <v>277</v>
      </c>
      <c r="C35" s="370" t="s">
        <v>278</v>
      </c>
      <c r="D35" s="434">
        <f t="shared" si="2"/>
        <v>1138.43532</v>
      </c>
      <c r="E35" s="435"/>
      <c r="F35" s="380">
        <f>VLOOKUP($D$17,'відом з 01.05.26 поверх'!$C$8:$BI$244,22,FALSE)</f>
        <v>0.1333</v>
      </c>
      <c r="G35" s="380">
        <f>F35</f>
        <v>0.1333</v>
      </c>
    </row>
    <row r="36" spans="2:7" ht="45" customHeight="1" x14ac:dyDescent="0.3">
      <c r="B36" s="373" t="s">
        <v>279</v>
      </c>
      <c r="C36" s="370" t="s">
        <v>280</v>
      </c>
      <c r="D36" s="434">
        <f t="shared" si="2"/>
        <v>0</v>
      </c>
      <c r="E36" s="435"/>
      <c r="F36" s="380">
        <f>VLOOKUP($D$17,'відом з 01.05.26 поверх'!$C$8:$BI$244,23,FALSE)</f>
        <v>0</v>
      </c>
      <c r="G36" s="380">
        <f>F36</f>
        <v>0</v>
      </c>
    </row>
    <row r="37" spans="2:7" ht="99.6" customHeight="1" x14ac:dyDescent="0.3">
      <c r="B37" s="373" t="s">
        <v>281</v>
      </c>
      <c r="C37" s="370" t="s">
        <v>282</v>
      </c>
      <c r="D37" s="434">
        <f t="shared" si="2"/>
        <v>13579.236000000001</v>
      </c>
      <c r="E37" s="435"/>
      <c r="F37" s="380">
        <f>VLOOKUP($D$17,'відом з 01.05.26 поверх'!$C$8:$BI$244,24,FALSE)</f>
        <v>1.59</v>
      </c>
      <c r="G37" s="380">
        <f>F37</f>
        <v>1.59</v>
      </c>
    </row>
    <row r="38" spans="2:7" ht="24.6" x14ac:dyDescent="0.3">
      <c r="B38" s="373" t="s">
        <v>283</v>
      </c>
      <c r="C38" s="370" t="s">
        <v>284</v>
      </c>
      <c r="D38" s="434">
        <f>SUM(D39:D45)</f>
        <v>7565.9403600000005</v>
      </c>
      <c r="E38" s="435"/>
      <c r="F38" s="380">
        <f>SUM(F39:F45)</f>
        <v>0.88589999999999991</v>
      </c>
      <c r="G38" s="380">
        <f>SUM(G39:G45)</f>
        <v>0.88589999999999991</v>
      </c>
    </row>
    <row r="39" spans="2:7" ht="25.2" x14ac:dyDescent="0.3">
      <c r="B39" s="374" t="s">
        <v>285</v>
      </c>
      <c r="C39" s="366" t="s">
        <v>258</v>
      </c>
      <c r="D39" s="438">
        <f>(F39*$F$22+G39*$G$22)*12</f>
        <v>2168.4075600000001</v>
      </c>
      <c r="E39" s="439"/>
      <c r="F39" s="381">
        <f>VLOOKUP($D$17,'відом з 01.05.26 поверх'!$C$8:$BI$244,25,FALSE)</f>
        <v>0.25390000000000001</v>
      </c>
      <c r="G39" s="381">
        <f>F39</f>
        <v>0.25390000000000001</v>
      </c>
    </row>
    <row r="40" spans="2:7" ht="25.2" x14ac:dyDescent="0.3">
      <c r="B40" s="374" t="s">
        <v>286</v>
      </c>
      <c r="C40" s="366" t="s">
        <v>260</v>
      </c>
      <c r="D40" s="438">
        <f t="shared" ref="D40:D45" si="3">(F40*$F$22+G40*$G$22)*12</f>
        <v>2744.0305199999998</v>
      </c>
      <c r="E40" s="439"/>
      <c r="F40" s="381">
        <f>VLOOKUP($D$17,'відом з 01.05.26 поверх'!$C$8:$BI$244,26,FALSE)</f>
        <v>0.32129999999999997</v>
      </c>
      <c r="G40" s="381">
        <f t="shared" ref="G40:G45" si="4">F40</f>
        <v>0.32129999999999997</v>
      </c>
    </row>
    <row r="41" spans="2:7" ht="25.2" x14ac:dyDescent="0.3">
      <c r="B41" s="374" t="s">
        <v>287</v>
      </c>
      <c r="C41" s="366" t="s">
        <v>262</v>
      </c>
      <c r="D41" s="438">
        <f t="shared" si="3"/>
        <v>707.14512000000002</v>
      </c>
      <c r="E41" s="439"/>
      <c r="F41" s="381">
        <f>VLOOKUP($D$17,'відом з 01.05.26 поверх'!$C$8:$BI$244,27,FALSE)</f>
        <v>8.2799999999999999E-2</v>
      </c>
      <c r="G41" s="381">
        <f t="shared" si="4"/>
        <v>8.2799999999999999E-2</v>
      </c>
    </row>
    <row r="42" spans="2:7" ht="25.2" x14ac:dyDescent="0.3">
      <c r="B42" s="374" t="s">
        <v>288</v>
      </c>
      <c r="C42" s="366" t="s">
        <v>264</v>
      </c>
      <c r="D42" s="438">
        <f t="shared" si="3"/>
        <v>895.88796000000002</v>
      </c>
      <c r="E42" s="439"/>
      <c r="F42" s="381">
        <f>VLOOKUP($D$17,'відом з 01.05.26 поверх'!$C$8:$BI$244,28,FALSE)</f>
        <v>0.10489999999999999</v>
      </c>
      <c r="G42" s="381">
        <f t="shared" si="4"/>
        <v>0.10489999999999999</v>
      </c>
    </row>
    <row r="43" spans="2:7" ht="25.2" x14ac:dyDescent="0.3">
      <c r="B43" s="374" t="s">
        <v>289</v>
      </c>
      <c r="C43" s="366" t="s">
        <v>266</v>
      </c>
      <c r="D43" s="438">
        <f t="shared" si="3"/>
        <v>0</v>
      </c>
      <c r="E43" s="439"/>
      <c r="F43" s="381">
        <f>VLOOKUP($D$17,'відом з 01.05.26 поверх'!$C$8:$BI$244,29,FALSE)</f>
        <v>0</v>
      </c>
      <c r="G43" s="381">
        <f t="shared" si="4"/>
        <v>0</v>
      </c>
    </row>
    <row r="44" spans="2:7" ht="25.2" x14ac:dyDescent="0.3">
      <c r="B44" s="374" t="s">
        <v>290</v>
      </c>
      <c r="C44" s="366" t="s">
        <v>268</v>
      </c>
      <c r="D44" s="438">
        <f t="shared" si="3"/>
        <v>772.05216000000007</v>
      </c>
      <c r="E44" s="439"/>
      <c r="F44" s="381">
        <f>VLOOKUP($D$17,'відом з 01.05.26 поверх'!$C$8:$BI$244,30,FALSE)</f>
        <v>9.0399999999999994E-2</v>
      </c>
      <c r="G44" s="381">
        <f t="shared" si="4"/>
        <v>9.0399999999999994E-2</v>
      </c>
    </row>
    <row r="45" spans="2:7" ht="25.2" x14ac:dyDescent="0.3">
      <c r="B45" s="374" t="s">
        <v>291</v>
      </c>
      <c r="C45" s="366" t="s">
        <v>270</v>
      </c>
      <c r="D45" s="438">
        <f t="shared" si="3"/>
        <v>278.41703999999999</v>
      </c>
      <c r="E45" s="439"/>
      <c r="F45" s="381">
        <f>VLOOKUP($D$17,'відом з 01.05.26 поверх'!$C$8:$BI$244,31,FALSE)</f>
        <v>3.2599999999999997E-2</v>
      </c>
      <c r="G45" s="381">
        <f t="shared" si="4"/>
        <v>3.2599999999999997E-2</v>
      </c>
    </row>
    <row r="46" spans="2:7" ht="45.6" x14ac:dyDescent="0.3">
      <c r="B46" s="369" t="s">
        <v>292</v>
      </c>
      <c r="C46" s="370" t="s">
        <v>293</v>
      </c>
      <c r="D46" s="434">
        <f>(F46*$F$22+G46*$G$22)*12</f>
        <v>0</v>
      </c>
      <c r="E46" s="435"/>
      <c r="F46" s="380">
        <f>VLOOKUP($D$17,'відом з 01.05.26 поверх'!$C$8:$BI$244,32,FALSE)</f>
        <v>0</v>
      </c>
      <c r="G46" s="380">
        <f>F46</f>
        <v>0</v>
      </c>
    </row>
    <row r="47" spans="2:7" ht="24.6" x14ac:dyDescent="0.3">
      <c r="B47" s="369" t="s">
        <v>294</v>
      </c>
      <c r="C47" s="370" t="s">
        <v>295</v>
      </c>
      <c r="D47" s="434">
        <f t="shared" ref="D47" si="5">(F47*$F$22+G47*$G$22)*12</f>
        <v>17389.108439999996</v>
      </c>
      <c r="E47" s="435"/>
      <c r="F47" s="380">
        <f>VLOOKUP($D$17,'відом з 01.05.26 поверх'!$C$8:$BI$244,33,FALSE)</f>
        <v>2.0360999999999998</v>
      </c>
      <c r="G47" s="380">
        <v>0</v>
      </c>
    </row>
    <row r="48" spans="2:7" ht="45.6" x14ac:dyDescent="0.3">
      <c r="B48" s="369" t="s">
        <v>296</v>
      </c>
      <c r="C48" s="370" t="s">
        <v>411</v>
      </c>
      <c r="D48" s="434">
        <f>D49+D50</f>
        <v>16056.806040000001</v>
      </c>
      <c r="E48" s="435"/>
      <c r="F48" s="380">
        <f>F49+F50</f>
        <v>1.8800999999999999</v>
      </c>
      <c r="G48" s="380">
        <f>G49+G50</f>
        <v>6.5100000000000005E-2</v>
      </c>
    </row>
    <row r="49" spans="2:8" ht="25.2" x14ac:dyDescent="0.3">
      <c r="B49" s="369" t="s">
        <v>298</v>
      </c>
      <c r="C49" s="366" t="s">
        <v>299</v>
      </c>
      <c r="D49" s="438">
        <f>(F49*$F$22+G49*$G$22)*12</f>
        <v>15500.826000000001</v>
      </c>
      <c r="E49" s="439"/>
      <c r="F49" s="381">
        <f>VLOOKUP($D$17,'відом з 01.05.26 поверх'!$C$8:$BI$244,34,FALSE)</f>
        <v>1.8149999999999999</v>
      </c>
      <c r="G49" s="381">
        <v>0</v>
      </c>
    </row>
    <row r="50" spans="2:8" ht="30" customHeight="1" x14ac:dyDescent="0.3">
      <c r="B50" s="369" t="s">
        <v>300</v>
      </c>
      <c r="C50" s="366" t="s">
        <v>301</v>
      </c>
      <c r="D50" s="438">
        <f>(F50*$F$22+G50*$G$22)*12</f>
        <v>555.98004000000014</v>
      </c>
      <c r="E50" s="439"/>
      <c r="F50" s="381">
        <f>VLOOKUP($D$17,'відом з 01.05.26 поверх'!$C$8:$BI$244,35,FALSE)</f>
        <v>6.5100000000000005E-2</v>
      </c>
      <c r="G50" s="381">
        <f>F50</f>
        <v>6.5100000000000005E-2</v>
      </c>
    </row>
    <row r="51" spans="2:8" ht="68.400000000000006" x14ac:dyDescent="0.3">
      <c r="B51" s="369" t="s">
        <v>302</v>
      </c>
      <c r="C51" s="370" t="s">
        <v>303</v>
      </c>
      <c r="D51" s="434">
        <f>(F51*$F$22+G51*$G$22)*12</f>
        <v>5901.4164000000001</v>
      </c>
      <c r="E51" s="435"/>
      <c r="F51" s="380">
        <f>VLOOKUP($D$17,'відом з 01.05.26 поверх'!$C$8:$BI$244,36,FALSE)</f>
        <v>0.69099999999999995</v>
      </c>
      <c r="G51" s="380">
        <v>0</v>
      </c>
    </row>
    <row r="52" spans="2:8" ht="24.6" x14ac:dyDescent="0.3">
      <c r="B52" s="369" t="s">
        <v>304</v>
      </c>
      <c r="C52" s="370" t="s">
        <v>305</v>
      </c>
      <c r="D52" s="434">
        <f t="shared" ref="D52:D53" si="6">(F52*$F$22+G52*$G$22)*12</f>
        <v>785.71679999999992</v>
      </c>
      <c r="E52" s="435"/>
      <c r="F52" s="380">
        <f>VLOOKUP($D$17,'відом з 01.05.26 поверх'!$C$8:$BI$244,37,FALSE)</f>
        <v>9.1999999999999998E-2</v>
      </c>
      <c r="G52" s="380">
        <f>F52</f>
        <v>9.1999999999999998E-2</v>
      </c>
    </row>
    <row r="53" spans="2:8" ht="24.6" x14ac:dyDescent="0.3">
      <c r="B53" s="369" t="s">
        <v>306</v>
      </c>
      <c r="C53" s="370" t="s">
        <v>307</v>
      </c>
      <c r="D53" s="434">
        <f t="shared" si="6"/>
        <v>127.25196000000001</v>
      </c>
      <c r="E53" s="435"/>
      <c r="F53" s="380">
        <f>VLOOKUP($D$17,'відом з 01.05.26 поверх'!$C$8:$BI$244,38,FALSE)</f>
        <v>1.49E-2</v>
      </c>
      <c r="G53" s="380">
        <f>F53</f>
        <v>1.49E-2</v>
      </c>
    </row>
    <row r="54" spans="2:8" ht="72.599999999999994" customHeight="1" x14ac:dyDescent="0.3">
      <c r="B54" s="369" t="s">
        <v>308</v>
      </c>
      <c r="C54" s="370" t="s">
        <v>309</v>
      </c>
      <c r="D54" s="434">
        <f>SUM(D55:D56)</f>
        <v>3478.5049199999999</v>
      </c>
      <c r="E54" s="435"/>
      <c r="F54" s="380">
        <f>SUM(F55:F56)</f>
        <v>0.4073</v>
      </c>
      <c r="G54" s="380">
        <f>SUM(G55:G56)</f>
        <v>0</v>
      </c>
    </row>
    <row r="55" spans="2:8" ht="25.2" x14ac:dyDescent="0.3">
      <c r="B55" s="374" t="s">
        <v>310</v>
      </c>
      <c r="C55" s="366" t="s">
        <v>311</v>
      </c>
      <c r="D55" s="438">
        <f>(F55*$F$22+G55*$G$22)*12</f>
        <v>3478.5049199999999</v>
      </c>
      <c r="E55" s="439"/>
      <c r="F55" s="381">
        <f>VLOOKUP($D$17,'відом з 01.05.26 поверх'!$C$8:$BI$244,39,FALSE)</f>
        <v>0.4073</v>
      </c>
      <c r="G55" s="381">
        <v>0</v>
      </c>
    </row>
    <row r="56" spans="2:8" ht="25.2" x14ac:dyDescent="0.3">
      <c r="B56" s="374" t="s">
        <v>312</v>
      </c>
      <c r="C56" s="366" t="s">
        <v>313</v>
      </c>
      <c r="D56" s="438">
        <f>(F56*$F$22+G56*$G$22)*12</f>
        <v>0</v>
      </c>
      <c r="E56" s="439"/>
      <c r="F56" s="381">
        <f>VLOOKUP($D$17,'відом з 01.05.26 поверх'!$C$8:$BI$244,40,FALSE)</f>
        <v>0</v>
      </c>
      <c r="G56" s="381">
        <v>0</v>
      </c>
    </row>
    <row r="57" spans="2:8" ht="24.6" x14ac:dyDescent="0.3">
      <c r="B57" s="369">
        <v>2</v>
      </c>
      <c r="C57" s="370" t="s">
        <v>326</v>
      </c>
      <c r="D57" s="434">
        <f>(F57*$F$22+G57*$G$22)*12</f>
        <v>0</v>
      </c>
      <c r="E57" s="435"/>
      <c r="F57" s="380">
        <f>VLOOKUP($D$17,'відом з 01.05.26 поверх'!$C$8:$BI$244,41,FALSE)</f>
        <v>0</v>
      </c>
      <c r="G57" s="380">
        <f>F57</f>
        <v>0</v>
      </c>
    </row>
    <row r="58" spans="2:8" ht="24.6" x14ac:dyDescent="0.3">
      <c r="B58" s="369">
        <v>3</v>
      </c>
      <c r="C58" s="370" t="s">
        <v>314</v>
      </c>
      <c r="D58" s="434">
        <f>D24+D33+D34+D35+D36+D37+D38+D46+D47+D48+D51+D52+D53+D54+D57</f>
        <v>82854.690600000002</v>
      </c>
      <c r="E58" s="435"/>
      <c r="F58" s="380">
        <f t="shared" ref="F58" si="7">F24+F33+F34+F35+F36+F37+F38+F46+F47+F48+F51+F52+F53+F54+F57</f>
        <v>9.7015000000000011</v>
      </c>
      <c r="G58" s="380">
        <f>G24+G33+G34+G35+G36+G37+G38+G46+G47+G48+G51+G52+G53+G54+G57</f>
        <v>4.7520999999999995</v>
      </c>
    </row>
    <row r="59" spans="2:8" ht="24.6" x14ac:dyDescent="0.3">
      <c r="B59" s="369">
        <v>4</v>
      </c>
      <c r="C59" s="370" t="s">
        <v>315</v>
      </c>
      <c r="D59" s="434">
        <f>(F59*$F$22+G59*$G$22)*12</f>
        <v>4142.9480400000002</v>
      </c>
      <c r="E59" s="435"/>
      <c r="F59" s="380">
        <f>ROUND(F58*5%,4)</f>
        <v>0.48509999999999998</v>
      </c>
      <c r="G59" s="380">
        <f>ROUND(G58*5%,4)</f>
        <v>0.23760000000000001</v>
      </c>
    </row>
    <row r="60" spans="2:8" ht="25.8" x14ac:dyDescent="0.5">
      <c r="B60" s="369">
        <v>5</v>
      </c>
      <c r="C60" s="370" t="s">
        <v>316</v>
      </c>
      <c r="D60" s="434">
        <f>D58+D59</f>
        <v>86997.638640000005</v>
      </c>
      <c r="E60" s="435"/>
      <c r="F60" s="429"/>
      <c r="G60" s="429"/>
    </row>
    <row r="61" spans="2:8" ht="25.8" x14ac:dyDescent="0.5">
      <c r="B61" s="369">
        <v>6</v>
      </c>
      <c r="C61" s="370" t="s">
        <v>327</v>
      </c>
      <c r="D61" s="440"/>
      <c r="E61" s="441"/>
      <c r="F61" s="380">
        <f>F58+F59</f>
        <v>10.1866</v>
      </c>
      <c r="G61" s="380">
        <f>G58+G59</f>
        <v>4.9896999999999991</v>
      </c>
    </row>
    <row r="62" spans="2:8" ht="21" hidden="1" x14ac:dyDescent="0.4">
      <c r="B62" s="31"/>
      <c r="C62" s="430" t="s">
        <v>951</v>
      </c>
      <c r="D62" s="436"/>
      <c r="E62" s="437"/>
      <c r="F62" s="431">
        <f>VLOOKUP($D$17,'відом з 01.05.26 поверх'!$C$8:$BI$244,49,FALSE)</f>
        <v>8.0213999999999999</v>
      </c>
      <c r="G62" s="431">
        <f>VLOOKUP($D$17,'відом з 01.05.26 поверх'!$C$8:$BI$244,51,FALSE)</f>
        <v>4.0381999999999998</v>
      </c>
    </row>
    <row r="63" spans="2:8" ht="21" hidden="1" x14ac:dyDescent="0.4">
      <c r="B63" s="31"/>
      <c r="C63" s="417" t="s">
        <v>952</v>
      </c>
      <c r="D63" s="436"/>
      <c r="E63" s="437"/>
      <c r="F63" s="432">
        <f>F61/F62</f>
        <v>1.2699279427531354</v>
      </c>
      <c r="G63" s="432">
        <f>G61/G62</f>
        <v>1.2356247833193006</v>
      </c>
    </row>
    <row r="64" spans="2:8" s="407" customFormat="1" ht="44.4" customHeight="1" x14ac:dyDescent="0.4">
      <c r="B64" s="450" t="s">
        <v>971</v>
      </c>
      <c r="C64" s="450"/>
      <c r="D64" s="450"/>
      <c r="E64" s="450"/>
      <c r="F64" s="450"/>
      <c r="G64" s="450"/>
      <c r="H64" s="32"/>
    </row>
    <row r="65" spans="3:8" s="407" customFormat="1" ht="7.8" customHeight="1" x14ac:dyDescent="0.35">
      <c r="H65" s="32"/>
    </row>
    <row r="66" spans="3:8" s="433" customFormat="1" ht="20.399999999999999" x14ac:dyDescent="0.35">
      <c r="C66" s="433" t="s">
        <v>955</v>
      </c>
      <c r="H66" s="32"/>
    </row>
    <row r="67" spans="3:8" s="414" customFormat="1" ht="9" customHeight="1" x14ac:dyDescent="0.4">
      <c r="H67" s="32"/>
    </row>
    <row r="68" spans="3:8" s="410" customFormat="1" ht="22.8" x14ac:dyDescent="0.4">
      <c r="C68" s="410" t="s">
        <v>0</v>
      </c>
      <c r="H68" s="32"/>
    </row>
    <row r="69" spans="3:8" s="414" customFormat="1" ht="21" x14ac:dyDescent="0.4">
      <c r="H69" s="32"/>
    </row>
    <row r="70" spans="3:8" s="414" customFormat="1" ht="22.8" x14ac:dyDescent="0.4">
      <c r="C70" s="410" t="s">
        <v>956</v>
      </c>
      <c r="D70" s="410" t="s">
        <v>957</v>
      </c>
      <c r="G70" s="410" t="s">
        <v>958</v>
      </c>
      <c r="H70" s="32"/>
    </row>
    <row r="71" spans="3:8" s="414" customFormat="1" ht="21" x14ac:dyDescent="0.4"/>
  </sheetData>
  <mergeCells count="53">
    <mergeCell ref="B64:G64"/>
    <mergeCell ref="B1:G1"/>
    <mergeCell ref="B3:G3"/>
    <mergeCell ref="B4:G4"/>
    <mergeCell ref="B5:G5"/>
    <mergeCell ref="B6:G6"/>
    <mergeCell ref="D17:G17"/>
    <mergeCell ref="D18:G18"/>
    <mergeCell ref="D40:E40"/>
    <mergeCell ref="D41:E41"/>
    <mergeCell ref="D32:E32"/>
    <mergeCell ref="D33:E33"/>
    <mergeCell ref="D34:E34"/>
    <mergeCell ref="D35:E35"/>
    <mergeCell ref="D36:E36"/>
    <mergeCell ref="D58:E58"/>
    <mergeCell ref="B15:G15"/>
    <mergeCell ref="B14:G14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7:E37"/>
    <mergeCell ref="D38:E38"/>
    <mergeCell ref="D53:E53"/>
    <mergeCell ref="D54:E54"/>
    <mergeCell ref="D55:E55"/>
    <mergeCell ref="D56:E56"/>
    <mergeCell ref="D52:E52"/>
    <mergeCell ref="D39:E39"/>
    <mergeCell ref="D57:E57"/>
    <mergeCell ref="D62:E62"/>
    <mergeCell ref="D63:E63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9:E59"/>
    <mergeCell ref="D60:E60"/>
    <mergeCell ref="D61:E61"/>
  </mergeCells>
  <pageMargins left="0.62992125984251968" right="0.31496062992125984" top="0.19685039370078741" bottom="0.19685039370078741" header="0.31496062992125984" footer="0.31496062992125984"/>
  <pageSetup paperSize="9" scale="3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'відом з 01.05.26 алф'!#REF!</xm:f>
          </x14:formula1>
          <xm:sqref>D19:E19</xm:sqref>
        </x14:dataValidation>
        <x14:dataValidation type="list" allowBlank="1" showInputMessage="1" showErrorMessage="1" xr:uid="{00000000-0002-0000-0000-000001000000}">
          <x14:formula1>
            <xm:f>'відом з 01.05.26 поверх'!$C$8:$C$161</xm:f>
          </x14:formula1>
          <xm:sqref>D17:G17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C00000"/>
    <pageSetUpPr fitToPage="1"/>
  </sheetPr>
  <dimension ref="A1:I69"/>
  <sheetViews>
    <sheetView tabSelected="1" zoomScale="46" zoomScaleNormal="46" workbookViewId="0">
      <selection activeCell="C17" sqref="C17"/>
    </sheetView>
  </sheetViews>
  <sheetFormatPr defaultColWidth="9.109375" defaultRowHeight="18" x14ac:dyDescent="0.35"/>
  <cols>
    <col min="1" max="1" width="15.33203125" style="407" bestFit="1" customWidth="1"/>
    <col min="2" max="2" width="14.33203125" style="407" customWidth="1"/>
    <col min="3" max="3" width="119" style="407" customWidth="1"/>
    <col min="4" max="4" width="35.6640625" style="407" customWidth="1"/>
    <col min="5" max="5" width="9.44140625" style="407" customWidth="1"/>
    <col min="6" max="6" width="26.88671875" style="407" customWidth="1"/>
    <col min="7" max="7" width="32.6640625" style="407" customWidth="1"/>
    <col min="8" max="8" width="36.44140625" style="407" customWidth="1"/>
    <col min="9" max="9" width="22.33203125" style="407" customWidth="1"/>
    <col min="10" max="16384" width="9.109375" style="407"/>
  </cols>
  <sheetData>
    <row r="1" spans="1:9" s="7" customFormat="1" ht="31.8" x14ac:dyDescent="0.5">
      <c r="B1" s="475" t="s">
        <v>972</v>
      </c>
      <c r="C1" s="475"/>
      <c r="D1" s="475"/>
      <c r="E1" s="475"/>
      <c r="F1" s="475"/>
      <c r="G1" s="475"/>
      <c r="H1" s="475"/>
    </row>
    <row r="2" spans="1:9" s="7" customFormat="1" ht="12.6" customHeight="1" x14ac:dyDescent="0.4">
      <c r="B2" s="405"/>
      <c r="C2" s="405"/>
      <c r="D2" s="405"/>
      <c r="E2" s="405"/>
      <c r="F2" s="405"/>
      <c r="G2" s="405"/>
      <c r="H2" s="405"/>
    </row>
    <row r="3" spans="1:9" s="406" customFormat="1" ht="52.2" customHeight="1" x14ac:dyDescent="0.5">
      <c r="B3" s="459" t="s">
        <v>962</v>
      </c>
      <c r="C3" s="459"/>
      <c r="D3" s="459"/>
      <c r="E3" s="459"/>
      <c r="F3" s="459"/>
      <c r="G3" s="459"/>
      <c r="H3" s="459"/>
    </row>
    <row r="4" spans="1:9" s="406" customFormat="1" ht="117.6" customHeight="1" x14ac:dyDescent="0.5">
      <c r="B4" s="459" t="s">
        <v>960</v>
      </c>
      <c r="C4" s="459"/>
      <c r="D4" s="459"/>
      <c r="E4" s="459"/>
      <c r="F4" s="459"/>
      <c r="G4" s="459"/>
      <c r="H4" s="459"/>
    </row>
    <row r="5" spans="1:9" s="406" customFormat="1" ht="83.4" customHeight="1" x14ac:dyDescent="0.5">
      <c r="B5" s="459" t="s">
        <v>959</v>
      </c>
      <c r="C5" s="459"/>
      <c r="D5" s="459"/>
      <c r="E5" s="459"/>
      <c r="F5" s="459"/>
      <c r="G5" s="459"/>
      <c r="H5" s="459"/>
    </row>
    <row r="6" spans="1:9" s="406" customFormat="1" ht="57" customHeight="1" x14ac:dyDescent="0.5">
      <c r="B6" s="459" t="s">
        <v>961</v>
      </c>
      <c r="C6" s="459"/>
      <c r="D6" s="459"/>
      <c r="E6" s="459"/>
      <c r="F6" s="459"/>
      <c r="G6" s="459"/>
      <c r="H6" s="459"/>
    </row>
    <row r="9" spans="1:9" ht="25.8" x14ac:dyDescent="0.5">
      <c r="A9" s="544">
        <f>VLOOKUP($D$17,'відом з 01.05.26 поверх'!$C$8:$BI$244,3,FALSE)</f>
        <v>9</v>
      </c>
      <c r="B9" s="545" t="s">
        <v>389</v>
      </c>
      <c r="D9" s="5"/>
      <c r="E9" s="354"/>
      <c r="F9" s="354"/>
      <c r="G9" s="408"/>
      <c r="H9" s="355" t="s">
        <v>320</v>
      </c>
      <c r="I9" s="5"/>
    </row>
    <row r="10" spans="1:9" ht="25.2" x14ac:dyDescent="0.35">
      <c r="A10" s="544">
        <f>VLOOKUP($D$17,'відом з 01.05.26 поверх'!$C$8:$BI$244,4,FALSE)</f>
        <v>2</v>
      </c>
      <c r="B10" s="545" t="s">
        <v>950</v>
      </c>
      <c r="D10" s="25"/>
      <c r="E10" s="461" t="s">
        <v>321</v>
      </c>
      <c r="F10" s="461"/>
      <c r="G10" s="409" t="str">
        <f>VLOOKUP($D$17,'відом з 01.05.26 поверх'!$C$8:$BI$244,5,FALSE)</f>
        <v>№ 4/185</v>
      </c>
      <c r="H10" s="356" t="s">
        <v>388</v>
      </c>
    </row>
    <row r="11" spans="1:9" ht="25.2" x14ac:dyDescent="0.35">
      <c r="B11" s="24"/>
      <c r="C11" s="5"/>
      <c r="D11" s="24"/>
      <c r="E11" s="461" t="s">
        <v>387</v>
      </c>
      <c r="F11" s="461"/>
      <c r="G11" s="461"/>
      <c r="H11" s="461"/>
      <c r="I11" s="5"/>
    </row>
    <row r="12" spans="1:9" ht="25.2" x14ac:dyDescent="0.35">
      <c r="B12" s="24"/>
      <c r="C12" s="24"/>
      <c r="D12" s="351"/>
      <c r="E12" s="357" t="s">
        <v>964</v>
      </c>
      <c r="F12" s="358"/>
      <c r="G12" s="359"/>
      <c r="H12" s="359"/>
      <c r="I12" s="27"/>
    </row>
    <row r="13" spans="1:9" ht="14.4" customHeight="1" x14ac:dyDescent="0.35">
      <c r="B13" s="24"/>
      <c r="C13" s="24"/>
      <c r="D13" s="26"/>
      <c r="E13" s="26"/>
      <c r="F13" s="26"/>
      <c r="G13" s="27"/>
      <c r="H13" s="27"/>
      <c r="I13" s="27"/>
    </row>
    <row r="14" spans="1:9" s="410" customFormat="1" ht="30" x14ac:dyDescent="0.4">
      <c r="B14" s="464" t="s">
        <v>322</v>
      </c>
      <c r="C14" s="464"/>
      <c r="D14" s="464"/>
      <c r="E14" s="464"/>
      <c r="F14" s="464"/>
      <c r="G14" s="464"/>
      <c r="H14" s="464"/>
      <c r="I14" s="350"/>
    </row>
    <row r="15" spans="1:9" s="411" customFormat="1" ht="27" customHeight="1" x14ac:dyDescent="0.5">
      <c r="B15" s="465" t="s">
        <v>323</v>
      </c>
      <c r="C15" s="465"/>
      <c r="D15" s="465"/>
      <c r="E15" s="465"/>
      <c r="F15" s="465"/>
      <c r="G15" s="465"/>
      <c r="H15" s="465"/>
      <c r="I15" s="360"/>
    </row>
    <row r="16" spans="1:9" s="411" customFormat="1" ht="3.6" customHeight="1" x14ac:dyDescent="0.5">
      <c r="B16" s="361"/>
      <c r="C16" s="361"/>
      <c r="D16" s="362"/>
      <c r="E16" s="362"/>
      <c r="F16" s="362"/>
      <c r="G16" s="363"/>
      <c r="H16" s="363"/>
      <c r="I16" s="363"/>
    </row>
    <row r="17" spans="2:9" s="411" customFormat="1" ht="28.2" x14ac:dyDescent="0.5">
      <c r="B17" s="361"/>
      <c r="C17" s="364" t="s">
        <v>324</v>
      </c>
      <c r="D17" s="480" t="s">
        <v>550</v>
      </c>
      <c r="E17" s="480"/>
      <c r="F17" s="480"/>
      <c r="G17" s="480"/>
      <c r="H17" s="480"/>
      <c r="I17" s="363"/>
    </row>
    <row r="18" spans="2:9" x14ac:dyDescent="0.35">
      <c r="C18" s="28"/>
      <c r="D18" s="466" t="s">
        <v>325</v>
      </c>
      <c r="E18" s="466"/>
      <c r="F18" s="466"/>
      <c r="G18" s="466"/>
      <c r="H18" s="28"/>
      <c r="I18" s="28"/>
    </row>
    <row r="19" spans="2:9" ht="25.8" x14ac:dyDescent="0.5">
      <c r="G19" s="412" t="s">
        <v>953</v>
      </c>
      <c r="H19" s="413" t="s">
        <v>954</v>
      </c>
      <c r="I19" s="414"/>
    </row>
    <row r="20" spans="2:9" ht="222.6" customHeight="1" x14ac:dyDescent="0.35">
      <c r="B20" s="375" t="s">
        <v>252</v>
      </c>
      <c r="C20" s="376" t="s">
        <v>253</v>
      </c>
      <c r="D20" s="377" t="s">
        <v>317</v>
      </c>
      <c r="E20" s="467" t="s">
        <v>965</v>
      </c>
      <c r="F20" s="468"/>
      <c r="G20" s="382" t="s">
        <v>966</v>
      </c>
      <c r="H20" s="382" t="s">
        <v>967</v>
      </c>
    </row>
    <row r="21" spans="2:9" ht="26.4" x14ac:dyDescent="0.35">
      <c r="B21" s="383"/>
      <c r="C21" s="384" t="s">
        <v>318</v>
      </c>
      <c r="D21" s="385"/>
      <c r="E21" s="469">
        <f>VLOOKUP($D$17,'відом з 01.05.26 поверх'!$C$8:$BI$244,8,FALSE)</f>
        <v>411.70000000000027</v>
      </c>
      <c r="F21" s="470" t="str">
        <f>VLOOKUP($D$17,'відом з 01.05.26 поверх'!$C$8:$BI$244,5,FALSE)</f>
        <v>№ 4/185</v>
      </c>
      <c r="G21" s="385">
        <f>VLOOKUP($D$17,'відом з 01.05.26 поверх'!$C$8:$BI$244,9,FALSE)</f>
        <v>3338.7</v>
      </c>
      <c r="H21" s="385">
        <f>VLOOKUP($D$17,'відом з 01.05.26 поверх'!$C$8:$BI$244,10,FALSE)</f>
        <v>0</v>
      </c>
    </row>
    <row r="22" spans="2:9" ht="26.4" x14ac:dyDescent="0.35">
      <c r="B22" s="386" t="s">
        <v>254</v>
      </c>
      <c r="C22" s="387" t="s">
        <v>319</v>
      </c>
      <c r="D22" s="388">
        <f>D59</f>
        <v>497793.83303999994</v>
      </c>
      <c r="E22" s="462">
        <f>E60</f>
        <v>8.8956999999999997</v>
      </c>
      <c r="F22" s="463"/>
      <c r="G22" s="389">
        <f>G60</f>
        <v>11.327899999999998</v>
      </c>
      <c r="H22" s="389">
        <f>H60</f>
        <v>4.6700999999999997</v>
      </c>
    </row>
    <row r="23" spans="2:9" ht="26.4" x14ac:dyDescent="0.35">
      <c r="B23" s="390" t="s">
        <v>255</v>
      </c>
      <c r="C23" s="391" t="s">
        <v>256</v>
      </c>
      <c r="D23" s="392">
        <f>SUM(D24:D31)</f>
        <v>64541.383679999999</v>
      </c>
      <c r="E23" s="455">
        <f>SUM(E24:E31)</f>
        <v>1.4340999999999999</v>
      </c>
      <c r="F23" s="456"/>
      <c r="G23" s="393">
        <f>SUM(G24:G31)</f>
        <v>1.4340999999999999</v>
      </c>
      <c r="H23" s="393">
        <f>SUM(H24:H31)</f>
        <v>1.4340999999999999</v>
      </c>
    </row>
    <row r="24" spans="2:9" ht="26.4" x14ac:dyDescent="0.35">
      <c r="B24" s="394" t="s">
        <v>257</v>
      </c>
      <c r="C24" s="383" t="s">
        <v>258</v>
      </c>
      <c r="D24" s="395">
        <f>(E24*$E$21+G24*$G$21+H24*$H$21)*12</f>
        <v>5922.6316800000004</v>
      </c>
      <c r="E24" s="457">
        <f>G24</f>
        <v>0.13159999999999999</v>
      </c>
      <c r="F24" s="458"/>
      <c r="G24" s="396">
        <f>VLOOKUP($D$17,'відом з 01.05.26 поверх'!$C$8:$BI$244,12,FALSE)</f>
        <v>0.13159999999999999</v>
      </c>
      <c r="H24" s="396">
        <f>G24</f>
        <v>0.13159999999999999</v>
      </c>
    </row>
    <row r="25" spans="2:9" ht="26.4" x14ac:dyDescent="0.35">
      <c r="B25" s="394" t="s">
        <v>259</v>
      </c>
      <c r="C25" s="383" t="s">
        <v>260</v>
      </c>
      <c r="D25" s="395">
        <f>(E25*$E$21+G25*$G$21+H25*$H$21)*12</f>
        <v>3132.3340800000005</v>
      </c>
      <c r="E25" s="457">
        <f t="shared" ref="E25:E31" si="0">G25</f>
        <v>6.9599999999999995E-2</v>
      </c>
      <c r="F25" s="458"/>
      <c r="G25" s="396">
        <f>VLOOKUP($D$17,'відом з 01.05.26 поверх'!$C$8:$BI$244,13,FALSE)</f>
        <v>6.9599999999999995E-2</v>
      </c>
      <c r="H25" s="396">
        <f t="shared" ref="H25:H31" si="1">G25</f>
        <v>6.9599999999999995E-2</v>
      </c>
    </row>
    <row r="26" spans="2:9" ht="26.4" x14ac:dyDescent="0.35">
      <c r="B26" s="394" t="s">
        <v>261</v>
      </c>
      <c r="C26" s="383" t="s">
        <v>262</v>
      </c>
      <c r="D26" s="395">
        <f t="shared" ref="D26:D58" si="2">(E26*$E$21+G26*$G$21+H26*$H$21)*12</f>
        <v>13622.952960000002</v>
      </c>
      <c r="E26" s="457">
        <f t="shared" si="0"/>
        <v>0.30270000000000002</v>
      </c>
      <c r="F26" s="458"/>
      <c r="G26" s="396">
        <f>VLOOKUP($D$17,'відом з 01.05.26 поверх'!$C$8:$BI$244,14,FALSE)</f>
        <v>0.30270000000000002</v>
      </c>
      <c r="H26" s="396">
        <f t="shared" si="1"/>
        <v>0.30270000000000002</v>
      </c>
    </row>
    <row r="27" spans="2:9" ht="26.4" x14ac:dyDescent="0.35">
      <c r="B27" s="394" t="s">
        <v>263</v>
      </c>
      <c r="C27" s="383" t="s">
        <v>264</v>
      </c>
      <c r="D27" s="395">
        <f t="shared" si="2"/>
        <v>3055.8259200000002</v>
      </c>
      <c r="E27" s="457">
        <f t="shared" si="0"/>
        <v>6.7900000000000002E-2</v>
      </c>
      <c r="F27" s="458"/>
      <c r="G27" s="396">
        <f>VLOOKUP($D$17,'відом з 01.05.26 поверх'!$C$8:$BI$244,15,FALSE)</f>
        <v>6.7900000000000002E-2</v>
      </c>
      <c r="H27" s="396">
        <f t="shared" si="1"/>
        <v>6.7900000000000002E-2</v>
      </c>
    </row>
    <row r="28" spans="2:9" ht="26.4" x14ac:dyDescent="0.35">
      <c r="B28" s="394" t="s">
        <v>265</v>
      </c>
      <c r="C28" s="383" t="s">
        <v>266</v>
      </c>
      <c r="D28" s="395">
        <f t="shared" si="2"/>
        <v>1053.11232</v>
      </c>
      <c r="E28" s="457">
        <f t="shared" si="0"/>
        <v>2.3400000000000001E-2</v>
      </c>
      <c r="F28" s="458"/>
      <c r="G28" s="396">
        <f>VLOOKUP($D$17,'відом з 01.05.26 поверх'!$C$8:$BI$244,16,FALSE)</f>
        <v>2.3400000000000001E-2</v>
      </c>
      <c r="H28" s="396">
        <f t="shared" si="1"/>
        <v>2.3400000000000001E-2</v>
      </c>
    </row>
    <row r="29" spans="2:9" ht="26.4" x14ac:dyDescent="0.35">
      <c r="B29" s="394" t="s">
        <v>267</v>
      </c>
      <c r="C29" s="383" t="s">
        <v>268</v>
      </c>
      <c r="D29" s="395">
        <f t="shared" si="2"/>
        <v>9333.9955200000004</v>
      </c>
      <c r="E29" s="457">
        <f t="shared" si="0"/>
        <v>0.2074</v>
      </c>
      <c r="F29" s="458"/>
      <c r="G29" s="396">
        <f>VLOOKUP($D$17,'відом з 01.05.26 поверх'!$C$8:$BI$244,17,FALSE)</f>
        <v>0.2074</v>
      </c>
      <c r="H29" s="396">
        <f t="shared" si="1"/>
        <v>0.2074</v>
      </c>
    </row>
    <row r="30" spans="2:9" ht="26.4" x14ac:dyDescent="0.35">
      <c r="B30" s="394" t="s">
        <v>269</v>
      </c>
      <c r="C30" s="383" t="s">
        <v>270</v>
      </c>
      <c r="D30" s="395">
        <f t="shared" si="2"/>
        <v>0</v>
      </c>
      <c r="E30" s="457">
        <f t="shared" si="0"/>
        <v>0</v>
      </c>
      <c r="F30" s="458"/>
      <c r="G30" s="396">
        <f>VLOOKUP($D$17,'відом з 01.05.26 поверх'!$C$8:$BI$244,18,FALSE)</f>
        <v>0</v>
      </c>
      <c r="H30" s="396">
        <f t="shared" si="1"/>
        <v>0</v>
      </c>
    </row>
    <row r="31" spans="2:9" ht="26.4" x14ac:dyDescent="0.35">
      <c r="B31" s="394" t="s">
        <v>271</v>
      </c>
      <c r="C31" s="397" t="s">
        <v>272</v>
      </c>
      <c r="D31" s="395">
        <f t="shared" si="2"/>
        <v>28420.531199999998</v>
      </c>
      <c r="E31" s="457">
        <f t="shared" si="0"/>
        <v>0.63149999999999995</v>
      </c>
      <c r="F31" s="458"/>
      <c r="G31" s="396">
        <f>VLOOKUP($D$17,'відом з 01.05.26 поверх'!$C$8:$BI$244,19,FALSE)</f>
        <v>0.63149999999999995</v>
      </c>
      <c r="H31" s="396">
        <f t="shared" si="1"/>
        <v>0.63149999999999995</v>
      </c>
    </row>
    <row r="32" spans="2:9" ht="26.4" x14ac:dyDescent="0.35">
      <c r="B32" s="390" t="s">
        <v>273</v>
      </c>
      <c r="C32" s="391" t="s">
        <v>274</v>
      </c>
      <c r="D32" s="392">
        <f t="shared" si="2"/>
        <v>82248.206760000001</v>
      </c>
      <c r="E32" s="455">
        <v>0</v>
      </c>
      <c r="F32" s="456"/>
      <c r="G32" s="393">
        <f>VLOOKUP($D$17,'відом з 01.05.26 поверх'!$C$8:$BI$244,20,FALSE)</f>
        <v>2.0529000000000002</v>
      </c>
      <c r="H32" s="393">
        <v>0</v>
      </c>
    </row>
    <row r="33" spans="2:8" ht="26.4" x14ac:dyDescent="0.35">
      <c r="B33" s="390" t="s">
        <v>275</v>
      </c>
      <c r="C33" s="391" t="s">
        <v>276</v>
      </c>
      <c r="D33" s="392">
        <f t="shared" si="2"/>
        <v>0</v>
      </c>
      <c r="E33" s="455">
        <v>0</v>
      </c>
      <c r="F33" s="456"/>
      <c r="G33" s="393">
        <f>VLOOKUP($D$17,'відом з 01.05.26 поверх'!$C$8:$BI$244,21,FALSE)</f>
        <v>0</v>
      </c>
      <c r="H33" s="393">
        <v>0</v>
      </c>
    </row>
    <row r="34" spans="2:8" ht="26.4" x14ac:dyDescent="0.35">
      <c r="B34" s="390" t="s">
        <v>277</v>
      </c>
      <c r="C34" s="391" t="s">
        <v>278</v>
      </c>
      <c r="D34" s="392">
        <f t="shared" si="2"/>
        <v>6831.7286399999994</v>
      </c>
      <c r="E34" s="455">
        <f>G34</f>
        <v>0.15179999999999999</v>
      </c>
      <c r="F34" s="456"/>
      <c r="G34" s="393">
        <f>VLOOKUP($D$17,'відом з 01.05.26 поверх'!$C$8:$BI$244,22,FALSE)</f>
        <v>0.15179999999999999</v>
      </c>
      <c r="H34" s="393">
        <f>G34</f>
        <v>0.15179999999999999</v>
      </c>
    </row>
    <row r="35" spans="2:8" ht="52.8" x14ac:dyDescent="0.35">
      <c r="B35" s="398" t="s">
        <v>279</v>
      </c>
      <c r="C35" s="391" t="s">
        <v>280</v>
      </c>
      <c r="D35" s="392">
        <f t="shared" si="2"/>
        <v>0</v>
      </c>
      <c r="E35" s="455">
        <f t="shared" ref="E35:E36" si="3">G35</f>
        <v>0</v>
      </c>
      <c r="F35" s="456"/>
      <c r="G35" s="393">
        <f>VLOOKUP($D$17,'відом з 01.05.26 поверх'!$C$8:$BI$244,23,FALSE)</f>
        <v>0</v>
      </c>
      <c r="H35" s="393">
        <f t="shared" ref="H35:H36" si="4">G35</f>
        <v>0</v>
      </c>
    </row>
    <row r="36" spans="2:8" ht="132" customHeight="1" x14ac:dyDescent="0.35">
      <c r="B36" s="398" t="s">
        <v>281</v>
      </c>
      <c r="C36" s="391" t="s">
        <v>282</v>
      </c>
      <c r="D36" s="392">
        <f t="shared" si="2"/>
        <v>89901.588480000006</v>
      </c>
      <c r="E36" s="455">
        <f t="shared" si="3"/>
        <v>1.9976</v>
      </c>
      <c r="F36" s="456"/>
      <c r="G36" s="393">
        <f>VLOOKUP($D$17,'відом з 01.05.26 поверх'!$C$8:$BI$244,24,FALSE)</f>
        <v>1.9976</v>
      </c>
      <c r="H36" s="393">
        <f t="shared" si="4"/>
        <v>1.9976</v>
      </c>
    </row>
    <row r="37" spans="2:8" ht="26.4" x14ac:dyDescent="0.35">
      <c r="B37" s="398" t="s">
        <v>283</v>
      </c>
      <c r="C37" s="391" t="s">
        <v>284</v>
      </c>
      <c r="D37" s="392">
        <f>SUM(D38:D44)</f>
        <v>33344.056319999996</v>
      </c>
      <c r="E37" s="455">
        <f>SUM(E38:E44)</f>
        <v>0.74089999999999989</v>
      </c>
      <c r="F37" s="456"/>
      <c r="G37" s="393">
        <f>SUM(G38:G44)</f>
        <v>0.74089999999999989</v>
      </c>
      <c r="H37" s="393">
        <f>SUM(H38:H44)</f>
        <v>0.74089999999999989</v>
      </c>
    </row>
    <row r="38" spans="2:8" ht="26.4" x14ac:dyDescent="0.35">
      <c r="B38" s="399" t="s">
        <v>285</v>
      </c>
      <c r="C38" s="383" t="s">
        <v>258</v>
      </c>
      <c r="D38" s="395">
        <f t="shared" si="2"/>
        <v>7893.8419199999998</v>
      </c>
      <c r="E38" s="457">
        <f>G38</f>
        <v>0.1754</v>
      </c>
      <c r="F38" s="458"/>
      <c r="G38" s="396">
        <f>VLOOKUP($D$17,'відом з 01.05.26 поверх'!$C$8:$BI$244,25,FALSE)</f>
        <v>0.1754</v>
      </c>
      <c r="H38" s="396">
        <f>G38</f>
        <v>0.1754</v>
      </c>
    </row>
    <row r="39" spans="2:8" ht="26.4" x14ac:dyDescent="0.35">
      <c r="B39" s="399" t="s">
        <v>286</v>
      </c>
      <c r="C39" s="383" t="s">
        <v>260</v>
      </c>
      <c r="D39" s="395">
        <f t="shared" si="2"/>
        <v>11296.2048</v>
      </c>
      <c r="E39" s="457">
        <f t="shared" ref="E39:E44" si="5">G39</f>
        <v>0.251</v>
      </c>
      <c r="F39" s="458"/>
      <c r="G39" s="396">
        <f>VLOOKUP($D$17,'відом з 01.05.26 поверх'!$C$8:$BI$244,26,FALSE)</f>
        <v>0.251</v>
      </c>
      <c r="H39" s="396">
        <f t="shared" ref="H39:H44" si="6">G39</f>
        <v>0.251</v>
      </c>
    </row>
    <row r="40" spans="2:8" ht="26.4" x14ac:dyDescent="0.35">
      <c r="B40" s="399" t="s">
        <v>287</v>
      </c>
      <c r="C40" s="383" t="s">
        <v>262</v>
      </c>
      <c r="D40" s="395">
        <f t="shared" si="2"/>
        <v>4545.4848000000002</v>
      </c>
      <c r="E40" s="457">
        <f t="shared" si="5"/>
        <v>0.10100000000000001</v>
      </c>
      <c r="F40" s="458"/>
      <c r="G40" s="396">
        <f>VLOOKUP($D$17,'відом з 01.05.26 поверх'!$C$8:$BI$244,27,FALSE)</f>
        <v>0.10100000000000001</v>
      </c>
      <c r="H40" s="396">
        <f t="shared" si="6"/>
        <v>0.10100000000000001</v>
      </c>
    </row>
    <row r="41" spans="2:8" ht="26.4" x14ac:dyDescent="0.35">
      <c r="B41" s="399" t="s">
        <v>288</v>
      </c>
      <c r="C41" s="383" t="s">
        <v>264</v>
      </c>
      <c r="D41" s="395">
        <f t="shared" si="2"/>
        <v>4189.9468799999995</v>
      </c>
      <c r="E41" s="457">
        <f t="shared" si="5"/>
        <v>9.3100000000000002E-2</v>
      </c>
      <c r="F41" s="458"/>
      <c r="G41" s="396">
        <f>VLOOKUP($D$17,'відом з 01.05.26 поверх'!$C$8:$BI$244,28,FALSE)</f>
        <v>9.3100000000000002E-2</v>
      </c>
      <c r="H41" s="396">
        <f t="shared" si="6"/>
        <v>9.3100000000000002E-2</v>
      </c>
    </row>
    <row r="42" spans="2:8" ht="26.4" x14ac:dyDescent="0.35">
      <c r="B42" s="399" t="s">
        <v>289</v>
      </c>
      <c r="C42" s="383" t="s">
        <v>266</v>
      </c>
      <c r="D42" s="395">
        <f t="shared" si="2"/>
        <v>2052.2188800000004</v>
      </c>
      <c r="E42" s="457">
        <f t="shared" si="5"/>
        <v>4.5600000000000002E-2</v>
      </c>
      <c r="F42" s="458"/>
      <c r="G42" s="396">
        <f>VLOOKUP($D$17,'відом з 01.05.26 поверх'!$C$8:$BI$244,29,FALSE)</f>
        <v>4.5600000000000002E-2</v>
      </c>
      <c r="H42" s="396">
        <f t="shared" si="6"/>
        <v>4.5600000000000002E-2</v>
      </c>
    </row>
    <row r="43" spans="2:8" ht="26.4" x14ac:dyDescent="0.35">
      <c r="B43" s="399" t="s">
        <v>290</v>
      </c>
      <c r="C43" s="383" t="s">
        <v>268</v>
      </c>
      <c r="D43" s="395">
        <f t="shared" si="2"/>
        <v>1903.7030399999999</v>
      </c>
      <c r="E43" s="457">
        <f t="shared" si="5"/>
        <v>4.2299999999999997E-2</v>
      </c>
      <c r="F43" s="458"/>
      <c r="G43" s="396">
        <f>VLOOKUP($D$17,'відом з 01.05.26 поверх'!$C$8:$BI$244,30,FALSE)</f>
        <v>4.2299999999999997E-2</v>
      </c>
      <c r="H43" s="396">
        <f t="shared" si="6"/>
        <v>4.2299999999999997E-2</v>
      </c>
    </row>
    <row r="44" spans="2:8" ht="26.4" x14ac:dyDescent="0.35">
      <c r="B44" s="399" t="s">
        <v>291</v>
      </c>
      <c r="C44" s="383" t="s">
        <v>270</v>
      </c>
      <c r="D44" s="395">
        <f t="shared" si="2"/>
        <v>1462.6559999999999</v>
      </c>
      <c r="E44" s="457">
        <f t="shared" si="5"/>
        <v>3.2500000000000001E-2</v>
      </c>
      <c r="F44" s="458"/>
      <c r="G44" s="396">
        <f>VLOOKUP($D$17,'відом з 01.05.26 поверх'!$C$8:$BI$244,31,FALSE)</f>
        <v>3.2500000000000001E-2</v>
      </c>
      <c r="H44" s="396">
        <f t="shared" si="6"/>
        <v>3.2500000000000001E-2</v>
      </c>
    </row>
    <row r="45" spans="2:8" ht="58.2" customHeight="1" x14ac:dyDescent="0.35">
      <c r="B45" s="390" t="s">
        <v>292</v>
      </c>
      <c r="C45" s="391" t="s">
        <v>293</v>
      </c>
      <c r="D45" s="392">
        <f t="shared" si="2"/>
        <v>0</v>
      </c>
      <c r="E45" s="455">
        <f>G45</f>
        <v>0</v>
      </c>
      <c r="F45" s="456"/>
      <c r="G45" s="393">
        <f>VLOOKUP($D$17,'відом з 01.05.26 поверх'!$C$8:$BI$244,32,FALSE)</f>
        <v>0</v>
      </c>
      <c r="H45" s="393">
        <f>G45</f>
        <v>0</v>
      </c>
    </row>
    <row r="46" spans="2:8" ht="26.4" x14ac:dyDescent="0.35">
      <c r="B46" s="390" t="s">
        <v>294</v>
      </c>
      <c r="C46" s="391" t="s">
        <v>295</v>
      </c>
      <c r="D46" s="392">
        <f t="shared" si="2"/>
        <v>80045.537280000004</v>
      </c>
      <c r="E46" s="455">
        <f>G46</f>
        <v>1.7786</v>
      </c>
      <c r="F46" s="456"/>
      <c r="G46" s="393">
        <f>VLOOKUP($D$17,'відом з 01.05.26 поверх'!$C$8:$BI$244,33,FALSE)</f>
        <v>1.7786</v>
      </c>
      <c r="H46" s="393">
        <v>0</v>
      </c>
    </row>
    <row r="47" spans="2:8" ht="53.4" customHeight="1" x14ac:dyDescent="0.35">
      <c r="B47" s="390" t="s">
        <v>296</v>
      </c>
      <c r="C47" s="391" t="s">
        <v>297</v>
      </c>
      <c r="D47" s="392">
        <f>D48+D49</f>
        <v>73992.391680000015</v>
      </c>
      <c r="E47" s="455">
        <f>E48+E49</f>
        <v>1.6440999999999999</v>
      </c>
      <c r="F47" s="456"/>
      <c r="G47" s="393">
        <f>G48+G49</f>
        <v>1.6440999999999999</v>
      </c>
      <c r="H47" s="393">
        <f>H48+H49</f>
        <v>8.1199999999999994E-2</v>
      </c>
    </row>
    <row r="48" spans="2:8" ht="39.6" customHeight="1" x14ac:dyDescent="0.35">
      <c r="B48" s="390" t="s">
        <v>298</v>
      </c>
      <c r="C48" s="383" t="s">
        <v>299</v>
      </c>
      <c r="D48" s="395">
        <f t="shared" si="2"/>
        <v>70338.00192000001</v>
      </c>
      <c r="E48" s="457">
        <f>G48</f>
        <v>1.5629</v>
      </c>
      <c r="F48" s="458"/>
      <c r="G48" s="396">
        <f>VLOOKUP($D$17,'відом з 01.05.26 поверх'!$C$8:$BI$244,34,FALSE)</f>
        <v>1.5629</v>
      </c>
      <c r="H48" s="396">
        <v>0</v>
      </c>
    </row>
    <row r="49" spans="2:8" ht="52.8" x14ac:dyDescent="0.35">
      <c r="B49" s="390" t="s">
        <v>300</v>
      </c>
      <c r="C49" s="383" t="s">
        <v>301</v>
      </c>
      <c r="D49" s="395">
        <f t="shared" si="2"/>
        <v>3654.3897599999996</v>
      </c>
      <c r="E49" s="457">
        <f>G49</f>
        <v>8.1199999999999994E-2</v>
      </c>
      <c r="F49" s="458"/>
      <c r="G49" s="396">
        <f>VLOOKUP($D$17,'відом з 01.05.26 поверх'!$C$8:$BI$244,35,FALSE)</f>
        <v>8.1199999999999994E-2</v>
      </c>
      <c r="H49" s="396">
        <f t="shared" ref="H49:H52" si="7">G49</f>
        <v>8.1199999999999994E-2</v>
      </c>
    </row>
    <row r="50" spans="2:8" ht="78.599999999999994" customHeight="1" x14ac:dyDescent="0.35">
      <c r="B50" s="390" t="s">
        <v>302</v>
      </c>
      <c r="C50" s="391" t="s">
        <v>303</v>
      </c>
      <c r="D50" s="392">
        <f t="shared" si="2"/>
        <v>22412.3904</v>
      </c>
      <c r="E50" s="455">
        <f>G50</f>
        <v>0.498</v>
      </c>
      <c r="F50" s="456"/>
      <c r="G50" s="393">
        <f>VLOOKUP($D$17,'відом з 01.05.26 поверх'!$C$8:$BI$244,36,FALSE)</f>
        <v>0.498</v>
      </c>
      <c r="H50" s="393">
        <v>0</v>
      </c>
    </row>
    <row r="51" spans="2:8" ht="26.4" x14ac:dyDescent="0.35">
      <c r="B51" s="390" t="s">
        <v>304</v>
      </c>
      <c r="C51" s="391" t="s">
        <v>305</v>
      </c>
      <c r="D51" s="392">
        <f t="shared" si="2"/>
        <v>1629.1737600000001</v>
      </c>
      <c r="E51" s="455">
        <f t="shared" ref="E51:E52" si="8">G51</f>
        <v>3.6200000000000003E-2</v>
      </c>
      <c r="F51" s="456"/>
      <c r="G51" s="393">
        <f>VLOOKUP($D$17,'відом з 01.05.26 поверх'!$C$8:$BI$244,37,FALSE)</f>
        <v>3.6200000000000003E-2</v>
      </c>
      <c r="H51" s="393">
        <f t="shared" si="7"/>
        <v>3.6200000000000003E-2</v>
      </c>
    </row>
    <row r="52" spans="2:8" ht="26.4" x14ac:dyDescent="0.35">
      <c r="B52" s="390" t="s">
        <v>306</v>
      </c>
      <c r="C52" s="391" t="s">
        <v>307</v>
      </c>
      <c r="D52" s="392">
        <f t="shared" si="2"/>
        <v>265.52832000000001</v>
      </c>
      <c r="E52" s="455">
        <f t="shared" si="8"/>
        <v>5.8999999999999999E-3</v>
      </c>
      <c r="F52" s="456"/>
      <c r="G52" s="393">
        <f>VLOOKUP($D$17,'відом з 01.05.26 поверх'!$C$8:$BI$244,38,FALSE)</f>
        <v>5.8999999999999999E-3</v>
      </c>
      <c r="H52" s="393">
        <f t="shared" si="7"/>
        <v>5.8999999999999999E-3</v>
      </c>
    </row>
    <row r="53" spans="2:8" ht="79.2" customHeight="1" x14ac:dyDescent="0.35">
      <c r="B53" s="390" t="s">
        <v>308</v>
      </c>
      <c r="C53" s="391" t="s">
        <v>309</v>
      </c>
      <c r="D53" s="392">
        <f>SUM(D54:D55)</f>
        <v>18878.356919999998</v>
      </c>
      <c r="E53" s="455">
        <f>SUM(E54:E55)</f>
        <v>0.18490000000000001</v>
      </c>
      <c r="F53" s="456"/>
      <c r="G53" s="393">
        <f>SUM(G54:G55)</f>
        <v>0.44840000000000002</v>
      </c>
      <c r="H53" s="393">
        <f>SUM(H54:H55)</f>
        <v>0</v>
      </c>
    </row>
    <row r="54" spans="2:8" ht="26.4" x14ac:dyDescent="0.35">
      <c r="B54" s="399" t="s">
        <v>310</v>
      </c>
      <c r="C54" s="383" t="s">
        <v>311</v>
      </c>
      <c r="D54" s="395">
        <f t="shared" si="2"/>
        <v>8321.3875200000002</v>
      </c>
      <c r="E54" s="457">
        <f>G54</f>
        <v>0.18490000000000001</v>
      </c>
      <c r="F54" s="458"/>
      <c r="G54" s="396">
        <f>VLOOKUP($D$17,'відом з 01.05.26 поверх'!$C$8:$BI$244,39,FALSE)</f>
        <v>0.18490000000000001</v>
      </c>
      <c r="H54" s="396">
        <v>0</v>
      </c>
    </row>
    <row r="55" spans="2:8" ht="26.4" x14ac:dyDescent="0.35">
      <c r="B55" s="399" t="s">
        <v>312</v>
      </c>
      <c r="C55" s="383" t="s">
        <v>313</v>
      </c>
      <c r="D55" s="395">
        <f t="shared" si="2"/>
        <v>10556.9694</v>
      </c>
      <c r="E55" s="457">
        <v>0</v>
      </c>
      <c r="F55" s="458"/>
      <c r="G55" s="396">
        <f>VLOOKUP($D$17,'відом з 01.05.26 поверх'!$C$8:$BI$244,40,FALSE)</f>
        <v>0.26350000000000001</v>
      </c>
      <c r="H55" s="396">
        <v>0</v>
      </c>
    </row>
    <row r="56" spans="2:8" ht="26.4" x14ac:dyDescent="0.35">
      <c r="B56" s="390">
        <v>2</v>
      </c>
      <c r="C56" s="391" t="s">
        <v>326</v>
      </c>
      <c r="D56" s="392">
        <f t="shared" si="2"/>
        <v>0</v>
      </c>
      <c r="E56" s="455">
        <f>G56</f>
        <v>0</v>
      </c>
      <c r="F56" s="456"/>
      <c r="G56" s="393">
        <f>VLOOKUP($D$17,'відом з 01.05.26 поверх'!$C$8:$BI$244,41,FALSE)</f>
        <v>0</v>
      </c>
      <c r="H56" s="393">
        <f>G56</f>
        <v>0</v>
      </c>
    </row>
    <row r="57" spans="2:8" ht="26.4" x14ac:dyDescent="0.35">
      <c r="B57" s="390">
        <v>3</v>
      </c>
      <c r="C57" s="391" t="s">
        <v>314</v>
      </c>
      <c r="D57" s="392">
        <f>D23+D32+D33+D34+D35+D36+D37+D45+D46+D47+D50+D51+D52+D53+D56</f>
        <v>474090.34223999991</v>
      </c>
      <c r="E57" s="455">
        <f t="shared" ref="E57:G57" si="9">E23+E32+E33+E34+E35+E36+E37+E45+E46+E47+E50+E51+E52+E53+E56</f>
        <v>8.4720999999999993</v>
      </c>
      <c r="F57" s="456"/>
      <c r="G57" s="393">
        <f t="shared" si="9"/>
        <v>10.788499999999997</v>
      </c>
      <c r="H57" s="393">
        <f>H23+H32+H33+H34+H35+H36+H37+H45+H46+H47+H50+H51+H52+H53+H56</f>
        <v>4.4476999999999993</v>
      </c>
    </row>
    <row r="58" spans="2:8" ht="26.4" x14ac:dyDescent="0.35">
      <c r="B58" s="390">
        <v>4</v>
      </c>
      <c r="C58" s="391" t="s">
        <v>315</v>
      </c>
      <c r="D58" s="395">
        <f t="shared" si="2"/>
        <v>23703.4908</v>
      </c>
      <c r="E58" s="457">
        <f>ROUND(E57*5%,4)</f>
        <v>0.42359999999999998</v>
      </c>
      <c r="F58" s="458"/>
      <c r="G58" s="396">
        <f>ROUND(G57*5%,4)</f>
        <v>0.53939999999999999</v>
      </c>
      <c r="H58" s="396">
        <f>ROUND(H57*5%,4)</f>
        <v>0.22239999999999999</v>
      </c>
    </row>
    <row r="59" spans="2:8" ht="26.4" x14ac:dyDescent="0.35">
      <c r="B59" s="390">
        <v>5</v>
      </c>
      <c r="C59" s="391" t="s">
        <v>316</v>
      </c>
      <c r="D59" s="392">
        <f>D57+D58</f>
        <v>497793.83303999994</v>
      </c>
      <c r="E59" s="471"/>
      <c r="F59" s="472"/>
      <c r="G59" s="390"/>
      <c r="H59" s="390"/>
    </row>
    <row r="60" spans="2:8" ht="26.4" x14ac:dyDescent="0.45">
      <c r="B60" s="400">
        <v>6</v>
      </c>
      <c r="C60" s="401" t="s">
        <v>327</v>
      </c>
      <c r="D60" s="415"/>
      <c r="E60" s="473">
        <f>E57+E58</f>
        <v>8.8956999999999997</v>
      </c>
      <c r="F60" s="474"/>
      <c r="G60" s="416">
        <f>G57+G58</f>
        <v>11.327899999999998</v>
      </c>
      <c r="H60" s="416">
        <f>H57+H58</f>
        <v>4.6700999999999997</v>
      </c>
    </row>
    <row r="61" spans="2:8" ht="20.399999999999999" hidden="1" customHeight="1" x14ac:dyDescent="0.4">
      <c r="B61" s="417"/>
      <c r="C61" s="418" t="s">
        <v>951</v>
      </c>
      <c r="D61" s="417"/>
      <c r="E61" s="476">
        <f>VLOOKUP($D$17,'відом з 01.05.26 поверх'!$C$8:$BI$244,49,FALSE)</f>
        <v>7.0047999999999995</v>
      </c>
      <c r="F61" s="477">
        <f>VLOOKUP($D$17,'відом з 01.05.26 поверх'!$C$8:$BI$244,35,FALSE)</f>
        <v>8.1199999999999994E-2</v>
      </c>
      <c r="G61" s="419">
        <f>VLOOKUP($D$17,'відом з 01.05.26 поверх'!$C$8:$BI$244,50,FALSE)</f>
        <v>9.9209999999999994</v>
      </c>
      <c r="H61" s="419">
        <f>VLOOKUP($D$17,'відом з 01.05.26 поверх'!$C$8:$BI$244,51,FALSE)</f>
        <v>4.1115999999999993</v>
      </c>
    </row>
    <row r="62" spans="2:8" ht="21" hidden="1" x14ac:dyDescent="0.4">
      <c r="B62" s="417"/>
      <c r="C62" s="420" t="s">
        <v>952</v>
      </c>
      <c r="D62" s="417"/>
      <c r="E62" s="478">
        <f>E60/E61</f>
        <v>1.2699434673366834</v>
      </c>
      <c r="F62" s="479"/>
      <c r="G62" s="421">
        <f>G60/G61</f>
        <v>1.1418103013809091</v>
      </c>
      <c r="H62" s="421">
        <f>H60/H61</f>
        <v>1.1358351979764569</v>
      </c>
    </row>
    <row r="63" spans="2:8" ht="50.4" customHeight="1" x14ac:dyDescent="0.4">
      <c r="B63" s="460" t="s">
        <v>968</v>
      </c>
      <c r="C63" s="460"/>
      <c r="D63" s="460"/>
      <c r="E63" s="460"/>
      <c r="F63" s="460"/>
      <c r="G63" s="460"/>
      <c r="H63" s="460"/>
    </row>
    <row r="64" spans="2:8" ht="7.8" customHeight="1" x14ac:dyDescent="0.35"/>
    <row r="65" spans="3:8" s="422" customFormat="1" ht="27.6" x14ac:dyDescent="0.45">
      <c r="C65" s="422" t="s">
        <v>955</v>
      </c>
    </row>
    <row r="66" spans="3:8" s="411" customFormat="1" ht="9" customHeight="1" x14ac:dyDescent="0.5"/>
    <row r="67" spans="3:8" s="411" customFormat="1" ht="28.2" x14ac:dyDescent="0.5">
      <c r="C67" s="411" t="s">
        <v>0</v>
      </c>
    </row>
    <row r="68" spans="3:8" s="411" customFormat="1" ht="28.2" x14ac:dyDescent="0.5"/>
    <row r="69" spans="3:8" s="411" customFormat="1" ht="28.2" x14ac:dyDescent="0.5">
      <c r="C69" s="411" t="s">
        <v>956</v>
      </c>
      <c r="D69" s="411" t="s">
        <v>957</v>
      </c>
      <c r="H69" s="411" t="s">
        <v>958</v>
      </c>
    </row>
  </sheetData>
  <mergeCells count="55">
    <mergeCell ref="B1:H1"/>
    <mergeCell ref="B3:H3"/>
    <mergeCell ref="E61:F61"/>
    <mergeCell ref="E62:F62"/>
    <mergeCell ref="D17:H17"/>
    <mergeCell ref="E55:F55"/>
    <mergeCell ref="E56:F56"/>
    <mergeCell ref="E57:F57"/>
    <mergeCell ref="E52:F52"/>
    <mergeCell ref="E53:F53"/>
    <mergeCell ref="E54:F54"/>
    <mergeCell ref="E41:F41"/>
    <mergeCell ref="E42:F42"/>
    <mergeCell ref="E43:F43"/>
    <mergeCell ref="E44:F44"/>
    <mergeCell ref="E45:F45"/>
    <mergeCell ref="E51:F51"/>
    <mergeCell ref="E59:F59"/>
    <mergeCell ref="E60:F60"/>
    <mergeCell ref="E58:F58"/>
    <mergeCell ref="E46:F46"/>
    <mergeCell ref="E47:F47"/>
    <mergeCell ref="E48:F48"/>
    <mergeCell ref="E49:F49"/>
    <mergeCell ref="E50:F50"/>
    <mergeCell ref="E23:F23"/>
    <mergeCell ref="E24:F24"/>
    <mergeCell ref="E25:F25"/>
    <mergeCell ref="E26:F26"/>
    <mergeCell ref="B14:H14"/>
    <mergeCell ref="B15:H15"/>
    <mergeCell ref="D18:G18"/>
    <mergeCell ref="E20:F20"/>
    <mergeCell ref="E21:F21"/>
    <mergeCell ref="B5:H5"/>
    <mergeCell ref="B4:H4"/>
    <mergeCell ref="B6:H6"/>
    <mergeCell ref="B63:H63"/>
    <mergeCell ref="E10:F10"/>
    <mergeCell ref="E11:H11"/>
    <mergeCell ref="E37:F37"/>
    <mergeCell ref="E38:F38"/>
    <mergeCell ref="E39:F39"/>
    <mergeCell ref="E40:F40"/>
    <mergeCell ref="E28:F28"/>
    <mergeCell ref="E29:F29"/>
    <mergeCell ref="E30:F30"/>
    <mergeCell ref="E31:F31"/>
    <mergeCell ref="E32:F32"/>
    <mergeCell ref="E22:F22"/>
    <mergeCell ref="E33:F33"/>
    <mergeCell ref="E34:F34"/>
    <mergeCell ref="E35:F35"/>
    <mergeCell ref="E36:F36"/>
    <mergeCell ref="E27:F27"/>
  </mergeCells>
  <phoneticPr fontId="25" type="noConversion"/>
  <pageMargins left="0.51181102362204722" right="0.31496062992125984" top="0.35433070866141736" bottom="0.35433070866141736" header="0.31496062992125984" footer="0.31496062992125984"/>
  <pageSetup paperSize="9" scale="32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'відом з 01.05.26 поверх'!$C$162:$C$238</xm:f>
          </x14:formula1>
          <xm:sqref>D17:H17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I244"/>
  <sheetViews>
    <sheetView topLeftCell="B1" zoomScale="59" zoomScaleNormal="59" workbookViewId="0">
      <pane xSplit="2" ySplit="8" topLeftCell="D105" activePane="bottomRight" state="frozen"/>
      <selection activeCell="B1" sqref="B1"/>
      <selection pane="topRight" activeCell="D1" sqref="D1"/>
      <selection pane="bottomLeft" activeCell="B9" sqref="B9"/>
      <selection pane="bottomRight" activeCell="BL150" sqref="BL150"/>
    </sheetView>
  </sheetViews>
  <sheetFormatPr defaultColWidth="8.88671875" defaultRowHeight="13.8" x14ac:dyDescent="0.25"/>
  <cols>
    <col min="1" max="1" width="5.5546875" style="15" hidden="1" customWidth="1"/>
    <col min="2" max="2" width="5.5546875" style="4" customWidth="1"/>
    <col min="3" max="3" width="42.109375" style="4" customWidth="1"/>
    <col min="4" max="4" width="37.33203125" style="4" hidden="1" customWidth="1"/>
    <col min="5" max="5" width="5.6640625" style="4" hidden="1" customWidth="1"/>
    <col min="6" max="6" width="8.109375" style="4" hidden="1" customWidth="1"/>
    <col min="7" max="7" width="11" style="76" hidden="1" customWidth="1"/>
    <col min="8" max="8" width="3.5546875" style="76" hidden="1" customWidth="1"/>
    <col min="9" max="9" width="11.5546875" style="76" hidden="1" customWidth="1"/>
    <col min="10" max="12" width="11.5546875" style="4" hidden="1" customWidth="1"/>
    <col min="13" max="13" width="3.109375" style="4" hidden="1" customWidth="1"/>
    <col min="14" max="14" width="9.33203125" style="15" hidden="1" customWidth="1"/>
    <col min="15" max="15" width="9.6640625" style="15" hidden="1" customWidth="1"/>
    <col min="16" max="16" width="8.88671875" style="15" hidden="1" customWidth="1"/>
    <col min="17" max="17" width="9" style="15" hidden="1" customWidth="1"/>
    <col min="18" max="18" width="7.6640625" style="15" hidden="1" customWidth="1"/>
    <col min="19" max="19" width="10" style="15" hidden="1" customWidth="1"/>
    <col min="20" max="20" width="7.6640625" style="15" hidden="1" customWidth="1"/>
    <col min="21" max="21" width="11.5546875" style="15" hidden="1" customWidth="1"/>
    <col min="22" max="22" width="10.5546875" style="15" hidden="1" customWidth="1"/>
    <col min="23" max="23" width="8.33203125" style="15" hidden="1" customWidth="1"/>
    <col min="24" max="24" width="9.33203125" style="15" hidden="1" customWidth="1"/>
    <col min="25" max="25" width="9" style="15" hidden="1" customWidth="1"/>
    <col min="26" max="26" width="13.109375" style="15" hidden="1" customWidth="1"/>
    <col min="27" max="27" width="9" style="15" hidden="1" customWidth="1"/>
    <col min="28" max="28" width="10.88671875" style="15" hidden="1" customWidth="1"/>
    <col min="29" max="30" width="9" style="15" hidden="1" customWidth="1"/>
    <col min="31" max="31" width="9.33203125" style="15" hidden="1" customWidth="1"/>
    <col min="32" max="32" width="9" style="15" hidden="1" customWidth="1"/>
    <col min="33" max="33" width="7.88671875" style="15" hidden="1" customWidth="1"/>
    <col min="34" max="34" width="9" style="15" hidden="1" customWidth="1"/>
    <col min="35" max="35" width="10.5546875" style="15" hidden="1" customWidth="1"/>
    <col min="36" max="36" width="11.5546875" style="15" hidden="1" customWidth="1"/>
    <col min="37" max="37" width="10.88671875" style="15" hidden="1" customWidth="1"/>
    <col min="38" max="38" width="10.5546875" style="15" hidden="1" customWidth="1"/>
    <col min="39" max="39" width="9.5546875" style="15" hidden="1" customWidth="1"/>
    <col min="40" max="40" width="8.33203125" style="15" hidden="1" customWidth="1"/>
    <col min="41" max="41" width="9" style="15" hidden="1" customWidth="1"/>
    <col min="42" max="42" width="10.33203125" style="15" hidden="1" customWidth="1"/>
    <col min="43" max="43" width="8.5546875" style="15" hidden="1" customWidth="1"/>
    <col min="44" max="44" width="10.6640625" style="15" hidden="1" customWidth="1"/>
    <col min="45" max="45" width="10.33203125" style="15" hidden="1" customWidth="1"/>
    <col min="46" max="46" width="9.33203125" style="15" hidden="1" customWidth="1"/>
    <col min="47" max="47" width="12" style="15" hidden="1" customWidth="1"/>
    <col min="48" max="48" width="12.33203125" style="15" hidden="1" customWidth="1"/>
    <col min="49" max="49" width="11.88671875" style="15" hidden="1" customWidth="1"/>
    <col min="50" max="50" width="2.109375" style="15" hidden="1" customWidth="1"/>
    <col min="51" max="51" width="9.109375" style="15" hidden="1" customWidth="1"/>
    <col min="52" max="52" width="10.33203125" style="15" hidden="1" customWidth="1"/>
    <col min="53" max="54" width="11" style="15" hidden="1" customWidth="1"/>
    <col min="55" max="55" width="9.88671875" style="15" hidden="1" customWidth="1"/>
    <col min="56" max="56" width="10.109375" style="15" hidden="1" customWidth="1"/>
    <col min="57" max="57" width="11.44140625" style="15" hidden="1" customWidth="1"/>
    <col min="58" max="58" width="9.33203125" style="15" hidden="1" customWidth="1"/>
    <col min="59" max="59" width="8.88671875" style="15" hidden="1" customWidth="1"/>
    <col min="60" max="61" width="0" style="15" hidden="1" customWidth="1"/>
    <col min="62" max="16384" width="8.88671875" style="15"/>
  </cols>
  <sheetData>
    <row r="1" spans="1:61" s="7" customFormat="1" ht="17.399999999999999" x14ac:dyDescent="0.3">
      <c r="C1" s="7" t="s">
        <v>0</v>
      </c>
      <c r="G1" s="75"/>
      <c r="H1" s="75"/>
      <c r="I1" s="75"/>
    </row>
    <row r="2" spans="1:61" s="7" customFormat="1" ht="8.4" customHeight="1" x14ac:dyDescent="0.3">
      <c r="G2" s="75"/>
      <c r="H2" s="75"/>
      <c r="I2" s="75"/>
    </row>
    <row r="3" spans="1:61" s="4" customFormat="1" ht="17.399999999999999" x14ac:dyDescent="0.3">
      <c r="C3" s="7" t="s">
        <v>412</v>
      </c>
      <c r="D3" s="7"/>
      <c r="G3" s="76"/>
      <c r="H3" s="76"/>
      <c r="I3" s="76"/>
    </row>
    <row r="4" spans="1:61" ht="14.4" thickBot="1" x14ac:dyDescent="0.3"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4">
        <v>32</v>
      </c>
      <c r="AI4" s="4">
        <v>33</v>
      </c>
      <c r="AJ4" s="4">
        <v>34</v>
      </c>
      <c r="AK4" s="4">
        <v>35</v>
      </c>
      <c r="AL4" s="4">
        <v>36</v>
      </c>
      <c r="AM4" s="4">
        <v>37</v>
      </c>
      <c r="AN4" s="4">
        <v>38</v>
      </c>
      <c r="AO4" s="4">
        <v>39</v>
      </c>
      <c r="AP4" s="4">
        <v>40</v>
      </c>
      <c r="AQ4" s="4">
        <v>41</v>
      </c>
      <c r="AR4" s="4">
        <v>42</v>
      </c>
      <c r="AS4" s="4">
        <v>43</v>
      </c>
      <c r="AT4" s="4">
        <v>44</v>
      </c>
      <c r="AU4" s="4">
        <v>45</v>
      </c>
      <c r="AV4" s="4">
        <v>46</v>
      </c>
      <c r="AW4" s="4">
        <v>47</v>
      </c>
      <c r="AX4" s="4">
        <v>48</v>
      </c>
      <c r="AY4" s="4">
        <v>49</v>
      </c>
      <c r="AZ4" s="4">
        <v>50</v>
      </c>
      <c r="BA4" s="4">
        <v>51</v>
      </c>
      <c r="BB4" s="4">
        <v>52</v>
      </c>
      <c r="BC4" s="4">
        <v>53</v>
      </c>
      <c r="BD4" s="4">
        <v>54</v>
      </c>
      <c r="BE4" s="4">
        <v>55</v>
      </c>
    </row>
    <row r="5" spans="1:61" s="4" customFormat="1" ht="42.6" customHeight="1" x14ac:dyDescent="0.25">
      <c r="A5" s="483" t="s">
        <v>328</v>
      </c>
      <c r="B5" s="483" t="s">
        <v>328</v>
      </c>
      <c r="C5" s="481" t="s">
        <v>329</v>
      </c>
      <c r="D5" s="481" t="s">
        <v>945</v>
      </c>
      <c r="E5" s="487" t="s">
        <v>330</v>
      </c>
      <c r="F5" s="481" t="s">
        <v>331</v>
      </c>
      <c r="G5" s="481" t="s">
        <v>332</v>
      </c>
      <c r="H5" s="10"/>
      <c r="I5" s="481" t="s">
        <v>333</v>
      </c>
      <c r="J5" s="491" t="s">
        <v>334</v>
      </c>
      <c r="K5" s="492"/>
      <c r="L5" s="493"/>
      <c r="M5" s="73"/>
      <c r="N5" s="494" t="s">
        <v>335</v>
      </c>
      <c r="O5" s="494"/>
      <c r="P5" s="494"/>
      <c r="Q5" s="494"/>
      <c r="R5" s="494"/>
      <c r="S5" s="494"/>
      <c r="T5" s="494"/>
      <c r="U5" s="494"/>
      <c r="V5" s="489" t="s">
        <v>336</v>
      </c>
      <c r="W5" s="489" t="s">
        <v>337</v>
      </c>
      <c r="X5" s="489" t="s">
        <v>338</v>
      </c>
      <c r="Y5" s="489" t="s">
        <v>339</v>
      </c>
      <c r="Z5" s="495" t="s">
        <v>340</v>
      </c>
      <c r="AA5" s="494" t="s">
        <v>341</v>
      </c>
      <c r="AB5" s="494"/>
      <c r="AC5" s="494"/>
      <c r="AD5" s="494"/>
      <c r="AE5" s="494"/>
      <c r="AF5" s="494"/>
      <c r="AG5" s="494"/>
      <c r="AH5" s="489" t="s">
        <v>342</v>
      </c>
      <c r="AI5" s="489" t="s">
        <v>343</v>
      </c>
      <c r="AJ5" s="508" t="s">
        <v>344</v>
      </c>
      <c r="AK5" s="508"/>
      <c r="AL5" s="489" t="s">
        <v>345</v>
      </c>
      <c r="AM5" s="489" t="s">
        <v>305</v>
      </c>
      <c r="AN5" s="489" t="s">
        <v>307</v>
      </c>
      <c r="AO5" s="509" t="s">
        <v>346</v>
      </c>
      <c r="AP5" s="509"/>
      <c r="AQ5" s="489" t="s">
        <v>347</v>
      </c>
      <c r="AR5" s="497" t="s">
        <v>348</v>
      </c>
      <c r="AS5" s="498"/>
      <c r="AT5" s="498"/>
      <c r="AU5" s="499" t="s">
        <v>349</v>
      </c>
      <c r="AV5" s="500"/>
      <c r="AW5" s="501"/>
      <c r="AX5" s="3"/>
      <c r="AY5" s="502" t="s">
        <v>947</v>
      </c>
      <c r="AZ5" s="503"/>
      <c r="BA5" s="504"/>
      <c r="BB5" s="8"/>
      <c r="BC5" s="505" t="s">
        <v>351</v>
      </c>
      <c r="BD5" s="506"/>
      <c r="BE5" s="507"/>
    </row>
    <row r="6" spans="1:61" s="4" customFormat="1" ht="142.94999999999999" customHeight="1" x14ac:dyDescent="0.25">
      <c r="A6" s="484"/>
      <c r="B6" s="485"/>
      <c r="C6" s="482"/>
      <c r="D6" s="486"/>
      <c r="E6" s="488"/>
      <c r="F6" s="482"/>
      <c r="G6" s="482"/>
      <c r="H6" s="11"/>
      <c r="I6" s="482"/>
      <c r="J6" s="71" t="s">
        <v>352</v>
      </c>
      <c r="K6" s="71" t="s">
        <v>353</v>
      </c>
      <c r="L6" s="71" t="s">
        <v>354</v>
      </c>
      <c r="M6" s="71"/>
      <c r="N6" s="308" t="s">
        <v>355</v>
      </c>
      <c r="O6" s="308" t="s">
        <v>356</v>
      </c>
      <c r="P6" s="308" t="s">
        <v>357</v>
      </c>
      <c r="Q6" s="308" t="s">
        <v>358</v>
      </c>
      <c r="R6" s="308" t="s">
        <v>359</v>
      </c>
      <c r="S6" s="308" t="s">
        <v>360</v>
      </c>
      <c r="T6" s="308" t="s">
        <v>361</v>
      </c>
      <c r="U6" s="308" t="s">
        <v>362</v>
      </c>
      <c r="V6" s="490"/>
      <c r="W6" s="490"/>
      <c r="X6" s="490"/>
      <c r="Y6" s="490"/>
      <c r="Z6" s="496"/>
      <c r="AA6" s="308" t="s">
        <v>363</v>
      </c>
      <c r="AB6" s="308" t="s">
        <v>364</v>
      </c>
      <c r="AC6" s="308" t="s">
        <v>365</v>
      </c>
      <c r="AD6" s="308" t="s">
        <v>366</v>
      </c>
      <c r="AE6" s="308" t="s">
        <v>367</v>
      </c>
      <c r="AF6" s="308" t="s">
        <v>368</v>
      </c>
      <c r="AG6" s="308" t="s">
        <v>369</v>
      </c>
      <c r="AH6" s="490"/>
      <c r="AI6" s="490"/>
      <c r="AJ6" s="308" t="s">
        <v>370</v>
      </c>
      <c r="AK6" s="308" t="s">
        <v>371</v>
      </c>
      <c r="AL6" s="490"/>
      <c r="AM6" s="490"/>
      <c r="AN6" s="490"/>
      <c r="AO6" s="308" t="s">
        <v>372</v>
      </c>
      <c r="AP6" s="308" t="s">
        <v>373</v>
      </c>
      <c r="AQ6" s="490"/>
      <c r="AR6" s="309" t="s">
        <v>374</v>
      </c>
      <c r="AS6" s="309" t="s">
        <v>375</v>
      </c>
      <c r="AT6" s="330" t="s">
        <v>376</v>
      </c>
      <c r="AU6" s="326" t="s">
        <v>1</v>
      </c>
      <c r="AV6" s="327" t="s">
        <v>2</v>
      </c>
      <c r="AW6" s="328" t="s">
        <v>377</v>
      </c>
      <c r="AX6" s="9"/>
      <c r="AY6" s="322" t="s">
        <v>378</v>
      </c>
      <c r="AZ6" s="322" t="s">
        <v>379</v>
      </c>
      <c r="BA6" s="322" t="s">
        <v>948</v>
      </c>
      <c r="BB6" s="311"/>
      <c r="BC6" s="310" t="s">
        <v>380</v>
      </c>
      <c r="BD6" s="310" t="s">
        <v>381</v>
      </c>
      <c r="BE6" s="310" t="s">
        <v>949</v>
      </c>
    </row>
    <row r="7" spans="1:61" s="4" customFormat="1" ht="15.6" x14ac:dyDescent="0.25">
      <c r="A7" s="342"/>
      <c r="B7" s="343"/>
      <c r="C7" s="307"/>
      <c r="D7" s="72"/>
      <c r="E7" s="344"/>
      <c r="F7" s="307"/>
      <c r="G7" s="307"/>
      <c r="H7" s="11"/>
      <c r="I7" s="307"/>
      <c r="J7" s="71"/>
      <c r="K7" s="71"/>
      <c r="L7" s="71"/>
      <c r="M7" s="71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45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9"/>
      <c r="AS7" s="309"/>
      <c r="AT7" s="330"/>
      <c r="AU7" s="326"/>
      <c r="AV7" s="327"/>
      <c r="AW7" s="328"/>
      <c r="AX7" s="9"/>
      <c r="AY7" s="322"/>
      <c r="AZ7" s="322"/>
      <c r="BA7" s="322"/>
      <c r="BB7" s="311"/>
      <c r="BC7" s="310"/>
      <c r="BD7" s="310"/>
      <c r="BE7" s="310"/>
    </row>
    <row r="8" spans="1:61" x14ac:dyDescent="0.25">
      <c r="B8" s="312">
        <v>19</v>
      </c>
      <c r="C8" s="312" t="s">
        <v>495</v>
      </c>
      <c r="D8" s="312"/>
      <c r="E8" s="312">
        <v>1</v>
      </c>
      <c r="F8" s="312">
        <v>0</v>
      </c>
      <c r="G8" s="313" t="s">
        <v>3</v>
      </c>
      <c r="H8" s="313"/>
      <c r="I8" s="346">
        <v>152.30000000000001</v>
      </c>
      <c r="J8" s="317">
        <v>152.30000000000001</v>
      </c>
      <c r="K8" s="317">
        <v>0</v>
      </c>
      <c r="L8" s="317">
        <v>0</v>
      </c>
      <c r="M8" s="317"/>
      <c r="N8" s="319">
        <v>0</v>
      </c>
      <c r="O8" s="319">
        <v>0</v>
      </c>
      <c r="P8" s="319">
        <v>0</v>
      </c>
      <c r="Q8" s="319">
        <v>0</v>
      </c>
      <c r="R8" s="319">
        <v>0</v>
      </c>
      <c r="S8" s="319">
        <v>0</v>
      </c>
      <c r="T8" s="319">
        <v>0</v>
      </c>
      <c r="U8" s="319">
        <v>0</v>
      </c>
      <c r="V8" s="319">
        <v>0</v>
      </c>
      <c r="W8" s="319">
        <v>0</v>
      </c>
      <c r="X8" s="319">
        <v>0</v>
      </c>
      <c r="Y8" s="319">
        <v>0</v>
      </c>
      <c r="Z8" s="319">
        <v>1.6605000000000001</v>
      </c>
      <c r="AA8" s="319">
        <v>0</v>
      </c>
      <c r="AB8" s="319">
        <v>0</v>
      </c>
      <c r="AC8" s="319">
        <v>0</v>
      </c>
      <c r="AD8" s="319">
        <v>0</v>
      </c>
      <c r="AE8" s="319">
        <v>0</v>
      </c>
      <c r="AF8" s="319">
        <v>0</v>
      </c>
      <c r="AG8" s="319">
        <v>0</v>
      </c>
      <c r="AH8" s="319">
        <v>0</v>
      </c>
      <c r="AI8" s="319">
        <v>0</v>
      </c>
      <c r="AJ8" s="319">
        <v>0</v>
      </c>
      <c r="AK8" s="319">
        <v>0</v>
      </c>
      <c r="AL8" s="319">
        <v>0</v>
      </c>
      <c r="AM8" s="319">
        <v>0</v>
      </c>
      <c r="AN8" s="319">
        <v>0</v>
      </c>
      <c r="AO8" s="319">
        <v>0</v>
      </c>
      <c r="AP8" s="319">
        <v>0</v>
      </c>
      <c r="AQ8" s="319">
        <v>0</v>
      </c>
      <c r="AR8" s="319">
        <v>8.3000000000000004E-2</v>
      </c>
      <c r="AS8" s="319">
        <v>8.3000000000000004E-2</v>
      </c>
      <c r="AT8" s="331">
        <v>8.3000000000000004E-2</v>
      </c>
      <c r="AU8" s="336">
        <v>1.7435</v>
      </c>
      <c r="AV8" s="329">
        <v>1.7435</v>
      </c>
      <c r="AW8" s="337">
        <v>1.7435</v>
      </c>
      <c r="AX8" s="334"/>
      <c r="AY8" s="323">
        <v>1.3729</v>
      </c>
      <c r="AZ8" s="323">
        <v>1.3729</v>
      </c>
      <c r="BA8" s="323">
        <v>1.3729</v>
      </c>
      <c r="BB8" s="319"/>
      <c r="BC8" s="321">
        <f t="shared" ref="BC8:BC71" si="0">AU8/AY8</f>
        <v>1.2699395440308836</v>
      </c>
      <c r="BD8" s="321">
        <f t="shared" ref="BD8:BD71" si="1">AV8/AZ8</f>
        <v>1.2699395440308836</v>
      </c>
      <c r="BE8" s="321">
        <f t="shared" ref="BE8:BE71" si="2">AW8/BA8</f>
        <v>1.2699395440308836</v>
      </c>
      <c r="BG8" s="22">
        <f t="shared" ref="BG8:BG71" si="3">AU8-N8-O8-P8-Q8-R8-S8-T8-U8-X8-Y8-Z8-AA8-AB8-AC8-AD8-AE8-AF8-AG8-AH8-AI8-AJ8-AK8-AL8-AM8-AN8-AO8-AQ8-AR8</f>
        <v>0</v>
      </c>
      <c r="BH8" s="22">
        <f t="shared" ref="BH8:BH71" si="4">AV8-AS8-AQ8-AP8-AO8-AN8-AM8-AL8-AK8-AJ8-AI8-AH8-AG8-AF8-AE8-AD8-AC8-AB8-AA8-Z8-Y8-X8-W8-V8-U8-T8-S8-R8-Q8-P8-O8-N8</f>
        <v>0</v>
      </c>
      <c r="BI8" s="22">
        <f t="shared" ref="BI8:BI71" si="5">AW8-AT8-AQ8-AN8-AM8-AK8-AH8-AG8-AF8-AE8-AD8-AC8-AB8-AA8-Z8-Y8-X8-U8-T8-S8-R8-Q8-P8-O8-N8</f>
        <v>0</v>
      </c>
    </row>
    <row r="9" spans="1:61" x14ac:dyDescent="0.25">
      <c r="B9" s="312">
        <v>143</v>
      </c>
      <c r="C9" s="312" t="s">
        <v>746</v>
      </c>
      <c r="D9" s="312"/>
      <c r="E9" s="312">
        <v>1</v>
      </c>
      <c r="F9" s="312">
        <v>0</v>
      </c>
      <c r="G9" s="313" t="s">
        <v>5</v>
      </c>
      <c r="H9" s="313"/>
      <c r="I9" s="346">
        <v>63.200000000000017</v>
      </c>
      <c r="J9" s="317">
        <v>63.200000000000017</v>
      </c>
      <c r="K9" s="317">
        <v>0</v>
      </c>
      <c r="L9" s="317">
        <v>0</v>
      </c>
      <c r="M9" s="317"/>
      <c r="N9" s="319">
        <v>0</v>
      </c>
      <c r="O9" s="319">
        <v>0</v>
      </c>
      <c r="P9" s="319">
        <v>0</v>
      </c>
      <c r="Q9" s="319">
        <v>0</v>
      </c>
      <c r="R9" s="319">
        <v>0</v>
      </c>
      <c r="S9" s="319">
        <v>0</v>
      </c>
      <c r="T9" s="319">
        <v>0</v>
      </c>
      <c r="U9" s="319">
        <v>0</v>
      </c>
      <c r="V9" s="319">
        <v>0</v>
      </c>
      <c r="W9" s="319">
        <v>0</v>
      </c>
      <c r="X9" s="319">
        <v>1.1261000000000001</v>
      </c>
      <c r="Y9" s="319">
        <v>0</v>
      </c>
      <c r="Z9" s="319">
        <v>1.0224</v>
      </c>
      <c r="AA9" s="319">
        <v>0</v>
      </c>
      <c r="AB9" s="319">
        <v>0</v>
      </c>
      <c r="AC9" s="319">
        <v>0</v>
      </c>
      <c r="AD9" s="319">
        <v>0</v>
      </c>
      <c r="AE9" s="319">
        <v>0</v>
      </c>
      <c r="AF9" s="319">
        <v>0</v>
      </c>
      <c r="AG9" s="319">
        <v>0</v>
      </c>
      <c r="AH9" s="319">
        <v>0</v>
      </c>
      <c r="AI9" s="319">
        <v>0</v>
      </c>
      <c r="AJ9" s="319">
        <v>0</v>
      </c>
      <c r="AK9" s="319">
        <v>0</v>
      </c>
      <c r="AL9" s="319">
        <v>0</v>
      </c>
      <c r="AM9" s="319">
        <v>0</v>
      </c>
      <c r="AN9" s="319">
        <v>0</v>
      </c>
      <c r="AO9" s="319">
        <v>0</v>
      </c>
      <c r="AP9" s="319">
        <v>0</v>
      </c>
      <c r="AQ9" s="319">
        <v>0</v>
      </c>
      <c r="AR9" s="319">
        <v>0.1074</v>
      </c>
      <c r="AS9" s="319">
        <v>0.1074</v>
      </c>
      <c r="AT9" s="331">
        <v>0.1074</v>
      </c>
      <c r="AU9" s="336">
        <v>2.2559000000000005</v>
      </c>
      <c r="AV9" s="329">
        <v>2.2559000000000005</v>
      </c>
      <c r="AW9" s="337">
        <v>2.2559000000000005</v>
      </c>
      <c r="AX9" s="334"/>
      <c r="AY9" s="323">
        <v>1.7764</v>
      </c>
      <c r="AZ9" s="323">
        <v>1.7764</v>
      </c>
      <c r="BA9" s="323">
        <v>1.7764</v>
      </c>
      <c r="BB9" s="319"/>
      <c r="BC9" s="321">
        <f t="shared" si="0"/>
        <v>1.2699279441567217</v>
      </c>
      <c r="BD9" s="321">
        <f t="shared" si="1"/>
        <v>1.2699279441567217</v>
      </c>
      <c r="BE9" s="321">
        <f t="shared" si="2"/>
        <v>1.2699279441567217</v>
      </c>
      <c r="BG9" s="22">
        <f t="shared" si="3"/>
        <v>3.8857805861880479E-16</v>
      </c>
      <c r="BH9" s="22">
        <f t="shared" si="4"/>
        <v>2.2204460492503131E-16</v>
      </c>
      <c r="BI9" s="22">
        <f t="shared" si="5"/>
        <v>2.2204460492503131E-16</v>
      </c>
    </row>
    <row r="10" spans="1:61" x14ac:dyDescent="0.25">
      <c r="B10" s="312">
        <v>192</v>
      </c>
      <c r="C10" s="312" t="s">
        <v>849</v>
      </c>
      <c r="D10" s="312"/>
      <c r="E10" s="312">
        <v>1</v>
      </c>
      <c r="F10" s="312">
        <v>0</v>
      </c>
      <c r="G10" s="313" t="s">
        <v>6</v>
      </c>
      <c r="H10" s="313"/>
      <c r="I10" s="346">
        <v>171.1</v>
      </c>
      <c r="J10" s="317">
        <v>171.1</v>
      </c>
      <c r="K10" s="317">
        <v>0</v>
      </c>
      <c r="L10" s="317">
        <v>0</v>
      </c>
      <c r="M10" s="317"/>
      <c r="N10" s="319">
        <v>0</v>
      </c>
      <c r="O10" s="319">
        <v>0</v>
      </c>
      <c r="P10" s="319">
        <v>0</v>
      </c>
      <c r="Q10" s="319">
        <v>0</v>
      </c>
      <c r="R10" s="319">
        <v>0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0.36969999999999997</v>
      </c>
      <c r="Y10" s="319">
        <v>0</v>
      </c>
      <c r="Z10" s="319">
        <v>1.7537</v>
      </c>
      <c r="AA10" s="319">
        <v>0</v>
      </c>
      <c r="AB10" s="319">
        <v>0</v>
      </c>
      <c r="AC10" s="319">
        <v>0</v>
      </c>
      <c r="AD10" s="319">
        <v>0</v>
      </c>
      <c r="AE10" s="319">
        <v>0</v>
      </c>
      <c r="AF10" s="319">
        <v>0</v>
      </c>
      <c r="AG10" s="319">
        <v>0</v>
      </c>
      <c r="AH10" s="319">
        <v>0</v>
      </c>
      <c r="AI10" s="319">
        <v>0</v>
      </c>
      <c r="AJ10" s="319">
        <v>0</v>
      </c>
      <c r="AK10" s="319">
        <v>0</v>
      </c>
      <c r="AL10" s="319">
        <v>0</v>
      </c>
      <c r="AM10" s="319">
        <v>0</v>
      </c>
      <c r="AN10" s="319">
        <v>0</v>
      </c>
      <c r="AO10" s="319">
        <v>0</v>
      </c>
      <c r="AP10" s="319">
        <v>0</v>
      </c>
      <c r="AQ10" s="319">
        <v>0</v>
      </c>
      <c r="AR10" s="319">
        <v>0.1062</v>
      </c>
      <c r="AS10" s="319">
        <v>0.1062</v>
      </c>
      <c r="AT10" s="331">
        <v>0.1062</v>
      </c>
      <c r="AU10" s="336">
        <v>2.2296</v>
      </c>
      <c r="AV10" s="329">
        <v>2.2296</v>
      </c>
      <c r="AW10" s="337">
        <v>2.2296</v>
      </c>
      <c r="AX10" s="334"/>
      <c r="AY10" s="323">
        <v>1.7557999999999998</v>
      </c>
      <c r="AZ10" s="323">
        <v>1.7557999999999998</v>
      </c>
      <c r="BA10" s="323">
        <v>1.7557999999999998</v>
      </c>
      <c r="BB10" s="319"/>
      <c r="BC10" s="321">
        <f t="shared" si="0"/>
        <v>1.2698485021073016</v>
      </c>
      <c r="BD10" s="321">
        <f t="shared" si="1"/>
        <v>1.2698485021073016</v>
      </c>
      <c r="BE10" s="321">
        <f t="shared" si="2"/>
        <v>1.2698485021073016</v>
      </c>
      <c r="BG10" s="22">
        <f t="shared" si="3"/>
        <v>0</v>
      </c>
      <c r="BH10" s="22">
        <f t="shared" si="4"/>
        <v>1.6653345369377348E-16</v>
      </c>
      <c r="BI10" s="22">
        <f t="shared" si="5"/>
        <v>1.6653345369377348E-16</v>
      </c>
    </row>
    <row r="11" spans="1:61" x14ac:dyDescent="0.25">
      <c r="B11" s="312">
        <v>9</v>
      </c>
      <c r="C11" s="312" t="s">
        <v>475</v>
      </c>
      <c r="D11" s="312" t="s">
        <v>946</v>
      </c>
      <c r="E11" s="312">
        <v>2</v>
      </c>
      <c r="F11" s="312">
        <v>2</v>
      </c>
      <c r="G11" s="313" t="s">
        <v>7</v>
      </c>
      <c r="H11" s="313"/>
      <c r="I11" s="346">
        <v>635.4</v>
      </c>
      <c r="J11" s="317">
        <v>405.2</v>
      </c>
      <c r="K11" s="317">
        <v>0</v>
      </c>
      <c r="L11" s="317">
        <v>230.2</v>
      </c>
      <c r="M11" s="317"/>
      <c r="N11" s="319">
        <v>0.22509999999999999</v>
      </c>
      <c r="O11" s="319">
        <v>0.104</v>
      </c>
      <c r="P11" s="319">
        <v>0</v>
      </c>
      <c r="Q11" s="319">
        <v>0</v>
      </c>
      <c r="R11" s="319">
        <v>0</v>
      </c>
      <c r="S11" s="319">
        <v>0.30590000000000001</v>
      </c>
      <c r="T11" s="319">
        <v>0</v>
      </c>
      <c r="U11" s="319">
        <v>0.61070000000000002</v>
      </c>
      <c r="V11" s="319">
        <v>0</v>
      </c>
      <c r="W11" s="319">
        <v>0</v>
      </c>
      <c r="X11" s="319">
        <v>0.59740000000000004</v>
      </c>
      <c r="Y11" s="319">
        <v>0</v>
      </c>
      <c r="Z11" s="319">
        <v>1.3346</v>
      </c>
      <c r="AA11" s="319">
        <v>0.161</v>
      </c>
      <c r="AB11" s="319">
        <v>0.53390000000000004</v>
      </c>
      <c r="AC11" s="319">
        <v>0</v>
      </c>
      <c r="AD11" s="319">
        <v>0</v>
      </c>
      <c r="AE11" s="319">
        <v>0</v>
      </c>
      <c r="AF11" s="319">
        <v>8.8999999999999996E-2</v>
      </c>
      <c r="AG11" s="319">
        <v>0.04</v>
      </c>
      <c r="AH11" s="319">
        <v>0</v>
      </c>
      <c r="AI11" s="319">
        <v>3.73</v>
      </c>
      <c r="AJ11" s="319">
        <v>1.5455000000000001</v>
      </c>
      <c r="AK11" s="319">
        <v>0</v>
      </c>
      <c r="AL11" s="319">
        <v>0.75380000000000003</v>
      </c>
      <c r="AM11" s="319">
        <v>0</v>
      </c>
      <c r="AN11" s="319">
        <v>0</v>
      </c>
      <c r="AO11" s="319">
        <v>0.28100000000000003</v>
      </c>
      <c r="AP11" s="319">
        <v>0</v>
      </c>
      <c r="AQ11" s="319">
        <v>0</v>
      </c>
      <c r="AR11" s="319">
        <v>0.51559999999999995</v>
      </c>
      <c r="AS11" s="319">
        <v>0.51559999999999995</v>
      </c>
      <c r="AT11" s="331">
        <v>0.2001</v>
      </c>
      <c r="AU11" s="336">
        <v>10.827500000000001</v>
      </c>
      <c r="AV11" s="329">
        <v>10.827500000000001</v>
      </c>
      <c r="AW11" s="337">
        <v>4.2016999999999998</v>
      </c>
      <c r="AX11" s="334"/>
      <c r="AY11" s="323">
        <v>8.5260000000000016</v>
      </c>
      <c r="AZ11" s="323">
        <v>8.5260000000000016</v>
      </c>
      <c r="BA11" s="323">
        <v>3.9618000000000002</v>
      </c>
      <c r="BB11" s="319"/>
      <c r="BC11" s="321">
        <f t="shared" si="0"/>
        <v>1.2699390100867931</v>
      </c>
      <c r="BD11" s="321">
        <f t="shared" si="1"/>
        <v>1.2699390100867931</v>
      </c>
      <c r="BE11" s="321">
        <f t="shared" si="2"/>
        <v>1.0605532838608711</v>
      </c>
      <c r="BG11" s="22">
        <f t="shared" si="3"/>
        <v>2.4424906541753444E-15</v>
      </c>
      <c r="BH11" s="22">
        <f t="shared" si="4"/>
        <v>0</v>
      </c>
      <c r="BI11" s="22">
        <f t="shared" si="5"/>
        <v>0</v>
      </c>
    </row>
    <row r="12" spans="1:61" x14ac:dyDescent="0.25">
      <c r="B12" s="312">
        <v>14</v>
      </c>
      <c r="C12" s="312" t="s">
        <v>485</v>
      </c>
      <c r="D12" s="312" t="s">
        <v>946</v>
      </c>
      <c r="E12" s="312">
        <v>2</v>
      </c>
      <c r="F12" s="312">
        <v>3</v>
      </c>
      <c r="G12" s="313" t="s">
        <v>9</v>
      </c>
      <c r="H12" s="313"/>
      <c r="I12" s="346">
        <v>932</v>
      </c>
      <c r="J12" s="317">
        <v>932</v>
      </c>
      <c r="K12" s="317">
        <v>0</v>
      </c>
      <c r="L12" s="317">
        <v>0</v>
      </c>
      <c r="M12" s="317"/>
      <c r="N12" s="319">
        <v>0.156</v>
      </c>
      <c r="O12" s="319">
        <v>9.8699999999999996E-2</v>
      </c>
      <c r="P12" s="319">
        <v>0.36430000000000001</v>
      </c>
      <c r="Q12" s="319">
        <v>7.1400000000000005E-2</v>
      </c>
      <c r="R12" s="319">
        <v>0</v>
      </c>
      <c r="S12" s="319">
        <v>0.58520000000000005</v>
      </c>
      <c r="T12" s="319">
        <v>0</v>
      </c>
      <c r="U12" s="319">
        <v>0.63149999999999995</v>
      </c>
      <c r="V12" s="319">
        <v>0</v>
      </c>
      <c r="W12" s="319">
        <v>0</v>
      </c>
      <c r="X12" s="319">
        <v>0.1358</v>
      </c>
      <c r="Y12" s="319">
        <v>0</v>
      </c>
      <c r="Z12" s="319">
        <v>1.4052</v>
      </c>
      <c r="AA12" s="319">
        <v>0.20269999999999999</v>
      </c>
      <c r="AB12" s="319">
        <v>0.36220000000000002</v>
      </c>
      <c r="AC12" s="319">
        <v>9.1700000000000004E-2</v>
      </c>
      <c r="AD12" s="319">
        <v>0.1231</v>
      </c>
      <c r="AE12" s="319">
        <v>0</v>
      </c>
      <c r="AF12" s="319">
        <v>0.14399999999999999</v>
      </c>
      <c r="AG12" s="319">
        <v>4.4200000000000003E-2</v>
      </c>
      <c r="AH12" s="319">
        <v>0</v>
      </c>
      <c r="AI12" s="319">
        <v>2.8563000000000001</v>
      </c>
      <c r="AJ12" s="319">
        <v>1.1818</v>
      </c>
      <c r="AK12" s="319">
        <v>8.2000000000000003E-2</v>
      </c>
      <c r="AL12" s="319">
        <v>0.93110000000000004</v>
      </c>
      <c r="AM12" s="319">
        <v>0.17330000000000001</v>
      </c>
      <c r="AN12" s="319">
        <v>2.81E-2</v>
      </c>
      <c r="AO12" s="319">
        <v>0.49430000000000002</v>
      </c>
      <c r="AP12" s="319">
        <v>0</v>
      </c>
      <c r="AQ12" s="319">
        <v>0</v>
      </c>
      <c r="AR12" s="319">
        <v>0.5081</v>
      </c>
      <c r="AS12" s="319">
        <v>0.5081</v>
      </c>
      <c r="AT12" s="331">
        <v>0.23499999999999999</v>
      </c>
      <c r="AU12" s="336">
        <v>10.671000000000003</v>
      </c>
      <c r="AV12" s="329">
        <v>10.671000000000003</v>
      </c>
      <c r="AW12" s="337">
        <v>4.934400000000001</v>
      </c>
      <c r="AX12" s="334"/>
      <c r="AY12" s="323">
        <v>8.4027999999999992</v>
      </c>
      <c r="AZ12" s="323">
        <v>8.4027999999999992</v>
      </c>
      <c r="BA12" s="323">
        <v>4.4276999999999997</v>
      </c>
      <c r="BB12" s="319"/>
      <c r="BC12" s="321">
        <f t="shared" si="0"/>
        <v>1.26993383157995</v>
      </c>
      <c r="BD12" s="321">
        <f t="shared" si="1"/>
        <v>1.26993383157995</v>
      </c>
      <c r="BE12" s="321">
        <f t="shared" si="2"/>
        <v>1.1144386476048516</v>
      </c>
      <c r="BG12" s="22">
        <f t="shared" si="3"/>
        <v>3.5527136788005009E-15</v>
      </c>
      <c r="BH12" s="22">
        <f t="shared" si="4"/>
        <v>-4.7184478546569153E-16</v>
      </c>
      <c r="BI12" s="22">
        <f t="shared" si="5"/>
        <v>-4.7184478546569153E-16</v>
      </c>
    </row>
    <row r="13" spans="1:61" x14ac:dyDescent="0.25">
      <c r="B13" s="312">
        <v>15</v>
      </c>
      <c r="C13" s="312" t="s">
        <v>487</v>
      </c>
      <c r="D13" s="312"/>
      <c r="E13" s="312">
        <v>2</v>
      </c>
      <c r="F13" s="312">
        <v>1</v>
      </c>
      <c r="G13" s="313" t="s">
        <v>10</v>
      </c>
      <c r="H13" s="313"/>
      <c r="I13" s="346">
        <v>880.78</v>
      </c>
      <c r="J13" s="317">
        <v>880.78</v>
      </c>
      <c r="K13" s="317">
        <v>0</v>
      </c>
      <c r="L13" s="317">
        <v>0</v>
      </c>
      <c r="M13" s="317"/>
      <c r="N13" s="319">
        <v>0.1857</v>
      </c>
      <c r="O13" s="319">
        <v>0.17230000000000001</v>
      </c>
      <c r="P13" s="319">
        <v>0.32979999999999998</v>
      </c>
      <c r="Q13" s="319">
        <v>0</v>
      </c>
      <c r="R13" s="319">
        <v>0</v>
      </c>
      <c r="S13" s="319">
        <v>0.17510000000000001</v>
      </c>
      <c r="T13" s="319">
        <v>0</v>
      </c>
      <c r="U13" s="319">
        <v>0.62080000000000002</v>
      </c>
      <c r="V13" s="319">
        <v>0</v>
      </c>
      <c r="W13" s="319">
        <v>0</v>
      </c>
      <c r="X13" s="319">
        <v>2.69E-2</v>
      </c>
      <c r="Y13" s="319">
        <v>0</v>
      </c>
      <c r="Z13" s="319">
        <v>1.6395</v>
      </c>
      <c r="AA13" s="319">
        <v>0.34139999999999998</v>
      </c>
      <c r="AB13" s="319">
        <v>0.3639</v>
      </c>
      <c r="AC13" s="319">
        <v>8.5199999999999998E-2</v>
      </c>
      <c r="AD13" s="319">
        <v>0</v>
      </c>
      <c r="AE13" s="319">
        <v>0</v>
      </c>
      <c r="AF13" s="319">
        <v>2.5000000000000001E-2</v>
      </c>
      <c r="AG13" s="319">
        <v>0.04</v>
      </c>
      <c r="AH13" s="319">
        <v>0</v>
      </c>
      <c r="AI13" s="319">
        <v>3.6109</v>
      </c>
      <c r="AJ13" s="319">
        <v>0.78869999999999996</v>
      </c>
      <c r="AK13" s="319">
        <v>0</v>
      </c>
      <c r="AL13" s="319">
        <v>0.80059999999999998</v>
      </c>
      <c r="AM13" s="319">
        <v>0</v>
      </c>
      <c r="AN13" s="319">
        <v>0</v>
      </c>
      <c r="AO13" s="319">
        <v>0.999</v>
      </c>
      <c r="AP13" s="319">
        <v>0</v>
      </c>
      <c r="AQ13" s="319">
        <v>0</v>
      </c>
      <c r="AR13" s="319">
        <v>0.51019999999999999</v>
      </c>
      <c r="AS13" s="319">
        <v>0.51019999999999999</v>
      </c>
      <c r="AT13" s="331">
        <v>0.20030000000000001</v>
      </c>
      <c r="AU13" s="336">
        <v>10.715</v>
      </c>
      <c r="AV13" s="329">
        <v>10.715</v>
      </c>
      <c r="AW13" s="337">
        <v>4.2059000000000006</v>
      </c>
      <c r="AX13" s="334"/>
      <c r="AY13" s="323">
        <v>8.5299999999999994</v>
      </c>
      <c r="AZ13" s="323">
        <v>8.5299999999999994</v>
      </c>
      <c r="BA13" s="323">
        <v>3.7541999999999991</v>
      </c>
      <c r="BB13" s="319"/>
      <c r="BC13" s="321">
        <f t="shared" si="0"/>
        <v>1.2561547479484174</v>
      </c>
      <c r="BD13" s="321">
        <f t="shared" si="1"/>
        <v>1.2561547479484174</v>
      </c>
      <c r="BE13" s="321">
        <f t="shared" si="2"/>
        <v>1.1203185765276229</v>
      </c>
      <c r="BG13" s="22">
        <f t="shared" si="3"/>
        <v>-2.9976021664879227E-15</v>
      </c>
      <c r="BH13" s="22">
        <f t="shared" si="4"/>
        <v>0</v>
      </c>
      <c r="BI13" s="22">
        <f t="shared" si="5"/>
        <v>0</v>
      </c>
    </row>
    <row r="14" spans="1:61" x14ac:dyDescent="0.25">
      <c r="B14" s="312">
        <v>16</v>
      </c>
      <c r="C14" s="312" t="s">
        <v>489</v>
      </c>
      <c r="D14" s="312"/>
      <c r="E14" s="312">
        <v>2</v>
      </c>
      <c r="F14" s="312">
        <v>2</v>
      </c>
      <c r="G14" s="313" t="s">
        <v>12</v>
      </c>
      <c r="H14" s="313"/>
      <c r="I14" s="346">
        <v>625.79999999999995</v>
      </c>
      <c r="J14" s="317">
        <v>625.79999999999995</v>
      </c>
      <c r="K14" s="317">
        <v>0</v>
      </c>
      <c r="L14" s="317">
        <v>0</v>
      </c>
      <c r="M14" s="317"/>
      <c r="N14" s="319">
        <v>0.2324</v>
      </c>
      <c r="O14" s="319">
        <v>0.1469</v>
      </c>
      <c r="P14" s="319">
        <v>0.2797</v>
      </c>
      <c r="Q14" s="319">
        <v>0</v>
      </c>
      <c r="R14" s="319">
        <v>0</v>
      </c>
      <c r="S14" s="319">
        <v>0.4652</v>
      </c>
      <c r="T14" s="319">
        <v>0</v>
      </c>
      <c r="U14" s="319">
        <v>0.62080000000000002</v>
      </c>
      <c r="V14" s="319">
        <v>0</v>
      </c>
      <c r="W14" s="319">
        <v>0</v>
      </c>
      <c r="X14" s="319">
        <v>0.60650000000000004</v>
      </c>
      <c r="Y14" s="319">
        <v>0</v>
      </c>
      <c r="Z14" s="319">
        <v>0.97360000000000002</v>
      </c>
      <c r="AA14" s="319">
        <v>0.2616</v>
      </c>
      <c r="AB14" s="319">
        <v>0.38619999999999999</v>
      </c>
      <c r="AC14" s="319">
        <v>5.8999999999999997E-2</v>
      </c>
      <c r="AD14" s="319">
        <v>0</v>
      </c>
      <c r="AE14" s="319">
        <v>0</v>
      </c>
      <c r="AF14" s="319">
        <v>0.09</v>
      </c>
      <c r="AG14" s="319">
        <v>4.0399999999999998E-2</v>
      </c>
      <c r="AH14" s="319">
        <v>0</v>
      </c>
      <c r="AI14" s="319">
        <v>3.5070999999999999</v>
      </c>
      <c r="AJ14" s="319">
        <v>0.9909</v>
      </c>
      <c r="AK14" s="319">
        <v>0</v>
      </c>
      <c r="AL14" s="319">
        <v>1.0809</v>
      </c>
      <c r="AM14" s="319">
        <v>0</v>
      </c>
      <c r="AN14" s="319">
        <v>0</v>
      </c>
      <c r="AO14" s="319">
        <v>1.7699</v>
      </c>
      <c r="AP14" s="319">
        <v>0</v>
      </c>
      <c r="AQ14" s="319">
        <v>0</v>
      </c>
      <c r="AR14" s="319">
        <v>0.5756</v>
      </c>
      <c r="AS14" s="319">
        <v>0.5756</v>
      </c>
      <c r="AT14" s="331">
        <v>0.20810000000000001</v>
      </c>
      <c r="AU14" s="336">
        <v>12.086699999999999</v>
      </c>
      <c r="AV14" s="329">
        <v>12.086699999999999</v>
      </c>
      <c r="AW14" s="337">
        <v>4.3704000000000001</v>
      </c>
      <c r="AX14" s="334"/>
      <c r="AY14" s="323">
        <v>9.5178000000000011</v>
      </c>
      <c r="AZ14" s="323">
        <v>9.5178000000000011</v>
      </c>
      <c r="BA14" s="323">
        <v>4.0602</v>
      </c>
      <c r="BB14" s="319"/>
      <c r="BC14" s="321">
        <f t="shared" si="0"/>
        <v>1.2699048099350687</v>
      </c>
      <c r="BD14" s="321">
        <f t="shared" si="1"/>
        <v>1.2699048099350687</v>
      </c>
      <c r="BE14" s="321">
        <f t="shared" si="2"/>
        <v>1.076400177331166</v>
      </c>
      <c r="BG14" s="22">
        <f t="shared" si="3"/>
        <v>1.2212453270876722E-15</v>
      </c>
      <c r="BH14" s="22">
        <f t="shared" si="4"/>
        <v>-4.163336342344337E-16</v>
      </c>
      <c r="BI14" s="22">
        <f t="shared" si="5"/>
        <v>-4.163336342344337E-16</v>
      </c>
    </row>
    <row r="15" spans="1:61" x14ac:dyDescent="0.25">
      <c r="B15" s="312">
        <v>17</v>
      </c>
      <c r="C15" s="312" t="s">
        <v>491</v>
      </c>
      <c r="D15" s="312"/>
      <c r="E15" s="312">
        <v>2</v>
      </c>
      <c r="F15" s="312">
        <v>2</v>
      </c>
      <c r="G15" s="313" t="s">
        <v>13</v>
      </c>
      <c r="H15" s="313"/>
      <c r="I15" s="346">
        <v>751.4</v>
      </c>
      <c r="J15" s="317">
        <v>751.4</v>
      </c>
      <c r="K15" s="317">
        <v>0</v>
      </c>
      <c r="L15" s="317">
        <v>0</v>
      </c>
      <c r="M15" s="317"/>
      <c r="N15" s="319">
        <v>0.19350000000000001</v>
      </c>
      <c r="O15" s="319">
        <v>0.12239999999999999</v>
      </c>
      <c r="P15" s="319">
        <v>0.3211</v>
      </c>
      <c r="Q15" s="319">
        <v>0</v>
      </c>
      <c r="R15" s="319">
        <v>0</v>
      </c>
      <c r="S15" s="319">
        <v>0.38750000000000001</v>
      </c>
      <c r="T15" s="319">
        <v>0</v>
      </c>
      <c r="U15" s="319">
        <v>0.62080000000000002</v>
      </c>
      <c r="V15" s="319">
        <v>0</v>
      </c>
      <c r="W15" s="319">
        <v>0</v>
      </c>
      <c r="X15" s="319">
        <v>0.50509999999999999</v>
      </c>
      <c r="Y15" s="319">
        <v>0</v>
      </c>
      <c r="Z15" s="319">
        <v>1.6045</v>
      </c>
      <c r="AA15" s="319">
        <v>0.25140000000000001</v>
      </c>
      <c r="AB15" s="319">
        <v>0.48159999999999997</v>
      </c>
      <c r="AC15" s="319">
        <v>7.6300000000000007E-2</v>
      </c>
      <c r="AD15" s="319">
        <v>0</v>
      </c>
      <c r="AE15" s="319">
        <v>0</v>
      </c>
      <c r="AF15" s="319">
        <v>8.9499999999999996E-2</v>
      </c>
      <c r="AG15" s="319">
        <v>3.7900000000000003E-2</v>
      </c>
      <c r="AH15" s="319">
        <v>0</v>
      </c>
      <c r="AI15" s="319">
        <v>3.6036999999999999</v>
      </c>
      <c r="AJ15" s="319">
        <v>1.1819</v>
      </c>
      <c r="AK15" s="319">
        <v>8.8499999999999995E-2</v>
      </c>
      <c r="AL15" s="319">
        <v>0.96560000000000001</v>
      </c>
      <c r="AM15" s="319">
        <v>5.5500000000000001E-2</v>
      </c>
      <c r="AN15" s="319">
        <v>8.9999999999999993E-3</v>
      </c>
      <c r="AO15" s="319">
        <v>0.4133</v>
      </c>
      <c r="AP15" s="319">
        <v>0</v>
      </c>
      <c r="AQ15" s="319">
        <v>0</v>
      </c>
      <c r="AR15" s="319">
        <v>0.55049999999999999</v>
      </c>
      <c r="AS15" s="319">
        <v>0.55049999999999999</v>
      </c>
      <c r="AT15" s="331">
        <v>0.2422</v>
      </c>
      <c r="AU15" s="336">
        <v>11.559600000000001</v>
      </c>
      <c r="AV15" s="329">
        <v>11.559600000000001</v>
      </c>
      <c r="AW15" s="337">
        <v>5.086800000000002</v>
      </c>
      <c r="AX15" s="334"/>
      <c r="AY15" s="323">
        <v>9.1029999999999998</v>
      </c>
      <c r="AZ15" s="323">
        <v>9.1029999999999998</v>
      </c>
      <c r="BA15" s="323">
        <v>4.1225999999999994</v>
      </c>
      <c r="BB15" s="319"/>
      <c r="BC15" s="321">
        <f t="shared" si="0"/>
        <v>1.2698670767878724</v>
      </c>
      <c r="BD15" s="321">
        <f t="shared" si="1"/>
        <v>1.2698670767878724</v>
      </c>
      <c r="BE15" s="321">
        <f t="shared" si="2"/>
        <v>1.2338815310726248</v>
      </c>
      <c r="BG15" s="22">
        <f t="shared" si="3"/>
        <v>0</v>
      </c>
      <c r="BH15" s="22">
        <f t="shared" si="4"/>
        <v>1.1102230246251565E-15</v>
      </c>
      <c r="BI15" s="22">
        <f t="shared" si="5"/>
        <v>1.1102230246251565E-15</v>
      </c>
    </row>
    <row r="16" spans="1:61" x14ac:dyDescent="0.25">
      <c r="B16" s="312">
        <v>18</v>
      </c>
      <c r="C16" s="312" t="s">
        <v>493</v>
      </c>
      <c r="D16" s="312"/>
      <c r="E16" s="312">
        <v>2</v>
      </c>
      <c r="F16" s="312">
        <v>2</v>
      </c>
      <c r="G16" s="313" t="s">
        <v>14</v>
      </c>
      <c r="H16" s="313"/>
      <c r="I16" s="346">
        <v>705.49</v>
      </c>
      <c r="J16" s="317">
        <v>705.49</v>
      </c>
      <c r="K16" s="317">
        <v>0</v>
      </c>
      <c r="L16" s="317">
        <v>0</v>
      </c>
      <c r="M16" s="317"/>
      <c r="N16" s="319">
        <v>0.2319</v>
      </c>
      <c r="O16" s="319">
        <v>0.14660000000000001</v>
      </c>
      <c r="P16" s="319">
        <v>0.33289999999999997</v>
      </c>
      <c r="Q16" s="319">
        <v>0</v>
      </c>
      <c r="R16" s="319">
        <v>0</v>
      </c>
      <c r="S16" s="319">
        <v>0.42180000000000001</v>
      </c>
      <c r="T16" s="319">
        <v>0</v>
      </c>
      <c r="U16" s="319">
        <v>0.62080000000000002</v>
      </c>
      <c r="V16" s="319">
        <v>0</v>
      </c>
      <c r="W16" s="319">
        <v>0</v>
      </c>
      <c r="X16" s="319">
        <v>0.53800000000000003</v>
      </c>
      <c r="Y16" s="319">
        <v>0</v>
      </c>
      <c r="Z16" s="319">
        <v>1.6980999999999999</v>
      </c>
      <c r="AA16" s="319">
        <v>0.30120000000000002</v>
      </c>
      <c r="AB16" s="319">
        <v>0.36070000000000002</v>
      </c>
      <c r="AC16" s="319">
        <v>8.2100000000000006E-2</v>
      </c>
      <c r="AD16" s="319">
        <v>0</v>
      </c>
      <c r="AE16" s="319">
        <v>0</v>
      </c>
      <c r="AF16" s="319">
        <v>9.2799999999999994E-2</v>
      </c>
      <c r="AG16" s="319">
        <v>3.8100000000000002E-2</v>
      </c>
      <c r="AH16" s="319">
        <v>0</v>
      </c>
      <c r="AI16" s="319">
        <v>4.4371999999999998</v>
      </c>
      <c r="AJ16" s="319">
        <v>0.97040000000000004</v>
      </c>
      <c r="AK16" s="319">
        <v>4.1799999999999997E-2</v>
      </c>
      <c r="AL16" s="319">
        <v>1.0589999999999999</v>
      </c>
      <c r="AM16" s="319">
        <v>5.91E-2</v>
      </c>
      <c r="AN16" s="319">
        <v>9.5999999999999992E-3</v>
      </c>
      <c r="AO16" s="319">
        <v>1.7166999999999999</v>
      </c>
      <c r="AP16" s="319">
        <v>0</v>
      </c>
      <c r="AQ16" s="319">
        <v>0</v>
      </c>
      <c r="AR16" s="319">
        <v>0.65790000000000004</v>
      </c>
      <c r="AS16" s="319">
        <v>0.65790000000000004</v>
      </c>
      <c r="AT16" s="331">
        <v>0.24879999999999999</v>
      </c>
      <c r="AU16" s="336">
        <v>13.816699999999999</v>
      </c>
      <c r="AV16" s="329">
        <v>13.816699999999999</v>
      </c>
      <c r="AW16" s="337">
        <v>5.2243000000000013</v>
      </c>
      <c r="AX16" s="334"/>
      <c r="AY16" s="323">
        <v>10.8825</v>
      </c>
      <c r="AZ16" s="323">
        <v>10.8825</v>
      </c>
      <c r="BA16" s="323">
        <v>4.0785999999999998</v>
      </c>
      <c r="BB16" s="319"/>
      <c r="BC16" s="321">
        <f t="shared" si="0"/>
        <v>1.269625545600735</v>
      </c>
      <c r="BD16" s="321">
        <f t="shared" si="1"/>
        <v>1.269625545600735</v>
      </c>
      <c r="BE16" s="321">
        <f t="shared" si="2"/>
        <v>1.2809052125729421</v>
      </c>
      <c r="BG16" s="22">
        <f t="shared" si="3"/>
        <v>0</v>
      </c>
      <c r="BH16" s="22">
        <f t="shared" si="4"/>
        <v>0</v>
      </c>
      <c r="BI16" s="22">
        <f t="shared" si="5"/>
        <v>1.609823385706477E-15</v>
      </c>
    </row>
    <row r="17" spans="2:61" x14ac:dyDescent="0.25">
      <c r="B17" s="312">
        <v>141</v>
      </c>
      <c r="C17" s="312" t="s">
        <v>742</v>
      </c>
      <c r="D17" s="312"/>
      <c r="E17" s="312">
        <v>2</v>
      </c>
      <c r="F17" s="312">
        <v>1</v>
      </c>
      <c r="G17" s="313" t="s">
        <v>15</v>
      </c>
      <c r="H17" s="313"/>
      <c r="I17" s="346">
        <v>389.9</v>
      </c>
      <c r="J17" s="317">
        <v>389.9</v>
      </c>
      <c r="K17" s="317">
        <v>0</v>
      </c>
      <c r="L17" s="317">
        <v>0</v>
      </c>
      <c r="M17" s="317"/>
      <c r="N17" s="319">
        <v>0.2145</v>
      </c>
      <c r="O17" s="319">
        <v>0.1147</v>
      </c>
      <c r="P17" s="319">
        <v>0</v>
      </c>
      <c r="Q17" s="319">
        <v>0</v>
      </c>
      <c r="R17" s="319">
        <v>0</v>
      </c>
      <c r="S17" s="319">
        <v>0.37340000000000001</v>
      </c>
      <c r="T17" s="319">
        <v>0</v>
      </c>
      <c r="U17" s="319">
        <v>0.61070000000000002</v>
      </c>
      <c r="V17" s="319">
        <v>0</v>
      </c>
      <c r="W17" s="319">
        <v>0</v>
      </c>
      <c r="X17" s="319">
        <v>0.32450000000000001</v>
      </c>
      <c r="Y17" s="319">
        <v>0</v>
      </c>
      <c r="Z17" s="319">
        <v>1.5828</v>
      </c>
      <c r="AA17" s="319">
        <v>0.23860000000000001</v>
      </c>
      <c r="AB17" s="319">
        <v>0.35370000000000001</v>
      </c>
      <c r="AC17" s="319">
        <v>0</v>
      </c>
      <c r="AD17" s="319">
        <v>0</v>
      </c>
      <c r="AE17" s="319">
        <v>0</v>
      </c>
      <c r="AF17" s="319">
        <v>6.4799999999999996E-2</v>
      </c>
      <c r="AG17" s="319">
        <v>3.5200000000000002E-2</v>
      </c>
      <c r="AH17" s="319">
        <v>0</v>
      </c>
      <c r="AI17" s="319">
        <v>2.3853</v>
      </c>
      <c r="AJ17" s="319">
        <v>1.4748000000000001</v>
      </c>
      <c r="AK17" s="319">
        <v>0</v>
      </c>
      <c r="AL17" s="319">
        <v>0.36830000000000002</v>
      </c>
      <c r="AM17" s="319">
        <v>0</v>
      </c>
      <c r="AN17" s="319">
        <v>0</v>
      </c>
      <c r="AO17" s="319">
        <v>6.6400000000000001E-2</v>
      </c>
      <c r="AP17" s="319">
        <v>0</v>
      </c>
      <c r="AQ17" s="319">
        <v>0</v>
      </c>
      <c r="AR17" s="319">
        <v>0.41039999999999999</v>
      </c>
      <c r="AS17" s="319">
        <v>0.41039999999999999</v>
      </c>
      <c r="AT17" s="331">
        <v>0.1956</v>
      </c>
      <c r="AU17" s="336">
        <v>8.6180999999999983</v>
      </c>
      <c r="AV17" s="329">
        <v>8.6180999999999983</v>
      </c>
      <c r="AW17" s="337">
        <v>4.1084999999999994</v>
      </c>
      <c r="AX17" s="334"/>
      <c r="AY17" s="323">
        <v>6.7862</v>
      </c>
      <c r="AZ17" s="323">
        <v>6.7862</v>
      </c>
      <c r="BA17" s="323">
        <v>3.6857000000000006</v>
      </c>
      <c r="BB17" s="319"/>
      <c r="BC17" s="321">
        <f t="shared" si="0"/>
        <v>1.2699448881553739</v>
      </c>
      <c r="BD17" s="321">
        <f t="shared" si="1"/>
        <v>1.2699448881553739</v>
      </c>
      <c r="BE17" s="321">
        <f t="shared" si="2"/>
        <v>1.1147136229210186</v>
      </c>
      <c r="BG17" s="22">
        <f t="shared" si="3"/>
        <v>0</v>
      </c>
      <c r="BH17" s="22">
        <f t="shared" si="4"/>
        <v>-3.3306690738754696E-16</v>
      </c>
      <c r="BI17" s="22">
        <f t="shared" si="5"/>
        <v>-3.3306690738754696E-16</v>
      </c>
    </row>
    <row r="18" spans="2:61" x14ac:dyDescent="0.25">
      <c r="B18" s="312">
        <v>142</v>
      </c>
      <c r="C18" s="312" t="s">
        <v>744</v>
      </c>
      <c r="D18" s="312"/>
      <c r="E18" s="312">
        <v>2</v>
      </c>
      <c r="F18" s="312">
        <v>1</v>
      </c>
      <c r="G18" s="313" t="s">
        <v>16</v>
      </c>
      <c r="H18" s="313"/>
      <c r="I18" s="346">
        <v>358.9</v>
      </c>
      <c r="J18" s="317">
        <v>358.9</v>
      </c>
      <c r="K18" s="317">
        <v>0</v>
      </c>
      <c r="L18" s="317">
        <v>0</v>
      </c>
      <c r="M18" s="317"/>
      <c r="N18" s="319">
        <v>0.23300000000000001</v>
      </c>
      <c r="O18" s="319">
        <v>0.12470000000000001</v>
      </c>
      <c r="P18" s="319">
        <v>0</v>
      </c>
      <c r="Q18" s="319">
        <v>0</v>
      </c>
      <c r="R18" s="319">
        <v>0</v>
      </c>
      <c r="S18" s="319">
        <v>0.35349999999999998</v>
      </c>
      <c r="T18" s="319">
        <v>0</v>
      </c>
      <c r="U18" s="319">
        <v>0.61070000000000002</v>
      </c>
      <c r="V18" s="319">
        <v>0</v>
      </c>
      <c r="W18" s="319">
        <v>0</v>
      </c>
      <c r="X18" s="319">
        <v>0.52880000000000005</v>
      </c>
      <c r="Y18" s="319">
        <v>0</v>
      </c>
      <c r="Z18" s="319">
        <v>1.4695</v>
      </c>
      <c r="AA18" s="319">
        <v>0.25919999999999999</v>
      </c>
      <c r="AB18" s="319">
        <v>0.1792</v>
      </c>
      <c r="AC18" s="319">
        <v>0</v>
      </c>
      <c r="AD18" s="319">
        <v>0</v>
      </c>
      <c r="AE18" s="319">
        <v>0</v>
      </c>
      <c r="AF18" s="319">
        <v>0.05</v>
      </c>
      <c r="AG18" s="319">
        <v>3.6999999999999998E-2</v>
      </c>
      <c r="AH18" s="319">
        <v>0</v>
      </c>
      <c r="AI18" s="319">
        <v>3.0400999999999998</v>
      </c>
      <c r="AJ18" s="319">
        <v>1.5806</v>
      </c>
      <c r="AK18" s="319">
        <v>0.1103</v>
      </c>
      <c r="AL18" s="319">
        <v>0.51400000000000001</v>
      </c>
      <c r="AM18" s="319">
        <v>0</v>
      </c>
      <c r="AN18" s="319">
        <v>0</v>
      </c>
      <c r="AO18" s="319">
        <v>7.2099999999999997E-2</v>
      </c>
      <c r="AP18" s="319">
        <v>0</v>
      </c>
      <c r="AQ18" s="319">
        <v>0</v>
      </c>
      <c r="AR18" s="319">
        <v>0.45810000000000001</v>
      </c>
      <c r="AS18" s="319">
        <v>0.45810000000000001</v>
      </c>
      <c r="AT18" s="331">
        <v>0.1978</v>
      </c>
      <c r="AU18" s="336">
        <v>9.6208000000000009</v>
      </c>
      <c r="AV18" s="329">
        <v>9.6208000000000009</v>
      </c>
      <c r="AW18" s="337">
        <v>4.1537000000000006</v>
      </c>
      <c r="AX18" s="334"/>
      <c r="AY18" s="323">
        <v>7.5759000000000007</v>
      </c>
      <c r="AZ18" s="323">
        <v>7.5759000000000007</v>
      </c>
      <c r="BA18" s="323">
        <v>3.938600000000001</v>
      </c>
      <c r="BB18" s="319"/>
      <c r="BC18" s="321">
        <f t="shared" si="0"/>
        <v>1.2699217254715611</v>
      </c>
      <c r="BD18" s="321">
        <f t="shared" si="1"/>
        <v>1.2699217254715611</v>
      </c>
      <c r="BE18" s="321">
        <f t="shared" si="2"/>
        <v>1.0546133143756664</v>
      </c>
      <c r="BG18" s="22">
        <f t="shared" si="3"/>
        <v>0</v>
      </c>
      <c r="BH18" s="22">
        <f t="shared" si="4"/>
        <v>7.2164496600635175E-16</v>
      </c>
      <c r="BI18" s="22">
        <f t="shared" si="5"/>
        <v>1.1657341758564144E-15</v>
      </c>
    </row>
    <row r="19" spans="2:61" x14ac:dyDescent="0.25">
      <c r="B19" s="312">
        <v>144</v>
      </c>
      <c r="C19" s="312" t="s">
        <v>748</v>
      </c>
      <c r="D19" s="312"/>
      <c r="E19" s="312">
        <v>2</v>
      </c>
      <c r="F19" s="312">
        <v>3</v>
      </c>
      <c r="G19" s="313" t="s">
        <v>17</v>
      </c>
      <c r="H19" s="313"/>
      <c r="I19" s="346">
        <v>934.3</v>
      </c>
      <c r="J19" s="317">
        <v>934.3</v>
      </c>
      <c r="K19" s="317">
        <v>0</v>
      </c>
      <c r="L19" s="317">
        <v>0</v>
      </c>
      <c r="M19" s="317"/>
      <c r="N19" s="319">
        <v>0.15559999999999999</v>
      </c>
      <c r="O19" s="319">
        <v>9.8400000000000001E-2</v>
      </c>
      <c r="P19" s="319">
        <v>0.31380000000000002</v>
      </c>
      <c r="Q19" s="319">
        <v>7.3499999999999996E-2</v>
      </c>
      <c r="R19" s="319">
        <v>0</v>
      </c>
      <c r="S19" s="319">
        <v>0.57140000000000002</v>
      </c>
      <c r="T19" s="319">
        <v>0</v>
      </c>
      <c r="U19" s="319">
        <v>0.63149999999999995</v>
      </c>
      <c r="V19" s="319">
        <v>0</v>
      </c>
      <c r="W19" s="319">
        <v>0</v>
      </c>
      <c r="X19" s="319">
        <v>0.13539999999999999</v>
      </c>
      <c r="Y19" s="319">
        <v>0</v>
      </c>
      <c r="Z19" s="319">
        <v>1.3184</v>
      </c>
      <c r="AA19" s="319">
        <v>0.20219999999999999</v>
      </c>
      <c r="AB19" s="319">
        <v>0.29520000000000002</v>
      </c>
      <c r="AC19" s="319">
        <v>7.3300000000000004E-2</v>
      </c>
      <c r="AD19" s="319">
        <v>9.7600000000000006E-2</v>
      </c>
      <c r="AE19" s="319">
        <v>0</v>
      </c>
      <c r="AF19" s="319">
        <v>0.14369999999999999</v>
      </c>
      <c r="AG19" s="319">
        <v>4.41E-2</v>
      </c>
      <c r="AH19" s="319">
        <v>0</v>
      </c>
      <c r="AI19" s="319">
        <v>3.1244000000000001</v>
      </c>
      <c r="AJ19" s="319">
        <v>1.1714</v>
      </c>
      <c r="AK19" s="319">
        <v>0.12230000000000001</v>
      </c>
      <c r="AL19" s="319">
        <v>0.81879999999999997</v>
      </c>
      <c r="AM19" s="319">
        <v>0.17269999999999999</v>
      </c>
      <c r="AN19" s="319">
        <v>2.8000000000000001E-2</v>
      </c>
      <c r="AO19" s="319">
        <v>0.46529999999999999</v>
      </c>
      <c r="AP19" s="319">
        <v>0</v>
      </c>
      <c r="AQ19" s="319">
        <v>0</v>
      </c>
      <c r="AR19" s="319">
        <v>0.50290000000000001</v>
      </c>
      <c r="AS19" s="319">
        <v>0.50290000000000001</v>
      </c>
      <c r="AT19" s="331">
        <v>0.22389999999999999</v>
      </c>
      <c r="AU19" s="336">
        <v>10.559900000000001</v>
      </c>
      <c r="AV19" s="329">
        <v>10.559900000000001</v>
      </c>
      <c r="AW19" s="337">
        <v>4.7010000000000023</v>
      </c>
      <c r="AX19" s="334"/>
      <c r="AY19" s="323">
        <v>8.3153000000000024</v>
      </c>
      <c r="AZ19" s="323">
        <v>8.3153000000000024</v>
      </c>
      <c r="BA19" s="323">
        <v>4.1523000000000012</v>
      </c>
      <c r="BB19" s="319"/>
      <c r="BC19" s="321">
        <f t="shared" si="0"/>
        <v>1.2699361418108785</v>
      </c>
      <c r="BD19" s="321">
        <f t="shared" si="1"/>
        <v>1.2699361418108785</v>
      </c>
      <c r="BE19" s="321">
        <f t="shared" si="2"/>
        <v>1.1321436312405175</v>
      </c>
      <c r="BG19" s="22">
        <f t="shared" si="3"/>
        <v>0</v>
      </c>
      <c r="BH19" s="22">
        <f t="shared" si="4"/>
        <v>1.4155343563970746E-15</v>
      </c>
      <c r="BI19" s="22">
        <f t="shared" si="5"/>
        <v>2.3037127760971998E-15</v>
      </c>
    </row>
    <row r="20" spans="2:61" x14ac:dyDescent="0.25">
      <c r="B20" s="312">
        <v>145</v>
      </c>
      <c r="C20" s="312" t="s">
        <v>750</v>
      </c>
      <c r="D20" s="312"/>
      <c r="E20" s="312">
        <v>2</v>
      </c>
      <c r="F20" s="312">
        <v>4</v>
      </c>
      <c r="G20" s="313" t="s">
        <v>18</v>
      </c>
      <c r="H20" s="313"/>
      <c r="I20" s="346">
        <v>1034.5999999999999</v>
      </c>
      <c r="J20" s="317">
        <v>1034.5999999999999</v>
      </c>
      <c r="K20" s="317">
        <v>0</v>
      </c>
      <c r="L20" s="317">
        <v>0</v>
      </c>
      <c r="M20" s="317"/>
      <c r="N20" s="319">
        <v>0.1406</v>
      </c>
      <c r="O20" s="319">
        <v>7.7399999999999997E-2</v>
      </c>
      <c r="P20" s="319">
        <v>0.33710000000000001</v>
      </c>
      <c r="Q20" s="319">
        <v>7.3800000000000004E-2</v>
      </c>
      <c r="R20" s="319">
        <v>0</v>
      </c>
      <c r="S20" s="319">
        <v>0.73770000000000002</v>
      </c>
      <c r="T20" s="319">
        <v>0</v>
      </c>
      <c r="U20" s="319">
        <v>0.63149999999999995</v>
      </c>
      <c r="V20" s="319">
        <v>0</v>
      </c>
      <c r="W20" s="319">
        <v>0</v>
      </c>
      <c r="X20" s="319">
        <v>0.12230000000000001</v>
      </c>
      <c r="Y20" s="319">
        <v>0</v>
      </c>
      <c r="Z20" s="319">
        <v>1.4959</v>
      </c>
      <c r="AA20" s="319">
        <v>0.1641</v>
      </c>
      <c r="AB20" s="319">
        <v>0.27450000000000002</v>
      </c>
      <c r="AC20" s="319">
        <v>7.7200000000000005E-2</v>
      </c>
      <c r="AD20" s="319">
        <v>0.104</v>
      </c>
      <c r="AE20" s="319">
        <v>0</v>
      </c>
      <c r="AF20" s="319">
        <v>0.1852</v>
      </c>
      <c r="AG20" s="319">
        <v>4.3700000000000003E-2</v>
      </c>
      <c r="AH20" s="319">
        <v>0</v>
      </c>
      <c r="AI20" s="319">
        <v>2.5657000000000001</v>
      </c>
      <c r="AJ20" s="319">
        <v>1.3654999999999999</v>
      </c>
      <c r="AK20" s="319">
        <v>6.9400000000000003E-2</v>
      </c>
      <c r="AL20" s="319">
        <v>1.3845000000000001</v>
      </c>
      <c r="AM20" s="319">
        <v>9.8000000000000004E-2</v>
      </c>
      <c r="AN20" s="319">
        <v>1.5900000000000001E-2</v>
      </c>
      <c r="AO20" s="319">
        <v>0.16009999999999999</v>
      </c>
      <c r="AP20" s="319">
        <v>0</v>
      </c>
      <c r="AQ20" s="319">
        <v>0</v>
      </c>
      <c r="AR20" s="319">
        <v>0.50619999999999998</v>
      </c>
      <c r="AS20" s="319">
        <v>0.50619999999999998</v>
      </c>
      <c r="AT20" s="331">
        <v>0.2324</v>
      </c>
      <c r="AU20" s="336">
        <v>10.630300000000002</v>
      </c>
      <c r="AV20" s="329">
        <v>10.630300000000002</v>
      </c>
      <c r="AW20" s="337">
        <v>4.8807000000000027</v>
      </c>
      <c r="AX20" s="334"/>
      <c r="AY20" s="323">
        <v>8.3706999999999994</v>
      </c>
      <c r="AZ20" s="323">
        <v>8.3706999999999994</v>
      </c>
      <c r="BA20" s="323">
        <v>4.3135000000000003</v>
      </c>
      <c r="BB20" s="319"/>
      <c r="BC20" s="321">
        <f t="shared" si="0"/>
        <v>1.269941581946552</v>
      </c>
      <c r="BD20" s="321">
        <f t="shared" si="1"/>
        <v>1.269941581946552</v>
      </c>
      <c r="BE20" s="321">
        <f t="shared" si="2"/>
        <v>1.13149414628492</v>
      </c>
      <c r="BG20" s="22">
        <f t="shared" si="3"/>
        <v>1.1102230246251565E-15</v>
      </c>
      <c r="BH20" s="22">
        <f t="shared" si="4"/>
        <v>9.1593399531575415E-16</v>
      </c>
      <c r="BI20" s="22">
        <f t="shared" si="5"/>
        <v>1.8041124150158794E-15</v>
      </c>
    </row>
    <row r="21" spans="2:61" x14ac:dyDescent="0.25">
      <c r="B21" s="312">
        <v>148</v>
      </c>
      <c r="C21" s="312" t="s">
        <v>758</v>
      </c>
      <c r="D21" s="312"/>
      <c r="E21" s="312">
        <v>2</v>
      </c>
      <c r="F21" s="312">
        <v>3</v>
      </c>
      <c r="G21" s="313" t="s">
        <v>20</v>
      </c>
      <c r="H21" s="313"/>
      <c r="I21" s="346">
        <v>931.6</v>
      </c>
      <c r="J21" s="317">
        <v>931.6</v>
      </c>
      <c r="K21" s="317">
        <v>0</v>
      </c>
      <c r="L21" s="317">
        <v>0</v>
      </c>
      <c r="M21" s="317"/>
      <c r="N21" s="319">
        <v>0.15609999999999999</v>
      </c>
      <c r="O21" s="319">
        <v>9.8699999999999996E-2</v>
      </c>
      <c r="P21" s="319">
        <v>0.3226</v>
      </c>
      <c r="Q21" s="319">
        <v>7.2800000000000004E-2</v>
      </c>
      <c r="R21" s="319">
        <v>0</v>
      </c>
      <c r="S21" s="319">
        <v>0.58540000000000003</v>
      </c>
      <c r="T21" s="319">
        <v>0</v>
      </c>
      <c r="U21" s="319">
        <v>0.63149999999999995</v>
      </c>
      <c r="V21" s="319">
        <v>0</v>
      </c>
      <c r="W21" s="319">
        <v>0</v>
      </c>
      <c r="X21" s="319">
        <v>0.1358</v>
      </c>
      <c r="Y21" s="319">
        <v>0</v>
      </c>
      <c r="Z21" s="319">
        <v>1.1880999999999999</v>
      </c>
      <c r="AA21" s="319">
        <v>0.20280000000000001</v>
      </c>
      <c r="AB21" s="319">
        <v>0.29360000000000003</v>
      </c>
      <c r="AC21" s="319">
        <v>8.3699999999999997E-2</v>
      </c>
      <c r="AD21" s="319">
        <v>0.1042</v>
      </c>
      <c r="AE21" s="319">
        <v>0</v>
      </c>
      <c r="AF21" s="319">
        <v>0.14410000000000001</v>
      </c>
      <c r="AG21" s="319">
        <v>4.4200000000000003E-2</v>
      </c>
      <c r="AH21" s="319">
        <v>0</v>
      </c>
      <c r="AI21" s="319">
        <v>3.1238000000000001</v>
      </c>
      <c r="AJ21" s="319">
        <v>1.2036</v>
      </c>
      <c r="AK21" s="319">
        <v>5.67E-2</v>
      </c>
      <c r="AL21" s="319">
        <v>1.1073</v>
      </c>
      <c r="AM21" s="319">
        <v>8.0100000000000005E-2</v>
      </c>
      <c r="AN21" s="319">
        <v>1.2999999999999999E-2</v>
      </c>
      <c r="AO21" s="319">
        <v>0.25</v>
      </c>
      <c r="AP21" s="319">
        <v>0</v>
      </c>
      <c r="AQ21" s="319">
        <v>0</v>
      </c>
      <c r="AR21" s="319">
        <v>0.49490000000000001</v>
      </c>
      <c r="AS21" s="319">
        <v>0.49490000000000001</v>
      </c>
      <c r="AT21" s="331">
        <v>0.2107</v>
      </c>
      <c r="AU21" s="336">
        <v>10.392999999999999</v>
      </c>
      <c r="AV21" s="329">
        <v>10.392999999999999</v>
      </c>
      <c r="AW21" s="337">
        <v>4.4240999999999993</v>
      </c>
      <c r="AX21" s="334"/>
      <c r="AY21" s="323">
        <v>8.1839999999999993</v>
      </c>
      <c r="AZ21" s="323">
        <v>8.1839999999999993</v>
      </c>
      <c r="BA21" s="323">
        <v>4.0405999999999995</v>
      </c>
      <c r="BB21" s="319"/>
      <c r="BC21" s="321">
        <f t="shared" si="0"/>
        <v>1.2699169110459432</v>
      </c>
      <c r="BD21" s="321">
        <f t="shared" si="1"/>
        <v>1.2699169110459432</v>
      </c>
      <c r="BE21" s="321">
        <f t="shared" si="2"/>
        <v>1.094911646785131</v>
      </c>
      <c r="BG21" s="22">
        <f t="shared" si="3"/>
        <v>6.6613381477509392E-16</v>
      </c>
      <c r="BH21" s="22">
        <f t="shared" si="4"/>
        <v>4.7184478546569153E-16</v>
      </c>
      <c r="BI21" s="22">
        <f t="shared" si="5"/>
        <v>-4.163336342344337E-16</v>
      </c>
    </row>
    <row r="22" spans="2:61" x14ac:dyDescent="0.25">
      <c r="B22" s="312">
        <v>150</v>
      </c>
      <c r="C22" s="312" t="s">
        <v>762</v>
      </c>
      <c r="D22" s="312"/>
      <c r="E22" s="312">
        <v>2</v>
      </c>
      <c r="F22" s="312">
        <v>2</v>
      </c>
      <c r="G22" s="313" t="s">
        <v>21</v>
      </c>
      <c r="H22" s="313"/>
      <c r="I22" s="346">
        <v>1056.5999999999999</v>
      </c>
      <c r="J22" s="317">
        <v>1056.5999999999999</v>
      </c>
      <c r="K22" s="317">
        <v>0</v>
      </c>
      <c r="L22" s="317">
        <v>0</v>
      </c>
      <c r="M22" s="317"/>
      <c r="N22" s="319">
        <v>0.2147</v>
      </c>
      <c r="O22" s="319">
        <v>0.13919999999999999</v>
      </c>
      <c r="P22" s="319">
        <v>0.31909999999999999</v>
      </c>
      <c r="Q22" s="319">
        <v>7.6899999999999996E-2</v>
      </c>
      <c r="R22" s="319">
        <v>0</v>
      </c>
      <c r="S22" s="319">
        <v>0.47749999999999998</v>
      </c>
      <c r="T22" s="319">
        <v>0</v>
      </c>
      <c r="U22" s="319">
        <v>0.63149999999999995</v>
      </c>
      <c r="V22" s="319">
        <v>0</v>
      </c>
      <c r="W22" s="319">
        <v>0</v>
      </c>
      <c r="X22" s="319">
        <v>0.1946</v>
      </c>
      <c r="Y22" s="319">
        <v>0</v>
      </c>
      <c r="Z22" s="319">
        <v>1.5429999999999999</v>
      </c>
      <c r="AA22" s="319">
        <v>0.25180000000000002</v>
      </c>
      <c r="AB22" s="319">
        <v>0.42909999999999998</v>
      </c>
      <c r="AC22" s="319">
        <v>8.5900000000000004E-2</v>
      </c>
      <c r="AD22" s="319">
        <v>0.11210000000000001</v>
      </c>
      <c r="AE22" s="319">
        <v>0</v>
      </c>
      <c r="AF22" s="319">
        <v>6.5199999999999994E-2</v>
      </c>
      <c r="AG22" s="319">
        <v>3.73E-2</v>
      </c>
      <c r="AH22" s="319">
        <v>0</v>
      </c>
      <c r="AI22" s="319">
        <v>2.2717999999999998</v>
      </c>
      <c r="AJ22" s="319">
        <v>2.4013</v>
      </c>
      <c r="AK22" s="319">
        <v>0</v>
      </c>
      <c r="AL22" s="319">
        <v>0.73809999999999998</v>
      </c>
      <c r="AM22" s="319">
        <v>0</v>
      </c>
      <c r="AN22" s="319">
        <v>0</v>
      </c>
      <c r="AO22" s="319">
        <v>0.63190000000000002</v>
      </c>
      <c r="AP22" s="319">
        <v>0</v>
      </c>
      <c r="AQ22" s="319">
        <v>0</v>
      </c>
      <c r="AR22" s="319">
        <v>0.53110000000000002</v>
      </c>
      <c r="AS22" s="319">
        <v>0.53110000000000002</v>
      </c>
      <c r="AT22" s="331">
        <v>0.22889999999999999</v>
      </c>
      <c r="AU22" s="336">
        <v>11.152099999999999</v>
      </c>
      <c r="AV22" s="329">
        <v>11.152099999999999</v>
      </c>
      <c r="AW22" s="337">
        <v>4.8068</v>
      </c>
      <c r="AX22" s="334"/>
      <c r="AY22" s="323">
        <v>8.7817000000000025</v>
      </c>
      <c r="AZ22" s="323">
        <v>8.7817000000000025</v>
      </c>
      <c r="BA22" s="323">
        <v>4.1326000000000018</v>
      </c>
      <c r="BB22" s="319"/>
      <c r="BC22" s="321">
        <f t="shared" si="0"/>
        <v>1.2699249575822444</v>
      </c>
      <c r="BD22" s="321">
        <f t="shared" si="1"/>
        <v>1.2699249575822444</v>
      </c>
      <c r="BE22" s="321">
        <f t="shared" si="2"/>
        <v>1.1631418477471804</v>
      </c>
      <c r="BG22" s="22">
        <f t="shared" si="3"/>
        <v>0</v>
      </c>
      <c r="BH22" s="22">
        <f t="shared" si="4"/>
        <v>0</v>
      </c>
      <c r="BI22" s="22">
        <f t="shared" si="5"/>
        <v>0</v>
      </c>
    </row>
    <row r="23" spans="2:61" x14ac:dyDescent="0.25">
      <c r="B23" s="312">
        <v>151</v>
      </c>
      <c r="C23" s="312" t="s">
        <v>764</v>
      </c>
      <c r="D23" s="312"/>
      <c r="E23" s="312">
        <v>2</v>
      </c>
      <c r="F23" s="312">
        <v>4</v>
      </c>
      <c r="G23" s="313" t="s">
        <v>22</v>
      </c>
      <c r="H23" s="313"/>
      <c r="I23" s="346">
        <v>935.9</v>
      </c>
      <c r="J23" s="317">
        <v>935.9</v>
      </c>
      <c r="K23" s="317">
        <v>0</v>
      </c>
      <c r="L23" s="317">
        <v>0</v>
      </c>
      <c r="M23" s="317"/>
      <c r="N23" s="319">
        <v>0.15540000000000001</v>
      </c>
      <c r="O23" s="319">
        <v>8.5599999999999996E-2</v>
      </c>
      <c r="P23" s="319">
        <v>0.32469999999999999</v>
      </c>
      <c r="Q23" s="319">
        <v>6.3600000000000004E-2</v>
      </c>
      <c r="R23" s="319">
        <v>0</v>
      </c>
      <c r="S23" s="319">
        <v>0.71579999999999999</v>
      </c>
      <c r="T23" s="319">
        <v>0</v>
      </c>
      <c r="U23" s="319">
        <v>0.63149999999999995</v>
      </c>
      <c r="V23" s="319">
        <v>0</v>
      </c>
      <c r="W23" s="319">
        <v>0</v>
      </c>
      <c r="X23" s="319">
        <v>0.13519999999999999</v>
      </c>
      <c r="Y23" s="319">
        <v>0</v>
      </c>
      <c r="Z23" s="319">
        <v>1.0494000000000001</v>
      </c>
      <c r="AA23" s="319">
        <v>0.20180000000000001</v>
      </c>
      <c r="AB23" s="319">
        <v>0.18190000000000001</v>
      </c>
      <c r="AC23" s="319">
        <v>9.3799999999999994E-2</v>
      </c>
      <c r="AD23" s="319">
        <v>4.1300000000000003E-2</v>
      </c>
      <c r="AE23" s="319">
        <v>0</v>
      </c>
      <c r="AF23" s="319">
        <v>0.1133</v>
      </c>
      <c r="AG23" s="319">
        <v>4.4299999999999999E-2</v>
      </c>
      <c r="AH23" s="319">
        <v>0</v>
      </c>
      <c r="AI23" s="319">
        <v>2.8249</v>
      </c>
      <c r="AJ23" s="319">
        <v>1.6173</v>
      </c>
      <c r="AK23" s="319">
        <v>8.09E-2</v>
      </c>
      <c r="AL23" s="319">
        <v>1.361</v>
      </c>
      <c r="AM23" s="319">
        <v>0.1142</v>
      </c>
      <c r="AN23" s="319">
        <v>1.8499999999999999E-2</v>
      </c>
      <c r="AO23" s="319">
        <v>0.56410000000000005</v>
      </c>
      <c r="AP23" s="319">
        <v>0</v>
      </c>
      <c r="AQ23" s="319">
        <v>0</v>
      </c>
      <c r="AR23" s="319">
        <v>0.52090000000000003</v>
      </c>
      <c r="AS23" s="319">
        <v>0.52090000000000003</v>
      </c>
      <c r="AT23" s="331">
        <v>0.2026</v>
      </c>
      <c r="AU23" s="336">
        <v>10.939399999999999</v>
      </c>
      <c r="AV23" s="329">
        <v>10.939399999999999</v>
      </c>
      <c r="AW23" s="337">
        <v>4.2538</v>
      </c>
      <c r="AX23" s="334"/>
      <c r="AY23" s="323">
        <v>8.6141999999999985</v>
      </c>
      <c r="AZ23" s="323">
        <v>8.6141999999999985</v>
      </c>
      <c r="BA23" s="323">
        <v>3.9757999999999991</v>
      </c>
      <c r="BB23" s="319"/>
      <c r="BC23" s="321">
        <f t="shared" si="0"/>
        <v>1.2699264005943676</v>
      </c>
      <c r="BD23" s="321">
        <f t="shared" si="1"/>
        <v>1.2699264005943676</v>
      </c>
      <c r="BE23" s="321">
        <f t="shared" si="2"/>
        <v>1.0699230343578654</v>
      </c>
      <c r="BG23" s="22">
        <f t="shared" si="3"/>
        <v>2.55351295663786E-15</v>
      </c>
      <c r="BH23" s="22">
        <f t="shared" si="4"/>
        <v>-2.4980018054066022E-16</v>
      </c>
      <c r="BI23" s="22">
        <f t="shared" si="5"/>
        <v>-1.1379786002407855E-15</v>
      </c>
    </row>
    <row r="24" spans="2:61" x14ac:dyDescent="0.25">
      <c r="B24" s="312">
        <v>153</v>
      </c>
      <c r="C24" s="312" t="s">
        <v>768</v>
      </c>
      <c r="D24" s="312"/>
      <c r="E24" s="312">
        <v>2</v>
      </c>
      <c r="F24" s="312">
        <v>2</v>
      </c>
      <c r="G24" s="313" t="s">
        <v>23</v>
      </c>
      <c r="H24" s="313"/>
      <c r="I24" s="346">
        <v>1071.8</v>
      </c>
      <c r="J24" s="317">
        <v>1071.8</v>
      </c>
      <c r="K24" s="317">
        <v>0</v>
      </c>
      <c r="L24" s="317">
        <v>0</v>
      </c>
      <c r="M24" s="317"/>
      <c r="N24" s="319">
        <v>0.2117</v>
      </c>
      <c r="O24" s="319">
        <v>0.13719999999999999</v>
      </c>
      <c r="P24" s="319">
        <v>0.31490000000000001</v>
      </c>
      <c r="Q24" s="319">
        <v>7.1800000000000003E-2</v>
      </c>
      <c r="R24" s="319">
        <v>0</v>
      </c>
      <c r="S24" s="319">
        <v>0.4708</v>
      </c>
      <c r="T24" s="319">
        <v>0</v>
      </c>
      <c r="U24" s="319">
        <v>0.63149999999999995</v>
      </c>
      <c r="V24" s="319">
        <v>0</v>
      </c>
      <c r="W24" s="319">
        <v>0</v>
      </c>
      <c r="X24" s="319">
        <v>0.14760000000000001</v>
      </c>
      <c r="Y24" s="319">
        <v>0</v>
      </c>
      <c r="Z24" s="319">
        <v>0.9073</v>
      </c>
      <c r="AA24" s="319">
        <v>0.24829999999999999</v>
      </c>
      <c r="AB24" s="319">
        <v>0.33050000000000002</v>
      </c>
      <c r="AC24" s="319">
        <v>6.8599999999999994E-2</v>
      </c>
      <c r="AD24" s="319">
        <v>7.8899999999999998E-2</v>
      </c>
      <c r="AE24" s="319">
        <v>0</v>
      </c>
      <c r="AF24" s="319">
        <v>4.1700000000000001E-2</v>
      </c>
      <c r="AG24" s="319">
        <v>0</v>
      </c>
      <c r="AH24" s="319">
        <v>0</v>
      </c>
      <c r="AI24" s="319">
        <v>3.3744000000000001</v>
      </c>
      <c r="AJ24" s="319">
        <v>2.3065000000000002</v>
      </c>
      <c r="AK24" s="319">
        <v>0</v>
      </c>
      <c r="AL24" s="319">
        <v>0.73509999999999998</v>
      </c>
      <c r="AM24" s="319">
        <v>0</v>
      </c>
      <c r="AN24" s="319">
        <v>0</v>
      </c>
      <c r="AO24" s="319">
        <v>0.47810000000000002</v>
      </c>
      <c r="AP24" s="319">
        <v>0</v>
      </c>
      <c r="AQ24" s="319">
        <v>0</v>
      </c>
      <c r="AR24" s="319">
        <v>0.52769999999999995</v>
      </c>
      <c r="AS24" s="319">
        <v>0.52769999999999995</v>
      </c>
      <c r="AT24" s="331">
        <v>0.183</v>
      </c>
      <c r="AU24" s="336">
        <v>11.082599999999998</v>
      </c>
      <c r="AV24" s="329">
        <v>11.082599999999998</v>
      </c>
      <c r="AW24" s="337">
        <v>3.8437999999999994</v>
      </c>
      <c r="AX24" s="334"/>
      <c r="AY24" s="323">
        <v>8.7268999999999988</v>
      </c>
      <c r="AZ24" s="323">
        <v>8.7268999999999988</v>
      </c>
      <c r="BA24" s="323">
        <v>3.4773999999999985</v>
      </c>
      <c r="BB24" s="319"/>
      <c r="BC24" s="321">
        <f t="shared" si="0"/>
        <v>1.2699354868280832</v>
      </c>
      <c r="BD24" s="321">
        <f t="shared" si="1"/>
        <v>1.2699354868280832</v>
      </c>
      <c r="BE24" s="321">
        <f t="shared" si="2"/>
        <v>1.1053660781043311</v>
      </c>
      <c r="BG24" s="22">
        <f t="shared" si="3"/>
        <v>-2.3314683517128287E-15</v>
      </c>
      <c r="BH24" s="22">
        <f t="shared" si="4"/>
        <v>0</v>
      </c>
      <c r="BI24" s="22">
        <f t="shared" si="5"/>
        <v>0</v>
      </c>
    </row>
    <row r="25" spans="2:61" x14ac:dyDescent="0.25">
      <c r="B25" s="312">
        <v>155</v>
      </c>
      <c r="C25" s="312" t="s">
        <v>772</v>
      </c>
      <c r="D25" s="312"/>
      <c r="E25" s="312">
        <v>2</v>
      </c>
      <c r="F25" s="312">
        <v>3</v>
      </c>
      <c r="G25" s="313" t="s">
        <v>24</v>
      </c>
      <c r="H25" s="313"/>
      <c r="I25" s="346">
        <v>787.7</v>
      </c>
      <c r="J25" s="317">
        <v>787.7</v>
      </c>
      <c r="K25" s="317">
        <v>0</v>
      </c>
      <c r="L25" s="317">
        <v>0</v>
      </c>
      <c r="M25" s="317"/>
      <c r="N25" s="319">
        <v>0.18459999999999999</v>
      </c>
      <c r="O25" s="319">
        <v>0.1167</v>
      </c>
      <c r="P25" s="319">
        <v>0.3372</v>
      </c>
      <c r="Q25" s="319">
        <v>7.2599999999999998E-2</v>
      </c>
      <c r="R25" s="319">
        <v>0</v>
      </c>
      <c r="S25" s="319">
        <v>0.62050000000000005</v>
      </c>
      <c r="T25" s="319">
        <v>0</v>
      </c>
      <c r="U25" s="319">
        <v>0.63149999999999995</v>
      </c>
      <c r="V25" s="319">
        <v>0</v>
      </c>
      <c r="W25" s="319">
        <v>0</v>
      </c>
      <c r="X25" s="319">
        <v>0.16059999999999999</v>
      </c>
      <c r="Y25" s="319">
        <v>0</v>
      </c>
      <c r="Z25" s="319">
        <v>1.2257</v>
      </c>
      <c r="AA25" s="319">
        <v>0.23980000000000001</v>
      </c>
      <c r="AB25" s="319">
        <v>0.30449999999999999</v>
      </c>
      <c r="AC25" s="319">
        <v>8.3699999999999997E-2</v>
      </c>
      <c r="AD25" s="319">
        <v>0.1241</v>
      </c>
      <c r="AE25" s="319">
        <v>0</v>
      </c>
      <c r="AF25" s="319">
        <v>0.1484</v>
      </c>
      <c r="AG25" s="319">
        <v>4.3099999999999999E-2</v>
      </c>
      <c r="AH25" s="319">
        <v>0</v>
      </c>
      <c r="AI25" s="319">
        <v>2.6859999999999999</v>
      </c>
      <c r="AJ25" s="319">
        <v>1.5328999999999999</v>
      </c>
      <c r="AK25" s="319">
        <v>7.9600000000000004E-2</v>
      </c>
      <c r="AL25" s="319">
        <v>1.1194999999999999</v>
      </c>
      <c r="AM25" s="319">
        <v>0.11749999999999999</v>
      </c>
      <c r="AN25" s="319">
        <v>1.9099999999999999E-2</v>
      </c>
      <c r="AO25" s="319">
        <v>0.31540000000000001</v>
      </c>
      <c r="AP25" s="319">
        <v>0</v>
      </c>
      <c r="AQ25" s="319">
        <v>0</v>
      </c>
      <c r="AR25" s="319">
        <v>0.50819999999999999</v>
      </c>
      <c r="AS25" s="319">
        <v>0.50819999999999999</v>
      </c>
      <c r="AT25" s="331">
        <v>0.22550000000000001</v>
      </c>
      <c r="AU25" s="336">
        <v>10.671199999999999</v>
      </c>
      <c r="AV25" s="329">
        <v>10.671199999999999</v>
      </c>
      <c r="AW25" s="337">
        <v>4.7346999999999984</v>
      </c>
      <c r="AX25" s="334"/>
      <c r="AY25" s="323">
        <v>8.4029000000000007</v>
      </c>
      <c r="AZ25" s="323">
        <v>8.4029000000000007</v>
      </c>
      <c r="BA25" s="323">
        <v>4.2957000000000001</v>
      </c>
      <c r="BB25" s="319"/>
      <c r="BC25" s="321">
        <f t="shared" si="0"/>
        <v>1.2699425198443393</v>
      </c>
      <c r="BD25" s="321">
        <f t="shared" si="1"/>
        <v>1.2699425198443393</v>
      </c>
      <c r="BE25" s="321">
        <f t="shared" si="2"/>
        <v>1.1021952184742878</v>
      </c>
      <c r="BG25" s="22">
        <f t="shared" si="3"/>
        <v>1.7763568394002505E-15</v>
      </c>
      <c r="BH25" s="22">
        <f t="shared" si="4"/>
        <v>3.0531133177191805E-16</v>
      </c>
      <c r="BI25" s="22">
        <f t="shared" si="5"/>
        <v>-5.8286708792820718E-16</v>
      </c>
    </row>
    <row r="26" spans="2:61" x14ac:dyDescent="0.25">
      <c r="B26" s="312">
        <v>158</v>
      </c>
      <c r="C26" s="312" t="s">
        <v>779</v>
      </c>
      <c r="D26" s="312"/>
      <c r="E26" s="312">
        <v>2</v>
      </c>
      <c r="F26" s="312">
        <v>3</v>
      </c>
      <c r="G26" s="313" t="s">
        <v>25</v>
      </c>
      <c r="H26" s="313"/>
      <c r="I26" s="346">
        <v>929.4</v>
      </c>
      <c r="J26" s="317">
        <v>929.4</v>
      </c>
      <c r="K26" s="317">
        <v>0</v>
      </c>
      <c r="L26" s="317">
        <v>0</v>
      </c>
      <c r="M26" s="317"/>
      <c r="N26" s="319">
        <v>0.1565</v>
      </c>
      <c r="O26" s="319">
        <v>9.8900000000000002E-2</v>
      </c>
      <c r="P26" s="319">
        <v>0.34139999999999998</v>
      </c>
      <c r="Q26" s="319">
        <v>7.1400000000000005E-2</v>
      </c>
      <c r="R26" s="319">
        <v>0</v>
      </c>
      <c r="S26" s="319">
        <v>0.58679999999999999</v>
      </c>
      <c r="T26" s="319">
        <v>0</v>
      </c>
      <c r="U26" s="319">
        <v>0.63149999999999995</v>
      </c>
      <c r="V26" s="319">
        <v>0</v>
      </c>
      <c r="W26" s="319">
        <v>0</v>
      </c>
      <c r="X26" s="319">
        <v>0.1361</v>
      </c>
      <c r="Y26" s="319">
        <v>0</v>
      </c>
      <c r="Z26" s="319">
        <v>0.93330000000000002</v>
      </c>
      <c r="AA26" s="319">
        <v>0.20319999999999999</v>
      </c>
      <c r="AB26" s="319">
        <v>0.33300000000000002</v>
      </c>
      <c r="AC26" s="319">
        <v>8.2199999999999995E-2</v>
      </c>
      <c r="AD26" s="319">
        <v>0.12859999999999999</v>
      </c>
      <c r="AE26" s="319">
        <v>0</v>
      </c>
      <c r="AF26" s="319">
        <v>0.1444</v>
      </c>
      <c r="AG26" s="319">
        <v>4.4200000000000003E-2</v>
      </c>
      <c r="AH26" s="319">
        <v>0</v>
      </c>
      <c r="AI26" s="319">
        <v>3.52</v>
      </c>
      <c r="AJ26" s="319">
        <v>1.194</v>
      </c>
      <c r="AK26" s="319">
        <v>5.7000000000000002E-2</v>
      </c>
      <c r="AL26" s="319">
        <v>1.1385000000000001</v>
      </c>
      <c r="AM26" s="319">
        <v>8.0600000000000005E-2</v>
      </c>
      <c r="AN26" s="319">
        <v>1.3100000000000001E-2</v>
      </c>
      <c r="AO26" s="319">
        <v>0.27839999999999998</v>
      </c>
      <c r="AP26" s="319">
        <v>0</v>
      </c>
      <c r="AQ26" s="319">
        <v>0</v>
      </c>
      <c r="AR26" s="319">
        <v>0.50870000000000004</v>
      </c>
      <c r="AS26" s="319">
        <v>0.50870000000000004</v>
      </c>
      <c r="AT26" s="331">
        <v>0.2021</v>
      </c>
      <c r="AU26" s="336">
        <v>10.681799999999999</v>
      </c>
      <c r="AV26" s="329">
        <v>10.681799999999999</v>
      </c>
      <c r="AW26" s="337">
        <v>4.2442999999999991</v>
      </c>
      <c r="AX26" s="334"/>
      <c r="AY26" s="323">
        <v>8.4112999999999989</v>
      </c>
      <c r="AZ26" s="323">
        <v>8.4112999999999989</v>
      </c>
      <c r="BA26" s="323">
        <v>3.9702999999999999</v>
      </c>
      <c r="BB26" s="319"/>
      <c r="BC26" s="321">
        <f t="shared" si="0"/>
        <v>1.2699344928845719</v>
      </c>
      <c r="BD26" s="321">
        <f t="shared" si="1"/>
        <v>1.2699344928845719</v>
      </c>
      <c r="BE26" s="321">
        <f t="shared" si="2"/>
        <v>1.0690124171976927</v>
      </c>
      <c r="BG26" s="22">
        <f t="shared" si="3"/>
        <v>-3.3306690738754696E-15</v>
      </c>
      <c r="BH26" s="22">
        <f t="shared" si="4"/>
        <v>-5.2735593669694936E-16</v>
      </c>
      <c r="BI26" s="22">
        <f t="shared" si="5"/>
        <v>0</v>
      </c>
    </row>
    <row r="27" spans="2:61" x14ac:dyDescent="0.25">
      <c r="B27" s="312">
        <v>160</v>
      </c>
      <c r="C27" s="312" t="s">
        <v>783</v>
      </c>
      <c r="D27" s="312"/>
      <c r="E27" s="312">
        <v>2</v>
      </c>
      <c r="F27" s="312">
        <v>3</v>
      </c>
      <c r="G27" s="313" t="s">
        <v>26</v>
      </c>
      <c r="H27" s="313"/>
      <c r="I27" s="346">
        <v>846.7</v>
      </c>
      <c r="J27" s="317">
        <v>846.7</v>
      </c>
      <c r="K27" s="317">
        <v>0</v>
      </c>
      <c r="L27" s="317">
        <v>0</v>
      </c>
      <c r="M27" s="317"/>
      <c r="N27" s="319">
        <v>0.17169999999999999</v>
      </c>
      <c r="O27" s="319">
        <v>0.1086</v>
      </c>
      <c r="P27" s="319">
        <v>0.33929999999999999</v>
      </c>
      <c r="Q27" s="319">
        <v>0</v>
      </c>
      <c r="R27" s="319">
        <v>0</v>
      </c>
      <c r="S27" s="319">
        <v>0.64410000000000001</v>
      </c>
      <c r="T27" s="319">
        <v>0</v>
      </c>
      <c r="U27" s="319">
        <v>0.62080000000000002</v>
      </c>
      <c r="V27" s="319">
        <v>0</v>
      </c>
      <c r="W27" s="319">
        <v>0</v>
      </c>
      <c r="X27" s="319">
        <v>0.44829999999999998</v>
      </c>
      <c r="Y27" s="319">
        <v>0</v>
      </c>
      <c r="Z27" s="319">
        <v>1.4353</v>
      </c>
      <c r="AA27" s="319">
        <v>0.22309999999999999</v>
      </c>
      <c r="AB27" s="319">
        <v>0.33460000000000001</v>
      </c>
      <c r="AC27" s="319">
        <v>7.6600000000000001E-2</v>
      </c>
      <c r="AD27" s="319">
        <v>0</v>
      </c>
      <c r="AE27" s="319">
        <v>0</v>
      </c>
      <c r="AF27" s="319">
        <v>0.1492</v>
      </c>
      <c r="AG27" s="319">
        <v>4.4400000000000002E-2</v>
      </c>
      <c r="AH27" s="319">
        <v>0</v>
      </c>
      <c r="AI27" s="319">
        <v>2.8959000000000001</v>
      </c>
      <c r="AJ27" s="319">
        <v>1.3995</v>
      </c>
      <c r="AK27" s="319">
        <v>9.0999999999999998E-2</v>
      </c>
      <c r="AL27" s="319">
        <v>0.98729999999999996</v>
      </c>
      <c r="AM27" s="319">
        <v>0.1709</v>
      </c>
      <c r="AN27" s="319">
        <v>2.7699999999999999E-2</v>
      </c>
      <c r="AO27" s="319">
        <v>0.34229999999999999</v>
      </c>
      <c r="AP27" s="319">
        <v>0</v>
      </c>
      <c r="AQ27" s="319">
        <v>0</v>
      </c>
      <c r="AR27" s="319">
        <v>0.52549999999999997</v>
      </c>
      <c r="AS27" s="319">
        <v>0.52549999999999997</v>
      </c>
      <c r="AT27" s="331">
        <v>0.24429999999999999</v>
      </c>
      <c r="AU27" s="336">
        <v>11.036099999999998</v>
      </c>
      <c r="AV27" s="329">
        <v>11.036099999999998</v>
      </c>
      <c r="AW27" s="337">
        <v>5.1298999999999992</v>
      </c>
      <c r="AX27" s="334"/>
      <c r="AY27" s="323">
        <v>8.6904000000000003</v>
      </c>
      <c r="AZ27" s="323">
        <v>8.6904000000000003</v>
      </c>
      <c r="BA27" s="323">
        <v>4.4356</v>
      </c>
      <c r="BB27" s="319"/>
      <c r="BC27" s="321">
        <f t="shared" si="0"/>
        <v>1.2699185307925984</v>
      </c>
      <c r="BD27" s="321">
        <f t="shared" si="1"/>
        <v>1.2699185307925984</v>
      </c>
      <c r="BE27" s="321">
        <f t="shared" si="2"/>
        <v>1.1565289926954638</v>
      </c>
      <c r="BG27" s="22">
        <f t="shared" si="3"/>
        <v>-1.4432899320127035E-15</v>
      </c>
      <c r="BH27" s="22">
        <f t="shared" si="4"/>
        <v>0</v>
      </c>
      <c r="BI27" s="22">
        <f t="shared" si="5"/>
        <v>-1.9428902930940239E-15</v>
      </c>
    </row>
    <row r="28" spans="2:61" x14ac:dyDescent="0.25">
      <c r="B28" s="312">
        <v>161</v>
      </c>
      <c r="C28" s="312" t="s">
        <v>785</v>
      </c>
      <c r="D28" s="312"/>
      <c r="E28" s="312">
        <v>2</v>
      </c>
      <c r="F28" s="312">
        <v>3</v>
      </c>
      <c r="G28" s="313" t="s">
        <v>27</v>
      </c>
      <c r="H28" s="313"/>
      <c r="I28" s="346">
        <v>929.1</v>
      </c>
      <c r="J28" s="317">
        <v>929.1</v>
      </c>
      <c r="K28" s="317">
        <v>0</v>
      </c>
      <c r="L28" s="317">
        <v>0</v>
      </c>
      <c r="M28" s="317"/>
      <c r="N28" s="319">
        <v>0.1565</v>
      </c>
      <c r="O28" s="319">
        <v>9.9000000000000005E-2</v>
      </c>
      <c r="P28" s="319">
        <v>0.34250000000000003</v>
      </c>
      <c r="Q28" s="319">
        <v>7.1900000000000006E-2</v>
      </c>
      <c r="R28" s="319">
        <v>0</v>
      </c>
      <c r="S28" s="319">
        <v>0.58699999999999997</v>
      </c>
      <c r="T28" s="319">
        <v>0</v>
      </c>
      <c r="U28" s="319">
        <v>0.63149999999999995</v>
      </c>
      <c r="V28" s="319">
        <v>0</v>
      </c>
      <c r="W28" s="319">
        <v>0</v>
      </c>
      <c r="X28" s="319">
        <v>0.13619999999999999</v>
      </c>
      <c r="Y28" s="319">
        <v>0</v>
      </c>
      <c r="Z28" s="319">
        <v>0.99450000000000005</v>
      </c>
      <c r="AA28" s="319">
        <v>0.20330000000000001</v>
      </c>
      <c r="AB28" s="319">
        <v>0.45069999999999999</v>
      </c>
      <c r="AC28" s="319">
        <v>8.2799999999999999E-2</v>
      </c>
      <c r="AD28" s="319">
        <v>0.13689999999999999</v>
      </c>
      <c r="AE28" s="319">
        <v>0</v>
      </c>
      <c r="AF28" s="319">
        <v>0.14280000000000001</v>
      </c>
      <c r="AG28" s="319">
        <v>4.3700000000000003E-2</v>
      </c>
      <c r="AH28" s="319">
        <v>0</v>
      </c>
      <c r="AI28" s="319">
        <v>3.0139</v>
      </c>
      <c r="AJ28" s="319">
        <v>1.1149</v>
      </c>
      <c r="AK28" s="319">
        <v>0.11020000000000001</v>
      </c>
      <c r="AL28" s="319">
        <v>0.9546</v>
      </c>
      <c r="AM28" s="319">
        <v>0.16769999999999999</v>
      </c>
      <c r="AN28" s="319">
        <v>2.7199999999999998E-2</v>
      </c>
      <c r="AO28" s="319">
        <v>0.59050000000000002</v>
      </c>
      <c r="AP28" s="319">
        <v>0</v>
      </c>
      <c r="AQ28" s="319">
        <v>0</v>
      </c>
      <c r="AR28" s="319">
        <v>0.50290000000000001</v>
      </c>
      <c r="AS28" s="319">
        <v>0.50290000000000001</v>
      </c>
      <c r="AT28" s="331">
        <v>0.21920000000000001</v>
      </c>
      <c r="AU28" s="336">
        <v>10.561200000000001</v>
      </c>
      <c r="AV28" s="329">
        <v>10.561200000000001</v>
      </c>
      <c r="AW28" s="337">
        <v>4.603600000000001</v>
      </c>
      <c r="AX28" s="334"/>
      <c r="AY28" s="323">
        <v>8.3164000000000016</v>
      </c>
      <c r="AZ28" s="323">
        <v>8.3164000000000016</v>
      </c>
      <c r="BA28" s="323">
        <v>4.3224</v>
      </c>
      <c r="BB28" s="319"/>
      <c r="BC28" s="321">
        <f t="shared" si="0"/>
        <v>1.269924486556683</v>
      </c>
      <c r="BD28" s="321">
        <f t="shared" si="1"/>
        <v>1.269924486556683</v>
      </c>
      <c r="BE28" s="321">
        <f t="shared" si="2"/>
        <v>1.0650564501203037</v>
      </c>
      <c r="BG28" s="22">
        <f t="shared" si="3"/>
        <v>1.4432899320127035E-15</v>
      </c>
      <c r="BH28" s="22">
        <f t="shared" si="4"/>
        <v>0</v>
      </c>
      <c r="BI28" s="22">
        <f t="shared" si="5"/>
        <v>1.7208456881689926E-15</v>
      </c>
    </row>
    <row r="29" spans="2:61" x14ac:dyDescent="0.25">
      <c r="B29" s="312">
        <v>163</v>
      </c>
      <c r="C29" s="312" t="s">
        <v>407</v>
      </c>
      <c r="D29" s="312"/>
      <c r="E29" s="312">
        <v>2</v>
      </c>
      <c r="F29" s="312">
        <v>3</v>
      </c>
      <c r="G29" s="313" t="s">
        <v>789</v>
      </c>
      <c r="H29" s="313"/>
      <c r="I29" s="346">
        <v>952.6</v>
      </c>
      <c r="J29" s="317">
        <v>952.6</v>
      </c>
      <c r="K29" s="317">
        <v>0</v>
      </c>
      <c r="L29" s="317">
        <v>0</v>
      </c>
      <c r="M29" s="317"/>
      <c r="N29" s="319">
        <v>0.1527</v>
      </c>
      <c r="O29" s="319">
        <v>9.6500000000000002E-2</v>
      </c>
      <c r="P29" s="319">
        <v>0</v>
      </c>
      <c r="Q29" s="319">
        <v>0</v>
      </c>
      <c r="R29" s="319">
        <v>0</v>
      </c>
      <c r="S29" s="319">
        <v>0.57250000000000001</v>
      </c>
      <c r="T29" s="319">
        <v>0</v>
      </c>
      <c r="U29" s="319">
        <v>0.61070000000000002</v>
      </c>
      <c r="V29" s="319">
        <v>0</v>
      </c>
      <c r="W29" s="319">
        <v>0</v>
      </c>
      <c r="X29" s="319">
        <v>0.39839999999999998</v>
      </c>
      <c r="Y29" s="319">
        <v>0</v>
      </c>
      <c r="Z29" s="319">
        <v>1.8055000000000001</v>
      </c>
      <c r="AA29" s="319">
        <v>0.1983</v>
      </c>
      <c r="AB29" s="319">
        <v>0.44269999999999998</v>
      </c>
      <c r="AC29" s="319">
        <v>0</v>
      </c>
      <c r="AD29" s="319">
        <v>0</v>
      </c>
      <c r="AE29" s="319">
        <v>0</v>
      </c>
      <c r="AF29" s="319">
        <v>0.1409</v>
      </c>
      <c r="AG29" s="319">
        <v>4.3499999999999997E-2</v>
      </c>
      <c r="AH29" s="319">
        <v>0</v>
      </c>
      <c r="AI29" s="319">
        <v>2.5406</v>
      </c>
      <c r="AJ29" s="319">
        <v>1.2033</v>
      </c>
      <c r="AK29" s="319">
        <v>8.14E-2</v>
      </c>
      <c r="AL29" s="319">
        <v>1.2708999999999999</v>
      </c>
      <c r="AM29" s="319">
        <v>0.16450000000000001</v>
      </c>
      <c r="AN29" s="319">
        <v>2.6700000000000002E-2</v>
      </c>
      <c r="AO29" s="319">
        <v>0.58679999999999999</v>
      </c>
      <c r="AP29" s="319">
        <v>0</v>
      </c>
      <c r="AQ29" s="319">
        <v>0</v>
      </c>
      <c r="AR29" s="319">
        <v>0.51680000000000004</v>
      </c>
      <c r="AS29" s="319">
        <v>0.51680000000000004</v>
      </c>
      <c r="AT29" s="331">
        <v>0.23669999999999999</v>
      </c>
      <c r="AU29" s="336">
        <v>10.8527</v>
      </c>
      <c r="AV29" s="329">
        <v>10.8527</v>
      </c>
      <c r="AW29" s="337">
        <v>4.971000000000001</v>
      </c>
      <c r="AX29" s="334"/>
      <c r="AY29" s="323">
        <v>8.5460000000000012</v>
      </c>
      <c r="AZ29" s="323">
        <v>8.5460000000000012</v>
      </c>
      <c r="BA29" s="323">
        <v>4.2552000000000003</v>
      </c>
      <c r="BB29" s="319"/>
      <c r="BC29" s="321">
        <f t="shared" si="0"/>
        <v>1.2699157500585068</v>
      </c>
      <c r="BD29" s="321">
        <f t="shared" si="1"/>
        <v>1.2699157500585068</v>
      </c>
      <c r="BE29" s="321">
        <f t="shared" si="2"/>
        <v>1.1682177100958828</v>
      </c>
      <c r="BG29" s="22">
        <f t="shared" si="3"/>
        <v>0</v>
      </c>
      <c r="BH29" s="22">
        <f t="shared" si="4"/>
        <v>3.0531133177191805E-16</v>
      </c>
      <c r="BI29" s="22">
        <f t="shared" si="5"/>
        <v>3.0531133177191805E-16</v>
      </c>
    </row>
    <row r="30" spans="2:61" x14ac:dyDescent="0.25">
      <c r="B30" s="312">
        <v>164</v>
      </c>
      <c r="C30" s="312" t="s">
        <v>791</v>
      </c>
      <c r="D30" s="312"/>
      <c r="E30" s="312">
        <v>2</v>
      </c>
      <c r="F30" s="312">
        <v>3</v>
      </c>
      <c r="G30" s="313" t="s">
        <v>28</v>
      </c>
      <c r="H30" s="313"/>
      <c r="I30" s="346">
        <v>947.2</v>
      </c>
      <c r="J30" s="317">
        <v>947.2</v>
      </c>
      <c r="K30" s="317">
        <v>0</v>
      </c>
      <c r="L30" s="317">
        <v>0</v>
      </c>
      <c r="M30" s="317"/>
      <c r="N30" s="319">
        <v>0.1535</v>
      </c>
      <c r="O30" s="319">
        <v>9.7100000000000006E-2</v>
      </c>
      <c r="P30" s="319">
        <v>0.34429999999999999</v>
      </c>
      <c r="Q30" s="319">
        <v>7.1800000000000003E-2</v>
      </c>
      <c r="R30" s="319">
        <v>0</v>
      </c>
      <c r="S30" s="319">
        <v>0.57579999999999998</v>
      </c>
      <c r="T30" s="319">
        <v>0</v>
      </c>
      <c r="U30" s="319">
        <v>0.63149999999999995</v>
      </c>
      <c r="V30" s="319">
        <v>0</v>
      </c>
      <c r="W30" s="319">
        <v>0</v>
      </c>
      <c r="X30" s="319">
        <v>0.1336</v>
      </c>
      <c r="Y30" s="319">
        <v>0</v>
      </c>
      <c r="Z30" s="319">
        <v>1.2614000000000001</v>
      </c>
      <c r="AA30" s="319">
        <v>0.19939999999999999</v>
      </c>
      <c r="AB30" s="319">
        <v>0.44529999999999997</v>
      </c>
      <c r="AC30" s="319">
        <v>8.5999999999999993E-2</v>
      </c>
      <c r="AD30" s="319">
        <v>0.1361</v>
      </c>
      <c r="AE30" s="319">
        <v>0</v>
      </c>
      <c r="AF30" s="319">
        <v>0.14169999999999999</v>
      </c>
      <c r="AG30" s="319">
        <v>4.3700000000000003E-2</v>
      </c>
      <c r="AH30" s="319">
        <v>0</v>
      </c>
      <c r="AI30" s="319">
        <v>3.6667999999999998</v>
      </c>
      <c r="AJ30" s="319">
        <v>1.0891999999999999</v>
      </c>
      <c r="AK30" s="319">
        <v>8.1799999999999998E-2</v>
      </c>
      <c r="AL30" s="319">
        <v>0.91220000000000001</v>
      </c>
      <c r="AM30" s="319">
        <v>0.16550000000000001</v>
      </c>
      <c r="AN30" s="319">
        <v>2.69E-2</v>
      </c>
      <c r="AO30" s="319">
        <v>0.10929999999999999</v>
      </c>
      <c r="AP30" s="319">
        <v>0</v>
      </c>
      <c r="AQ30" s="319">
        <v>0</v>
      </c>
      <c r="AR30" s="319">
        <v>0.51859999999999995</v>
      </c>
      <c r="AS30" s="319">
        <v>0.51859999999999995</v>
      </c>
      <c r="AT30" s="331">
        <v>0.2298</v>
      </c>
      <c r="AU30" s="336">
        <v>10.891499999999997</v>
      </c>
      <c r="AV30" s="329">
        <v>10.891499999999997</v>
      </c>
      <c r="AW30" s="337">
        <v>4.8251999999999979</v>
      </c>
      <c r="AX30" s="334"/>
      <c r="AY30" s="323">
        <v>8.5766000000000009</v>
      </c>
      <c r="AZ30" s="323">
        <v>8.5766000000000009</v>
      </c>
      <c r="BA30" s="323">
        <v>4.3537000000000008</v>
      </c>
      <c r="BB30" s="319"/>
      <c r="BC30" s="321">
        <f t="shared" si="0"/>
        <v>1.2699088216775873</v>
      </c>
      <c r="BD30" s="321">
        <f t="shared" si="1"/>
        <v>1.2699088216775873</v>
      </c>
      <c r="BE30" s="321">
        <f t="shared" si="2"/>
        <v>1.1082986884718737</v>
      </c>
      <c r="BG30" s="22">
        <f t="shared" si="3"/>
        <v>-1.1102230246251565E-15</v>
      </c>
      <c r="BH30" s="22">
        <f t="shared" si="4"/>
        <v>-6.9388939039072284E-16</v>
      </c>
      <c r="BI30" s="22">
        <f t="shared" si="5"/>
        <v>-2.4702462297909733E-15</v>
      </c>
    </row>
    <row r="31" spans="2:61" x14ac:dyDescent="0.25">
      <c r="B31" s="312">
        <v>165</v>
      </c>
      <c r="C31" s="312" t="s">
        <v>793</v>
      </c>
      <c r="D31" s="312"/>
      <c r="E31" s="312">
        <v>2</v>
      </c>
      <c r="F31" s="312">
        <v>3</v>
      </c>
      <c r="G31" s="313" t="s">
        <v>29</v>
      </c>
      <c r="H31" s="313"/>
      <c r="I31" s="346">
        <v>792.2</v>
      </c>
      <c r="J31" s="317">
        <v>792.2</v>
      </c>
      <c r="K31" s="317">
        <v>0</v>
      </c>
      <c r="L31" s="317">
        <v>0</v>
      </c>
      <c r="M31" s="317"/>
      <c r="N31" s="319">
        <v>0.18360000000000001</v>
      </c>
      <c r="O31" s="319">
        <v>0.11609999999999999</v>
      </c>
      <c r="P31" s="319">
        <v>0</v>
      </c>
      <c r="Q31" s="319">
        <v>0</v>
      </c>
      <c r="R31" s="319">
        <v>0</v>
      </c>
      <c r="S31" s="319">
        <v>0.68840000000000001</v>
      </c>
      <c r="T31" s="319">
        <v>0</v>
      </c>
      <c r="U31" s="319">
        <v>0.61070000000000002</v>
      </c>
      <c r="V31" s="319">
        <v>0</v>
      </c>
      <c r="W31" s="319">
        <v>0</v>
      </c>
      <c r="X31" s="319">
        <v>0.47910000000000003</v>
      </c>
      <c r="Y31" s="319">
        <v>0</v>
      </c>
      <c r="Z31" s="319">
        <v>1.5162</v>
      </c>
      <c r="AA31" s="319">
        <v>0.20669999999999999</v>
      </c>
      <c r="AB31" s="319">
        <v>0.34449999999999997</v>
      </c>
      <c r="AC31" s="319">
        <v>0</v>
      </c>
      <c r="AD31" s="319">
        <v>0</v>
      </c>
      <c r="AE31" s="319">
        <v>0</v>
      </c>
      <c r="AF31" s="319">
        <v>0.13320000000000001</v>
      </c>
      <c r="AG31" s="319">
        <v>4.2900000000000001E-2</v>
      </c>
      <c r="AH31" s="319">
        <v>0</v>
      </c>
      <c r="AI31" s="319">
        <v>3.0587</v>
      </c>
      <c r="AJ31" s="319">
        <v>1.6586000000000001</v>
      </c>
      <c r="AK31" s="319">
        <v>0</v>
      </c>
      <c r="AL31" s="319">
        <v>1.0532999999999999</v>
      </c>
      <c r="AM31" s="319">
        <v>0</v>
      </c>
      <c r="AN31" s="319">
        <v>0</v>
      </c>
      <c r="AO31" s="319">
        <v>0.45079999999999998</v>
      </c>
      <c r="AP31" s="319">
        <v>0</v>
      </c>
      <c r="AQ31" s="319">
        <v>0</v>
      </c>
      <c r="AR31" s="319">
        <v>0.52710000000000001</v>
      </c>
      <c r="AS31" s="319">
        <v>0.52710000000000001</v>
      </c>
      <c r="AT31" s="331">
        <v>0.21609999999999999</v>
      </c>
      <c r="AU31" s="336">
        <v>11.069900000000001</v>
      </c>
      <c r="AV31" s="329">
        <v>11.069900000000001</v>
      </c>
      <c r="AW31" s="337">
        <v>4.5375000000000005</v>
      </c>
      <c r="AX31" s="334"/>
      <c r="AY31" s="323">
        <v>8.7170000000000005</v>
      </c>
      <c r="AZ31" s="323">
        <v>8.7170000000000005</v>
      </c>
      <c r="BA31" s="323">
        <v>4.1116000000000001</v>
      </c>
      <c r="BB31" s="319"/>
      <c r="BC31" s="321">
        <f t="shared" si="0"/>
        <v>1.2699208443271768</v>
      </c>
      <c r="BD31" s="321">
        <f t="shared" si="1"/>
        <v>1.2699208443271768</v>
      </c>
      <c r="BE31" s="321">
        <f t="shared" si="2"/>
        <v>1.1035849790835686</v>
      </c>
      <c r="BG31" s="22">
        <f t="shared" si="3"/>
        <v>1.1102230246251565E-15</v>
      </c>
      <c r="BH31" s="22">
        <f t="shared" si="4"/>
        <v>-4.7184478546569153E-16</v>
      </c>
      <c r="BI31" s="22">
        <f t="shared" si="5"/>
        <v>-4.7184478546569153E-16</v>
      </c>
    </row>
    <row r="32" spans="2:61" x14ac:dyDescent="0.25">
      <c r="B32" s="312">
        <v>185</v>
      </c>
      <c r="C32" s="312" t="s">
        <v>833</v>
      </c>
      <c r="D32" s="312" t="s">
        <v>394</v>
      </c>
      <c r="E32" s="312">
        <v>2</v>
      </c>
      <c r="F32" s="312">
        <v>1</v>
      </c>
      <c r="G32" s="313" t="s">
        <v>30</v>
      </c>
      <c r="H32" s="313"/>
      <c r="I32" s="346">
        <v>342.2</v>
      </c>
      <c r="J32" s="317">
        <v>342.2</v>
      </c>
      <c r="K32" s="317">
        <v>0</v>
      </c>
      <c r="L32" s="317">
        <v>0</v>
      </c>
      <c r="M32" s="317"/>
      <c r="N32" s="319">
        <v>0.24440000000000001</v>
      </c>
      <c r="O32" s="319">
        <v>0.13070000000000001</v>
      </c>
      <c r="P32" s="319">
        <v>0</v>
      </c>
      <c r="Q32" s="319">
        <v>0</v>
      </c>
      <c r="R32" s="319">
        <v>0</v>
      </c>
      <c r="S32" s="319">
        <v>0.37080000000000002</v>
      </c>
      <c r="T32" s="319">
        <v>0</v>
      </c>
      <c r="U32" s="319">
        <v>0.61070000000000002</v>
      </c>
      <c r="V32" s="319">
        <v>0</v>
      </c>
      <c r="W32" s="319">
        <v>0</v>
      </c>
      <c r="X32" s="319">
        <v>9.2399999999999996E-2</v>
      </c>
      <c r="Y32" s="319">
        <v>0</v>
      </c>
      <c r="Z32" s="319">
        <v>1.4885999999999999</v>
      </c>
      <c r="AA32" s="319">
        <v>0.3145</v>
      </c>
      <c r="AB32" s="319">
        <v>0.13789999999999999</v>
      </c>
      <c r="AC32" s="319">
        <v>0</v>
      </c>
      <c r="AD32" s="319">
        <v>0</v>
      </c>
      <c r="AE32" s="319">
        <v>0</v>
      </c>
      <c r="AF32" s="319">
        <v>5.1900000000000002E-2</v>
      </c>
      <c r="AG32" s="319">
        <v>4.1099999999999998E-2</v>
      </c>
      <c r="AH32" s="319">
        <v>0</v>
      </c>
      <c r="AI32" s="319">
        <v>3.0097</v>
      </c>
      <c r="AJ32" s="319">
        <v>1.1303000000000001</v>
      </c>
      <c r="AK32" s="319">
        <v>0.26779999999999998</v>
      </c>
      <c r="AL32" s="319">
        <v>1.1653</v>
      </c>
      <c r="AM32" s="319">
        <v>0.104</v>
      </c>
      <c r="AN32" s="319">
        <v>1.6899999999999998E-2</v>
      </c>
      <c r="AO32" s="319">
        <v>0.40839999999999999</v>
      </c>
      <c r="AP32" s="319">
        <v>0</v>
      </c>
      <c r="AQ32" s="319">
        <v>0</v>
      </c>
      <c r="AR32" s="319">
        <v>0.4793</v>
      </c>
      <c r="AS32" s="319">
        <v>0.4793</v>
      </c>
      <c r="AT32" s="331">
        <v>0.19359999999999999</v>
      </c>
      <c r="AU32" s="336">
        <v>10.064699999999998</v>
      </c>
      <c r="AV32" s="329">
        <v>10.064699999999998</v>
      </c>
      <c r="AW32" s="337">
        <v>4.065299999999997</v>
      </c>
      <c r="AX32" s="334"/>
      <c r="AY32" s="323">
        <v>7.9253999999999998</v>
      </c>
      <c r="AZ32" s="323">
        <v>7.9253999999999998</v>
      </c>
      <c r="BA32" s="323">
        <v>3.851</v>
      </c>
      <c r="BB32" s="319"/>
      <c r="BC32" s="321">
        <f t="shared" si="0"/>
        <v>1.2699295934590051</v>
      </c>
      <c r="BD32" s="321">
        <f t="shared" si="1"/>
        <v>1.2699295934590051</v>
      </c>
      <c r="BE32" s="321">
        <f t="shared" si="2"/>
        <v>1.0556478836665792</v>
      </c>
      <c r="BG32" s="22">
        <f t="shared" si="3"/>
        <v>6.106226635438361E-16</v>
      </c>
      <c r="BH32" s="22">
        <f t="shared" si="4"/>
        <v>-2.0261570199409107E-15</v>
      </c>
      <c r="BI32" s="22">
        <f t="shared" si="5"/>
        <v>-2.9143354396410359E-15</v>
      </c>
    </row>
    <row r="33" spans="2:61" x14ac:dyDescent="0.25">
      <c r="B33" s="312">
        <v>188</v>
      </c>
      <c r="C33" s="312" t="s">
        <v>840</v>
      </c>
      <c r="D33" s="312" t="s">
        <v>394</v>
      </c>
      <c r="E33" s="312">
        <v>2</v>
      </c>
      <c r="F33" s="312">
        <v>2</v>
      </c>
      <c r="G33" s="313" t="s">
        <v>31</v>
      </c>
      <c r="H33" s="313"/>
      <c r="I33" s="346">
        <v>620.9</v>
      </c>
      <c r="J33" s="317">
        <v>620.9</v>
      </c>
      <c r="K33" s="317">
        <v>0</v>
      </c>
      <c r="L33" s="317">
        <v>0</v>
      </c>
      <c r="M33" s="317"/>
      <c r="N33" s="319">
        <v>0.23419999999999999</v>
      </c>
      <c r="O33" s="319">
        <v>0.14810000000000001</v>
      </c>
      <c r="P33" s="319">
        <v>0</v>
      </c>
      <c r="Q33" s="319">
        <v>0</v>
      </c>
      <c r="R33" s="319">
        <v>0</v>
      </c>
      <c r="S33" s="319">
        <v>0.46889999999999998</v>
      </c>
      <c r="T33" s="319">
        <v>0</v>
      </c>
      <c r="U33" s="319">
        <v>0.61070000000000002</v>
      </c>
      <c r="V33" s="319">
        <v>0</v>
      </c>
      <c r="W33" s="319">
        <v>0</v>
      </c>
      <c r="X33" s="319">
        <v>0.30570000000000003</v>
      </c>
      <c r="Y33" s="319">
        <v>0</v>
      </c>
      <c r="Z33" s="319">
        <v>1.8075000000000001</v>
      </c>
      <c r="AA33" s="319">
        <v>0.26369999999999999</v>
      </c>
      <c r="AB33" s="319">
        <v>0.32529999999999998</v>
      </c>
      <c r="AC33" s="319">
        <v>0</v>
      </c>
      <c r="AD33" s="319">
        <v>0</v>
      </c>
      <c r="AE33" s="319">
        <v>0</v>
      </c>
      <c r="AF33" s="319">
        <v>9.1999999999999998E-2</v>
      </c>
      <c r="AG33" s="319">
        <v>4.1399999999999999E-2</v>
      </c>
      <c r="AH33" s="319">
        <v>0</v>
      </c>
      <c r="AI33" s="319">
        <v>3.3967000000000001</v>
      </c>
      <c r="AJ33" s="319">
        <v>0.54969999999999997</v>
      </c>
      <c r="AK33" s="319">
        <v>0</v>
      </c>
      <c r="AL33" s="319">
        <v>1.0062</v>
      </c>
      <c r="AM33" s="319">
        <v>0</v>
      </c>
      <c r="AN33" s="319">
        <v>0</v>
      </c>
      <c r="AO33" s="319">
        <v>0.33339999999999997</v>
      </c>
      <c r="AP33" s="319">
        <v>0</v>
      </c>
      <c r="AQ33" s="319">
        <v>0</v>
      </c>
      <c r="AR33" s="319">
        <v>0.47920000000000001</v>
      </c>
      <c r="AS33" s="319">
        <v>0.47920000000000001</v>
      </c>
      <c r="AT33" s="331">
        <v>0.21490000000000001</v>
      </c>
      <c r="AU33" s="336">
        <v>10.0627</v>
      </c>
      <c r="AV33" s="329">
        <v>10.0627</v>
      </c>
      <c r="AW33" s="337">
        <v>4.5124000000000004</v>
      </c>
      <c r="AX33" s="334"/>
      <c r="AY33" s="323">
        <v>7.9239999999999995</v>
      </c>
      <c r="AZ33" s="323">
        <v>7.9239999999999995</v>
      </c>
      <c r="BA33" s="323">
        <v>4.164699999999999</v>
      </c>
      <c r="BB33" s="319"/>
      <c r="BC33" s="321">
        <f t="shared" si="0"/>
        <v>1.2699015648662293</v>
      </c>
      <c r="BD33" s="321">
        <f t="shared" si="1"/>
        <v>1.2699015648662293</v>
      </c>
      <c r="BE33" s="321">
        <f t="shared" si="2"/>
        <v>1.0834874060556587</v>
      </c>
      <c r="BG33" s="22">
        <f t="shared" si="3"/>
        <v>8.8817841970012523E-16</v>
      </c>
      <c r="BH33" s="22">
        <f t="shared" si="4"/>
        <v>0</v>
      </c>
      <c r="BI33" s="22">
        <f t="shared" si="5"/>
        <v>0</v>
      </c>
    </row>
    <row r="34" spans="2:61" x14ac:dyDescent="0.25">
      <c r="B34" s="312">
        <v>189</v>
      </c>
      <c r="C34" s="312" t="s">
        <v>842</v>
      </c>
      <c r="D34" s="312" t="s">
        <v>394</v>
      </c>
      <c r="E34" s="312">
        <v>2</v>
      </c>
      <c r="F34" s="312">
        <v>1</v>
      </c>
      <c r="G34" s="313" t="s">
        <v>32</v>
      </c>
      <c r="H34" s="313"/>
      <c r="I34" s="346">
        <v>263.10000000000002</v>
      </c>
      <c r="J34" s="317">
        <v>263.10000000000002</v>
      </c>
      <c r="K34" s="317">
        <v>0</v>
      </c>
      <c r="L34" s="317">
        <v>0</v>
      </c>
      <c r="M34" s="317"/>
      <c r="N34" s="319">
        <v>0.27639999999999998</v>
      </c>
      <c r="O34" s="319">
        <v>0.17</v>
      </c>
      <c r="P34" s="319">
        <v>0</v>
      </c>
      <c r="Q34" s="319">
        <v>0</v>
      </c>
      <c r="R34" s="319">
        <v>0</v>
      </c>
      <c r="S34" s="319">
        <v>0.48220000000000002</v>
      </c>
      <c r="T34" s="319">
        <v>0</v>
      </c>
      <c r="U34" s="319">
        <v>0.61070000000000002</v>
      </c>
      <c r="V34" s="319">
        <v>0</v>
      </c>
      <c r="W34" s="319">
        <v>0</v>
      </c>
      <c r="X34" s="319">
        <v>0.1202</v>
      </c>
      <c r="Y34" s="319">
        <v>0</v>
      </c>
      <c r="Z34" s="319">
        <v>1.2295</v>
      </c>
      <c r="AA34" s="319">
        <v>0.35360000000000003</v>
      </c>
      <c r="AB34" s="319">
        <v>0.27200000000000002</v>
      </c>
      <c r="AC34" s="319">
        <v>0</v>
      </c>
      <c r="AD34" s="319">
        <v>0</v>
      </c>
      <c r="AE34" s="319">
        <v>0</v>
      </c>
      <c r="AF34" s="319">
        <v>6.8599999999999994E-2</v>
      </c>
      <c r="AG34" s="319">
        <v>4.5400000000000003E-2</v>
      </c>
      <c r="AH34" s="319">
        <v>0</v>
      </c>
      <c r="AI34" s="319">
        <v>3.1284999999999998</v>
      </c>
      <c r="AJ34" s="319">
        <v>1.3148</v>
      </c>
      <c r="AK34" s="319">
        <v>0</v>
      </c>
      <c r="AL34" s="319">
        <v>1.4065000000000001</v>
      </c>
      <c r="AM34" s="319">
        <v>0</v>
      </c>
      <c r="AN34" s="319">
        <v>0</v>
      </c>
      <c r="AO34" s="319">
        <v>0.13769999999999999</v>
      </c>
      <c r="AP34" s="319">
        <v>0</v>
      </c>
      <c r="AQ34" s="319">
        <v>0</v>
      </c>
      <c r="AR34" s="319">
        <v>0.48080000000000001</v>
      </c>
      <c r="AS34" s="319">
        <v>0.48080000000000001</v>
      </c>
      <c r="AT34" s="331">
        <v>0.18140000000000001</v>
      </c>
      <c r="AU34" s="336">
        <v>10.0969</v>
      </c>
      <c r="AV34" s="329">
        <v>10.0969</v>
      </c>
      <c r="AW34" s="337">
        <v>3.8099999999999996</v>
      </c>
      <c r="AX34" s="334"/>
      <c r="AY34" s="323">
        <v>7.9509999999999996</v>
      </c>
      <c r="AZ34" s="323">
        <v>7.9509999999999996</v>
      </c>
      <c r="BA34" s="323">
        <v>3.9138999999999999</v>
      </c>
      <c r="BB34" s="319"/>
      <c r="BC34" s="321">
        <f t="shared" si="0"/>
        <v>1.2698905798012829</v>
      </c>
      <c r="BD34" s="321">
        <f t="shared" si="1"/>
        <v>1.2698905798012829</v>
      </c>
      <c r="BE34" s="321">
        <f t="shared" si="2"/>
        <v>0.97345358849229657</v>
      </c>
      <c r="BG34" s="22">
        <f t="shared" si="3"/>
        <v>-1.4988010832439613E-15</v>
      </c>
      <c r="BH34" s="22">
        <f t="shared" si="4"/>
        <v>-7.7715611723760958E-16</v>
      </c>
      <c r="BI34" s="22">
        <f t="shared" si="5"/>
        <v>-7.7715611723760958E-16</v>
      </c>
    </row>
    <row r="35" spans="2:61" x14ac:dyDescent="0.25">
      <c r="B35" s="312">
        <v>190</v>
      </c>
      <c r="C35" s="312" t="s">
        <v>844</v>
      </c>
      <c r="D35" s="312" t="s">
        <v>395</v>
      </c>
      <c r="E35" s="312">
        <v>2</v>
      </c>
      <c r="F35" s="312">
        <v>3</v>
      </c>
      <c r="G35" s="313" t="s">
        <v>33</v>
      </c>
      <c r="H35" s="313"/>
      <c r="I35" s="346">
        <v>928.5</v>
      </c>
      <c r="J35" s="317">
        <v>928.5</v>
      </c>
      <c r="K35" s="317">
        <v>0</v>
      </c>
      <c r="L35" s="317">
        <v>0</v>
      </c>
      <c r="M35" s="317"/>
      <c r="N35" s="319">
        <v>0.15659999999999999</v>
      </c>
      <c r="O35" s="319">
        <v>9.9000000000000005E-2</v>
      </c>
      <c r="P35" s="319">
        <v>0</v>
      </c>
      <c r="Q35" s="319">
        <v>0</v>
      </c>
      <c r="R35" s="319">
        <v>0</v>
      </c>
      <c r="S35" s="319">
        <v>0.58740000000000003</v>
      </c>
      <c r="T35" s="319">
        <v>0</v>
      </c>
      <c r="U35" s="319">
        <v>0.61070000000000002</v>
      </c>
      <c r="V35" s="319">
        <v>0</v>
      </c>
      <c r="W35" s="319">
        <v>0</v>
      </c>
      <c r="X35" s="319">
        <v>0.4088</v>
      </c>
      <c r="Y35" s="319">
        <v>0</v>
      </c>
      <c r="Z35" s="319">
        <v>1.4144000000000001</v>
      </c>
      <c r="AA35" s="319">
        <v>0.2034</v>
      </c>
      <c r="AB35" s="319">
        <v>0.33329999999999999</v>
      </c>
      <c r="AC35" s="319">
        <v>0</v>
      </c>
      <c r="AD35" s="319">
        <v>0</v>
      </c>
      <c r="AE35" s="319">
        <v>0</v>
      </c>
      <c r="AF35" s="319">
        <v>0.14449999999999999</v>
      </c>
      <c r="AG35" s="319">
        <v>4.4299999999999999E-2</v>
      </c>
      <c r="AH35" s="319">
        <v>0</v>
      </c>
      <c r="AI35" s="319">
        <v>3.4024000000000001</v>
      </c>
      <c r="AJ35" s="319">
        <v>1.2486999999999999</v>
      </c>
      <c r="AK35" s="319">
        <v>0.1188</v>
      </c>
      <c r="AL35" s="319">
        <v>0.96499999999999997</v>
      </c>
      <c r="AM35" s="319">
        <v>0.1678</v>
      </c>
      <c r="AN35" s="319">
        <v>2.7199999999999998E-2</v>
      </c>
      <c r="AO35" s="319">
        <v>0.41810000000000003</v>
      </c>
      <c r="AP35" s="319">
        <v>0</v>
      </c>
      <c r="AQ35" s="319">
        <v>0</v>
      </c>
      <c r="AR35" s="319">
        <v>0.51749999999999996</v>
      </c>
      <c r="AS35" s="319">
        <v>0.51749999999999996</v>
      </c>
      <c r="AT35" s="331">
        <v>0.21579999999999999</v>
      </c>
      <c r="AU35" s="336">
        <v>10.867900000000001</v>
      </c>
      <c r="AV35" s="329">
        <v>10.867900000000001</v>
      </c>
      <c r="AW35" s="337">
        <v>4.532</v>
      </c>
      <c r="AX35" s="334"/>
      <c r="AY35" s="323">
        <v>8.5578000000000003</v>
      </c>
      <c r="AZ35" s="323">
        <v>8.5578000000000003</v>
      </c>
      <c r="BA35" s="323">
        <v>4.1259999999999994</v>
      </c>
      <c r="BB35" s="319"/>
      <c r="BC35" s="321">
        <f t="shared" si="0"/>
        <v>1.2699408726541868</v>
      </c>
      <c r="BD35" s="321">
        <f t="shared" si="1"/>
        <v>1.2699408726541868</v>
      </c>
      <c r="BE35" s="321">
        <f t="shared" si="2"/>
        <v>1.0984003877847797</v>
      </c>
      <c r="BG35" s="22">
        <f t="shared" si="3"/>
        <v>1.2212453270876722E-15</v>
      </c>
      <c r="BH35" s="22">
        <f t="shared" si="4"/>
        <v>0</v>
      </c>
      <c r="BI35" s="22">
        <f t="shared" si="5"/>
        <v>1.0547118733938987E-15</v>
      </c>
    </row>
    <row r="36" spans="2:61" x14ac:dyDescent="0.25">
      <c r="B36" s="312">
        <v>191</v>
      </c>
      <c r="C36" s="312" t="s">
        <v>847</v>
      </c>
      <c r="D36" s="312" t="s">
        <v>395</v>
      </c>
      <c r="E36" s="312">
        <v>2</v>
      </c>
      <c r="F36" s="312">
        <v>3</v>
      </c>
      <c r="G36" s="313" t="s">
        <v>34</v>
      </c>
      <c r="H36" s="313"/>
      <c r="I36" s="346">
        <v>930</v>
      </c>
      <c r="J36" s="317">
        <v>930</v>
      </c>
      <c r="K36" s="317">
        <v>0</v>
      </c>
      <c r="L36" s="317">
        <v>0</v>
      </c>
      <c r="M36" s="317"/>
      <c r="N36" s="319">
        <v>0.15640000000000001</v>
      </c>
      <c r="O36" s="319">
        <v>9.8900000000000002E-2</v>
      </c>
      <c r="P36" s="319">
        <v>0.34329999999999999</v>
      </c>
      <c r="Q36" s="319">
        <v>7.3499999999999996E-2</v>
      </c>
      <c r="R36" s="319">
        <v>0</v>
      </c>
      <c r="S36" s="319">
        <v>0.58640000000000003</v>
      </c>
      <c r="T36" s="319">
        <v>0</v>
      </c>
      <c r="U36" s="319">
        <v>0.63149999999999995</v>
      </c>
      <c r="V36" s="319">
        <v>0</v>
      </c>
      <c r="W36" s="319">
        <v>0</v>
      </c>
      <c r="X36" s="319">
        <v>0.13600000000000001</v>
      </c>
      <c r="Y36" s="319">
        <v>0</v>
      </c>
      <c r="Z36" s="319">
        <v>1.1095999999999999</v>
      </c>
      <c r="AA36" s="319">
        <v>0.2031</v>
      </c>
      <c r="AB36" s="319">
        <v>0.33279999999999998</v>
      </c>
      <c r="AC36" s="319">
        <v>8.3299999999999999E-2</v>
      </c>
      <c r="AD36" s="319">
        <v>0.13700000000000001</v>
      </c>
      <c r="AE36" s="319">
        <v>0</v>
      </c>
      <c r="AF36" s="319">
        <v>0.14430000000000001</v>
      </c>
      <c r="AG36" s="319">
        <v>4.4200000000000003E-2</v>
      </c>
      <c r="AH36" s="319">
        <v>0</v>
      </c>
      <c r="AI36" s="319">
        <v>3.3279999999999998</v>
      </c>
      <c r="AJ36" s="319">
        <v>1.1202000000000001</v>
      </c>
      <c r="AK36" s="319">
        <v>0.1227</v>
      </c>
      <c r="AL36" s="319">
        <v>0.96020000000000005</v>
      </c>
      <c r="AM36" s="319">
        <v>0.17330000000000001</v>
      </c>
      <c r="AN36" s="319">
        <v>2.81E-2</v>
      </c>
      <c r="AO36" s="319">
        <v>0.25600000000000001</v>
      </c>
      <c r="AP36" s="319">
        <v>0</v>
      </c>
      <c r="AQ36" s="319">
        <v>0</v>
      </c>
      <c r="AR36" s="319">
        <v>0.50339999999999996</v>
      </c>
      <c r="AS36" s="319">
        <v>0.50339999999999996</v>
      </c>
      <c r="AT36" s="331">
        <v>0.22020000000000001</v>
      </c>
      <c r="AU36" s="336">
        <v>10.5722</v>
      </c>
      <c r="AV36" s="329">
        <v>10.5722</v>
      </c>
      <c r="AW36" s="337">
        <v>4.6246000000000009</v>
      </c>
      <c r="AX36" s="334"/>
      <c r="AY36" s="323">
        <v>8.3252000000000006</v>
      </c>
      <c r="AZ36" s="323">
        <v>8.3252000000000006</v>
      </c>
      <c r="BA36" s="323">
        <v>4.2561000000000018</v>
      </c>
      <c r="BB36" s="319"/>
      <c r="BC36" s="321">
        <f t="shared" si="0"/>
        <v>1.2699034257435255</v>
      </c>
      <c r="BD36" s="321">
        <f t="shared" si="1"/>
        <v>1.2699034257435255</v>
      </c>
      <c r="BE36" s="321">
        <f t="shared" si="2"/>
        <v>1.0865816122741474</v>
      </c>
      <c r="BG36" s="22">
        <f t="shared" si="3"/>
        <v>1.9984014443252818E-15</v>
      </c>
      <c r="BH36" s="22">
        <f t="shared" si="4"/>
        <v>1.0269562977782698E-15</v>
      </c>
      <c r="BI36" s="22">
        <f t="shared" si="5"/>
        <v>0</v>
      </c>
    </row>
    <row r="37" spans="2:61" x14ac:dyDescent="0.25">
      <c r="B37" s="312">
        <v>228</v>
      </c>
      <c r="C37" s="312" t="s">
        <v>922</v>
      </c>
      <c r="D37" s="312"/>
      <c r="E37" s="312">
        <v>2</v>
      </c>
      <c r="F37" s="312">
        <v>2</v>
      </c>
      <c r="G37" s="313" t="s">
        <v>35</v>
      </c>
      <c r="H37" s="313"/>
      <c r="I37" s="346">
        <v>395.7</v>
      </c>
      <c r="J37" s="317">
        <v>395.7</v>
      </c>
      <c r="K37" s="317">
        <v>0</v>
      </c>
      <c r="L37" s="317">
        <v>0</v>
      </c>
      <c r="M37" s="317"/>
      <c r="N37" s="319">
        <v>0.18379999999999999</v>
      </c>
      <c r="O37" s="319">
        <v>0.1</v>
      </c>
      <c r="P37" s="319">
        <v>0</v>
      </c>
      <c r="Q37" s="319">
        <v>0</v>
      </c>
      <c r="R37" s="319">
        <v>0</v>
      </c>
      <c r="S37" s="319">
        <v>0.3206</v>
      </c>
      <c r="T37" s="319">
        <v>0</v>
      </c>
      <c r="U37" s="319">
        <v>0.61070000000000002</v>
      </c>
      <c r="V37" s="319">
        <v>0</v>
      </c>
      <c r="W37" s="319">
        <v>0</v>
      </c>
      <c r="X37" s="319">
        <v>0.47960000000000003</v>
      </c>
      <c r="Y37" s="319">
        <v>0</v>
      </c>
      <c r="Z37" s="319">
        <v>1.7875000000000001</v>
      </c>
      <c r="AA37" s="319">
        <v>0.2351</v>
      </c>
      <c r="AB37" s="319">
        <v>0.30819999999999997</v>
      </c>
      <c r="AC37" s="319">
        <v>0</v>
      </c>
      <c r="AD37" s="319">
        <v>0</v>
      </c>
      <c r="AE37" s="319">
        <v>0</v>
      </c>
      <c r="AF37" s="319">
        <v>0.12959999999999999</v>
      </c>
      <c r="AG37" s="319">
        <v>4.7399999999999998E-2</v>
      </c>
      <c r="AH37" s="319">
        <v>0</v>
      </c>
      <c r="AI37" s="319">
        <v>3.1983999999999999</v>
      </c>
      <c r="AJ37" s="319">
        <v>0.94779999999999998</v>
      </c>
      <c r="AK37" s="319">
        <v>0</v>
      </c>
      <c r="AL37" s="319">
        <v>0.94230000000000003</v>
      </c>
      <c r="AM37" s="319">
        <v>0</v>
      </c>
      <c r="AN37" s="319">
        <v>0</v>
      </c>
      <c r="AO37" s="319">
        <v>0.2354</v>
      </c>
      <c r="AP37" s="319">
        <v>0</v>
      </c>
      <c r="AQ37" s="319">
        <v>0</v>
      </c>
      <c r="AR37" s="319">
        <v>0.4763</v>
      </c>
      <c r="AS37" s="319">
        <v>0.4763</v>
      </c>
      <c r="AT37" s="331">
        <v>0.21010000000000001</v>
      </c>
      <c r="AU37" s="336">
        <v>10.002700000000001</v>
      </c>
      <c r="AV37" s="329">
        <v>10.002700000000001</v>
      </c>
      <c r="AW37" s="337">
        <v>4.4126000000000003</v>
      </c>
      <c r="AX37" s="334"/>
      <c r="AY37" s="323">
        <v>7.8766000000000007</v>
      </c>
      <c r="AZ37" s="323">
        <v>7.8766000000000007</v>
      </c>
      <c r="BA37" s="323">
        <v>4.2441000000000004</v>
      </c>
      <c r="BB37" s="319"/>
      <c r="BC37" s="321">
        <f t="shared" si="0"/>
        <v>1.2699261102506156</v>
      </c>
      <c r="BD37" s="321">
        <f t="shared" si="1"/>
        <v>1.2699261102506156</v>
      </c>
      <c r="BE37" s="321">
        <f t="shared" si="2"/>
        <v>1.0397021747838175</v>
      </c>
      <c r="BG37" s="22">
        <f t="shared" si="3"/>
        <v>2.1094237467877974E-15</v>
      </c>
      <c r="BH37" s="22">
        <f t="shared" si="4"/>
        <v>9.4368957093138306E-16</v>
      </c>
      <c r="BI37" s="22">
        <f t="shared" si="5"/>
        <v>9.4368957093138306E-16</v>
      </c>
    </row>
    <row r="38" spans="2:61" x14ac:dyDescent="0.25">
      <c r="B38" s="312">
        <v>146</v>
      </c>
      <c r="C38" s="312" t="s">
        <v>752</v>
      </c>
      <c r="D38" s="312"/>
      <c r="E38" s="312">
        <v>3</v>
      </c>
      <c r="F38" s="312">
        <v>5</v>
      </c>
      <c r="G38" s="313" t="s">
        <v>36</v>
      </c>
      <c r="H38" s="313"/>
      <c r="I38" s="346">
        <v>1916.6</v>
      </c>
      <c r="J38" s="317">
        <v>1916.6</v>
      </c>
      <c r="K38" s="317">
        <v>0</v>
      </c>
      <c r="L38" s="317">
        <v>0</v>
      </c>
      <c r="M38" s="317"/>
      <c r="N38" s="319">
        <v>0.1888</v>
      </c>
      <c r="O38" s="319">
        <v>0.1113</v>
      </c>
      <c r="P38" s="319">
        <v>0</v>
      </c>
      <c r="Q38" s="319">
        <v>0</v>
      </c>
      <c r="R38" s="319">
        <v>0</v>
      </c>
      <c r="S38" s="319">
        <v>0.7399</v>
      </c>
      <c r="T38" s="319">
        <v>0</v>
      </c>
      <c r="U38" s="319">
        <v>0.61070000000000002</v>
      </c>
      <c r="V38" s="319">
        <v>0</v>
      </c>
      <c r="W38" s="319">
        <v>0</v>
      </c>
      <c r="X38" s="319">
        <v>0.37130000000000002</v>
      </c>
      <c r="Y38" s="319">
        <v>0</v>
      </c>
      <c r="Z38" s="319">
        <v>2.2181000000000002</v>
      </c>
      <c r="AA38" s="319">
        <v>0.24790000000000001</v>
      </c>
      <c r="AB38" s="319">
        <v>0.39479999999999998</v>
      </c>
      <c r="AC38" s="319">
        <v>0</v>
      </c>
      <c r="AD38" s="319">
        <v>0</v>
      </c>
      <c r="AE38" s="319">
        <v>0</v>
      </c>
      <c r="AF38" s="319">
        <v>0.29849999999999999</v>
      </c>
      <c r="AG38" s="319">
        <v>3.39E-2</v>
      </c>
      <c r="AH38" s="319">
        <v>0</v>
      </c>
      <c r="AI38" s="319">
        <v>1.9443999999999999</v>
      </c>
      <c r="AJ38" s="319">
        <v>1.6437999999999999</v>
      </c>
      <c r="AK38" s="319">
        <v>5.6800000000000003E-2</v>
      </c>
      <c r="AL38" s="319">
        <v>0.65259999999999996</v>
      </c>
      <c r="AM38" s="319">
        <v>0.1143</v>
      </c>
      <c r="AN38" s="319">
        <v>1.8499999999999999E-2</v>
      </c>
      <c r="AO38" s="319">
        <v>0.3241</v>
      </c>
      <c r="AP38" s="319">
        <v>0</v>
      </c>
      <c r="AQ38" s="319">
        <v>0</v>
      </c>
      <c r="AR38" s="319">
        <v>0.4985</v>
      </c>
      <c r="AS38" s="319">
        <v>0.4985</v>
      </c>
      <c r="AT38" s="331">
        <v>0.2702</v>
      </c>
      <c r="AU38" s="336">
        <v>10.4682</v>
      </c>
      <c r="AV38" s="329">
        <v>10.4682</v>
      </c>
      <c r="AW38" s="337">
        <v>5.6750000000000007</v>
      </c>
      <c r="AX38" s="334"/>
      <c r="AY38" s="323">
        <v>8.2431000000000001</v>
      </c>
      <c r="AZ38" s="323">
        <v>8.2431000000000001</v>
      </c>
      <c r="BA38" s="323">
        <v>4.5401999999999996</v>
      </c>
      <c r="BB38" s="319"/>
      <c r="BC38" s="321">
        <f t="shared" si="0"/>
        <v>1.2699348546056701</v>
      </c>
      <c r="BD38" s="321">
        <f t="shared" si="1"/>
        <v>1.2699348546056701</v>
      </c>
      <c r="BE38" s="321">
        <f t="shared" si="2"/>
        <v>1.2499449363464168</v>
      </c>
      <c r="BG38" s="22">
        <f t="shared" si="3"/>
        <v>4.4408920985006262E-16</v>
      </c>
      <c r="BH38" s="22">
        <f t="shared" si="4"/>
        <v>0</v>
      </c>
      <c r="BI38" s="22">
        <f t="shared" si="5"/>
        <v>0</v>
      </c>
    </row>
    <row r="39" spans="2:61" x14ac:dyDescent="0.25">
      <c r="B39" s="312">
        <v>147</v>
      </c>
      <c r="C39" s="312" t="s">
        <v>755</v>
      </c>
      <c r="D39" s="312"/>
      <c r="E39" s="312">
        <v>3</v>
      </c>
      <c r="F39" s="312">
        <v>10</v>
      </c>
      <c r="G39" s="313" t="s">
        <v>38</v>
      </c>
      <c r="H39" s="313"/>
      <c r="I39" s="346">
        <v>3951.4</v>
      </c>
      <c r="J39" s="317">
        <v>3869.8</v>
      </c>
      <c r="K39" s="317">
        <v>0</v>
      </c>
      <c r="L39" s="317">
        <v>81.599999999999994</v>
      </c>
      <c r="M39" s="317"/>
      <c r="N39" s="319">
        <v>0.18310000000000001</v>
      </c>
      <c r="O39" s="319">
        <v>0.1062</v>
      </c>
      <c r="P39" s="319">
        <v>0</v>
      </c>
      <c r="Q39" s="319">
        <v>0</v>
      </c>
      <c r="R39" s="319">
        <v>0</v>
      </c>
      <c r="S39" s="319">
        <v>0.5</v>
      </c>
      <c r="T39" s="319">
        <v>0</v>
      </c>
      <c r="U39" s="319">
        <v>0.61070000000000002</v>
      </c>
      <c r="V39" s="319">
        <v>0</v>
      </c>
      <c r="W39" s="319">
        <v>0</v>
      </c>
      <c r="X39" s="319">
        <v>0.36020000000000002</v>
      </c>
      <c r="Y39" s="319">
        <v>0</v>
      </c>
      <c r="Z39" s="319">
        <v>1.7619</v>
      </c>
      <c r="AA39" s="319">
        <v>0.23200000000000001</v>
      </c>
      <c r="AB39" s="319">
        <v>0.3765</v>
      </c>
      <c r="AC39" s="319">
        <v>0</v>
      </c>
      <c r="AD39" s="319">
        <v>0</v>
      </c>
      <c r="AE39" s="319">
        <v>0</v>
      </c>
      <c r="AF39" s="319">
        <v>0.2006</v>
      </c>
      <c r="AG39" s="319">
        <v>3.3599999999999998E-2</v>
      </c>
      <c r="AH39" s="319">
        <v>0</v>
      </c>
      <c r="AI39" s="319">
        <v>3.1417000000000002</v>
      </c>
      <c r="AJ39" s="319">
        <v>1.367</v>
      </c>
      <c r="AK39" s="319">
        <v>6.0999999999999999E-2</v>
      </c>
      <c r="AL39" s="319">
        <v>0.75319999999999998</v>
      </c>
      <c r="AM39" s="319">
        <v>0.1135</v>
      </c>
      <c r="AN39" s="319">
        <v>1.84E-2</v>
      </c>
      <c r="AO39" s="319">
        <v>0.64200000000000002</v>
      </c>
      <c r="AP39" s="319">
        <v>0</v>
      </c>
      <c r="AQ39" s="319">
        <v>0</v>
      </c>
      <c r="AR39" s="319">
        <v>0.52310000000000001</v>
      </c>
      <c r="AS39" s="319">
        <v>0.52310000000000001</v>
      </c>
      <c r="AT39" s="331">
        <v>0.22789999999999999</v>
      </c>
      <c r="AU39" s="336">
        <v>10.984699999999998</v>
      </c>
      <c r="AV39" s="329">
        <v>10.984699999999998</v>
      </c>
      <c r="AW39" s="337">
        <v>4.7855999999999996</v>
      </c>
      <c r="AX39" s="334"/>
      <c r="AY39" s="323">
        <v>8.6499000000000006</v>
      </c>
      <c r="AZ39" s="323">
        <v>8.6499000000000006</v>
      </c>
      <c r="BA39" s="323">
        <v>4.2771000000000008</v>
      </c>
      <c r="BB39" s="319"/>
      <c r="BC39" s="321">
        <f t="shared" si="0"/>
        <v>1.2699221956323192</v>
      </c>
      <c r="BD39" s="321">
        <f t="shared" si="1"/>
        <v>1.2699221956323192</v>
      </c>
      <c r="BE39" s="321">
        <f t="shared" si="2"/>
        <v>1.1188889668233146</v>
      </c>
      <c r="BG39" s="22">
        <f t="shared" si="3"/>
        <v>0</v>
      </c>
      <c r="BH39" s="22">
        <f t="shared" si="4"/>
        <v>0</v>
      </c>
      <c r="BI39" s="22">
        <f t="shared" si="5"/>
        <v>0</v>
      </c>
    </row>
    <row r="40" spans="2:61" x14ac:dyDescent="0.25">
      <c r="B40" s="312">
        <v>149</v>
      </c>
      <c r="C40" s="312" t="s">
        <v>760</v>
      </c>
      <c r="D40" s="312"/>
      <c r="E40" s="312">
        <v>3</v>
      </c>
      <c r="F40" s="312">
        <v>4</v>
      </c>
      <c r="G40" s="313" t="s">
        <v>39</v>
      </c>
      <c r="H40" s="313"/>
      <c r="I40" s="346">
        <v>1469.4</v>
      </c>
      <c r="J40" s="317">
        <v>1469.4</v>
      </c>
      <c r="K40" s="317">
        <v>0</v>
      </c>
      <c r="L40" s="317">
        <v>0</v>
      </c>
      <c r="M40" s="317"/>
      <c r="N40" s="319">
        <v>0.21920000000000001</v>
      </c>
      <c r="O40" s="319">
        <v>0.1166</v>
      </c>
      <c r="P40" s="319">
        <v>0.32890000000000003</v>
      </c>
      <c r="Q40" s="319">
        <v>7.5899999999999995E-2</v>
      </c>
      <c r="R40" s="319">
        <v>0</v>
      </c>
      <c r="S40" s="319">
        <v>0.57850000000000001</v>
      </c>
      <c r="T40" s="319">
        <v>0</v>
      </c>
      <c r="U40" s="319">
        <v>0.63149999999999995</v>
      </c>
      <c r="V40" s="319">
        <v>0</v>
      </c>
      <c r="W40" s="319">
        <v>0</v>
      </c>
      <c r="X40" s="319">
        <v>0.12920000000000001</v>
      </c>
      <c r="Y40" s="319">
        <v>0</v>
      </c>
      <c r="Z40" s="319">
        <v>1.8987000000000001</v>
      </c>
      <c r="AA40" s="319">
        <v>0.21690000000000001</v>
      </c>
      <c r="AB40" s="319">
        <v>0.41360000000000002</v>
      </c>
      <c r="AC40" s="319">
        <v>8.5400000000000004E-2</v>
      </c>
      <c r="AD40" s="319">
        <v>8.48E-2</v>
      </c>
      <c r="AE40" s="319">
        <v>0</v>
      </c>
      <c r="AF40" s="319">
        <v>0.14360000000000001</v>
      </c>
      <c r="AG40" s="319">
        <v>3.4299999999999997E-2</v>
      </c>
      <c r="AH40" s="319">
        <v>0</v>
      </c>
      <c r="AI40" s="319">
        <v>1.915</v>
      </c>
      <c r="AJ40" s="319">
        <v>1.4985999999999999</v>
      </c>
      <c r="AK40" s="319">
        <v>5.62E-2</v>
      </c>
      <c r="AL40" s="319">
        <v>1.0610999999999999</v>
      </c>
      <c r="AM40" s="319">
        <v>0.11550000000000001</v>
      </c>
      <c r="AN40" s="319">
        <v>1.8700000000000001E-2</v>
      </c>
      <c r="AO40" s="319">
        <v>0.33460000000000001</v>
      </c>
      <c r="AP40" s="319">
        <v>0</v>
      </c>
      <c r="AQ40" s="319">
        <v>0</v>
      </c>
      <c r="AR40" s="319">
        <v>0.49780000000000002</v>
      </c>
      <c r="AS40" s="319">
        <v>0.49780000000000002</v>
      </c>
      <c r="AT40" s="331">
        <v>0.25740000000000002</v>
      </c>
      <c r="AU40" s="336">
        <v>10.454600000000003</v>
      </c>
      <c r="AV40" s="329">
        <v>10.454600000000003</v>
      </c>
      <c r="AW40" s="337">
        <v>5.4049000000000031</v>
      </c>
      <c r="AX40" s="334"/>
      <c r="AY40" s="323">
        <v>8.2324999999999982</v>
      </c>
      <c r="AZ40" s="323">
        <v>8.2324999999999982</v>
      </c>
      <c r="BA40" s="323">
        <v>4.5035999999999996</v>
      </c>
      <c r="BB40" s="319"/>
      <c r="BC40" s="321">
        <f t="shared" si="0"/>
        <v>1.2699180078955365</v>
      </c>
      <c r="BD40" s="321">
        <f t="shared" si="1"/>
        <v>1.2699180078955365</v>
      </c>
      <c r="BE40" s="321">
        <f t="shared" si="2"/>
        <v>1.2001287858602014</v>
      </c>
      <c r="BG40" s="22">
        <f t="shared" si="3"/>
        <v>6.6613381477509392E-16</v>
      </c>
      <c r="BH40" s="22">
        <f t="shared" si="4"/>
        <v>1.4988010832439613E-15</v>
      </c>
      <c r="BI40" s="22">
        <f t="shared" si="5"/>
        <v>4.163336342344337E-15</v>
      </c>
    </row>
    <row r="41" spans="2:61" x14ac:dyDescent="0.25">
      <c r="B41" s="312">
        <v>154</v>
      </c>
      <c r="C41" s="312" t="s">
        <v>770</v>
      </c>
      <c r="D41" s="312"/>
      <c r="E41" s="312">
        <v>3</v>
      </c>
      <c r="F41" s="312">
        <v>4</v>
      </c>
      <c r="G41" s="313" t="s">
        <v>40</v>
      </c>
      <c r="H41" s="313"/>
      <c r="I41" s="346">
        <v>1611.5</v>
      </c>
      <c r="J41" s="317">
        <v>1611.5</v>
      </c>
      <c r="K41" s="317">
        <v>0</v>
      </c>
      <c r="L41" s="317">
        <v>0</v>
      </c>
      <c r="M41" s="317"/>
      <c r="N41" s="319">
        <v>0.19989999999999999</v>
      </c>
      <c r="O41" s="319">
        <v>0.11459999999999999</v>
      </c>
      <c r="P41" s="319">
        <v>0.33910000000000001</v>
      </c>
      <c r="Q41" s="319">
        <v>7.46E-2</v>
      </c>
      <c r="R41" s="319">
        <v>0</v>
      </c>
      <c r="S41" s="319">
        <v>0.53700000000000003</v>
      </c>
      <c r="T41" s="319">
        <v>0</v>
      </c>
      <c r="U41" s="319">
        <v>0.63149999999999995</v>
      </c>
      <c r="V41" s="319">
        <v>0</v>
      </c>
      <c r="W41" s="319">
        <v>0</v>
      </c>
      <c r="X41" s="319">
        <v>0.1178</v>
      </c>
      <c r="Y41" s="319">
        <v>0</v>
      </c>
      <c r="Z41" s="319">
        <v>1.9066000000000001</v>
      </c>
      <c r="AA41" s="319">
        <v>0.2356</v>
      </c>
      <c r="AB41" s="319">
        <v>0.40639999999999998</v>
      </c>
      <c r="AC41" s="319">
        <v>8.48E-2</v>
      </c>
      <c r="AD41" s="319">
        <v>6.6699999999999995E-2</v>
      </c>
      <c r="AE41" s="319">
        <v>0</v>
      </c>
      <c r="AF41" s="319">
        <v>0.13370000000000001</v>
      </c>
      <c r="AG41" s="319">
        <v>3.3099999999999997E-2</v>
      </c>
      <c r="AH41" s="319">
        <v>0</v>
      </c>
      <c r="AI41" s="319">
        <v>1.7967</v>
      </c>
      <c r="AJ41" s="319">
        <v>1.6372</v>
      </c>
      <c r="AK41" s="319">
        <v>5.9200000000000003E-2</v>
      </c>
      <c r="AL41" s="319">
        <v>1.002</v>
      </c>
      <c r="AM41" s="319">
        <v>0.11360000000000001</v>
      </c>
      <c r="AN41" s="319">
        <v>1.84E-2</v>
      </c>
      <c r="AO41" s="319">
        <v>0.33400000000000002</v>
      </c>
      <c r="AP41" s="319">
        <v>0</v>
      </c>
      <c r="AQ41" s="319">
        <v>0</v>
      </c>
      <c r="AR41" s="319">
        <v>0.49209999999999998</v>
      </c>
      <c r="AS41" s="319">
        <v>0.49209999999999998</v>
      </c>
      <c r="AT41" s="331">
        <v>0.25359999999999999</v>
      </c>
      <c r="AU41" s="336">
        <v>10.334600000000002</v>
      </c>
      <c r="AV41" s="329">
        <v>10.334600000000002</v>
      </c>
      <c r="AW41" s="337">
        <v>5.3262000000000009</v>
      </c>
      <c r="AX41" s="334"/>
      <c r="AY41" s="323">
        <v>8.1381000000000014</v>
      </c>
      <c r="AZ41" s="323">
        <v>8.1381000000000014</v>
      </c>
      <c r="BA41" s="323">
        <v>4.5372000000000012</v>
      </c>
      <c r="BB41" s="319"/>
      <c r="BC41" s="321">
        <f t="shared" si="0"/>
        <v>1.2699032943807522</v>
      </c>
      <c r="BD41" s="321">
        <f t="shared" si="1"/>
        <v>1.2699032943807522</v>
      </c>
      <c r="BE41" s="321">
        <f t="shared" si="2"/>
        <v>1.17389579476329</v>
      </c>
      <c r="BG41" s="22">
        <f t="shared" si="3"/>
        <v>1.7208456881689926E-15</v>
      </c>
      <c r="BH41" s="22">
        <f t="shared" si="4"/>
        <v>9.7144514654701197E-16</v>
      </c>
      <c r="BI41" s="22">
        <f t="shared" si="5"/>
        <v>1.8596235662471372E-15</v>
      </c>
    </row>
    <row r="42" spans="2:61" x14ac:dyDescent="0.25">
      <c r="B42" s="312">
        <v>156</v>
      </c>
      <c r="C42" s="312" t="s">
        <v>774</v>
      </c>
      <c r="D42" s="312"/>
      <c r="E42" s="312">
        <v>3</v>
      </c>
      <c r="F42" s="312">
        <v>3</v>
      </c>
      <c r="G42" s="313" t="s">
        <v>41</v>
      </c>
      <c r="H42" s="313"/>
      <c r="I42" s="346">
        <v>1399.2</v>
      </c>
      <c r="J42" s="317">
        <v>1399.2</v>
      </c>
      <c r="K42" s="317">
        <v>0</v>
      </c>
      <c r="L42" s="317">
        <v>0</v>
      </c>
      <c r="M42" s="317"/>
      <c r="N42" s="319">
        <v>0.23019999999999999</v>
      </c>
      <c r="O42" s="319">
        <v>0.1158</v>
      </c>
      <c r="P42" s="319">
        <v>0.32550000000000001</v>
      </c>
      <c r="Q42" s="319">
        <v>7.7100000000000002E-2</v>
      </c>
      <c r="R42" s="319">
        <v>0</v>
      </c>
      <c r="S42" s="319">
        <v>0.46110000000000001</v>
      </c>
      <c r="T42" s="319">
        <v>0</v>
      </c>
      <c r="U42" s="319">
        <v>0.63149999999999995</v>
      </c>
      <c r="V42" s="319">
        <v>0</v>
      </c>
      <c r="W42" s="319">
        <v>0</v>
      </c>
      <c r="X42" s="319">
        <v>0.1356</v>
      </c>
      <c r="Y42" s="319">
        <v>0</v>
      </c>
      <c r="Z42" s="319">
        <v>1.4544999999999999</v>
      </c>
      <c r="AA42" s="319">
        <v>0.24030000000000001</v>
      </c>
      <c r="AB42" s="319">
        <v>0.4108</v>
      </c>
      <c r="AC42" s="319">
        <v>8.4199999999999997E-2</v>
      </c>
      <c r="AD42" s="319">
        <v>0.1012</v>
      </c>
      <c r="AE42" s="319">
        <v>0</v>
      </c>
      <c r="AF42" s="319">
        <v>0.1149</v>
      </c>
      <c r="AG42" s="319">
        <v>3.4099999999999998E-2</v>
      </c>
      <c r="AH42" s="319">
        <v>0</v>
      </c>
      <c r="AI42" s="319">
        <v>2.5104000000000002</v>
      </c>
      <c r="AJ42" s="319">
        <v>1.3066</v>
      </c>
      <c r="AK42" s="319">
        <v>5.8500000000000003E-2</v>
      </c>
      <c r="AL42" s="319">
        <v>0.7944</v>
      </c>
      <c r="AM42" s="319">
        <v>0.11260000000000001</v>
      </c>
      <c r="AN42" s="319">
        <v>1.83E-2</v>
      </c>
      <c r="AO42" s="319">
        <v>0.185</v>
      </c>
      <c r="AP42" s="319">
        <v>0</v>
      </c>
      <c r="AQ42" s="319">
        <v>0</v>
      </c>
      <c r="AR42" s="319">
        <v>0.47010000000000002</v>
      </c>
      <c r="AS42" s="319">
        <v>0.47010000000000002</v>
      </c>
      <c r="AT42" s="331">
        <v>0.2303</v>
      </c>
      <c r="AU42" s="336">
        <v>9.8727</v>
      </c>
      <c r="AV42" s="329">
        <v>9.8727</v>
      </c>
      <c r="AW42" s="337">
        <v>4.8364999999999991</v>
      </c>
      <c r="AX42" s="334"/>
      <c r="AY42" s="323">
        <v>7.7743000000000002</v>
      </c>
      <c r="AZ42" s="323">
        <v>7.7743000000000002</v>
      </c>
      <c r="BA42" s="323">
        <v>4.3350000000000009</v>
      </c>
      <c r="BB42" s="319"/>
      <c r="BC42" s="321">
        <f t="shared" si="0"/>
        <v>1.2699149762679598</v>
      </c>
      <c r="BD42" s="321">
        <f t="shared" si="1"/>
        <v>1.2699149762679598</v>
      </c>
      <c r="BE42" s="321">
        <f t="shared" si="2"/>
        <v>1.1156862745098035</v>
      </c>
      <c r="BG42" s="22">
        <f t="shared" si="3"/>
        <v>4.4408920985006262E-16</v>
      </c>
      <c r="BH42" s="22">
        <f t="shared" si="4"/>
        <v>-9.1593399531575415E-16</v>
      </c>
      <c r="BI42" s="22">
        <f t="shared" si="5"/>
        <v>-9.1593399531575415E-16</v>
      </c>
    </row>
    <row r="43" spans="2:61" x14ac:dyDescent="0.25">
      <c r="B43" s="312">
        <v>157</v>
      </c>
      <c r="C43" s="312" t="s">
        <v>777</v>
      </c>
      <c r="D43" s="312"/>
      <c r="E43" s="312">
        <v>3</v>
      </c>
      <c r="F43" s="312">
        <v>2</v>
      </c>
      <c r="G43" s="313" t="s">
        <v>43</v>
      </c>
      <c r="H43" s="313"/>
      <c r="I43" s="346">
        <v>711.7</v>
      </c>
      <c r="J43" s="317">
        <v>711.7</v>
      </c>
      <c r="K43" s="317">
        <v>0</v>
      </c>
      <c r="L43" s="317">
        <v>0</v>
      </c>
      <c r="M43" s="317"/>
      <c r="N43" s="319">
        <v>0.2263</v>
      </c>
      <c r="O43" s="319">
        <v>9.06E-2</v>
      </c>
      <c r="P43" s="319">
        <v>0.33639999999999998</v>
      </c>
      <c r="Q43" s="319">
        <v>7.8100000000000003E-2</v>
      </c>
      <c r="R43" s="319">
        <v>0</v>
      </c>
      <c r="S43" s="319">
        <v>0.60799999999999998</v>
      </c>
      <c r="T43" s="319">
        <v>0</v>
      </c>
      <c r="U43" s="319">
        <v>0.63149999999999995</v>
      </c>
      <c r="V43" s="319">
        <v>0</v>
      </c>
      <c r="W43" s="319">
        <v>0</v>
      </c>
      <c r="X43" s="319">
        <v>0.1333</v>
      </c>
      <c r="Y43" s="319">
        <v>0</v>
      </c>
      <c r="Z43" s="319">
        <v>1.59</v>
      </c>
      <c r="AA43" s="319">
        <v>0.25390000000000001</v>
      </c>
      <c r="AB43" s="319">
        <v>0.32129999999999997</v>
      </c>
      <c r="AC43" s="319">
        <v>8.2799999999999999E-2</v>
      </c>
      <c r="AD43" s="319">
        <v>0.10489999999999999</v>
      </c>
      <c r="AE43" s="319">
        <v>0</v>
      </c>
      <c r="AF43" s="319">
        <v>9.0399999999999994E-2</v>
      </c>
      <c r="AG43" s="319">
        <v>3.2599999999999997E-2</v>
      </c>
      <c r="AH43" s="319">
        <v>0</v>
      </c>
      <c r="AI43" s="319">
        <v>2.0360999999999998</v>
      </c>
      <c r="AJ43" s="319">
        <v>1.8149999999999999</v>
      </c>
      <c r="AK43" s="319">
        <v>6.5100000000000005E-2</v>
      </c>
      <c r="AL43" s="319">
        <v>0.69099999999999995</v>
      </c>
      <c r="AM43" s="319">
        <v>9.1999999999999998E-2</v>
      </c>
      <c r="AN43" s="319">
        <v>1.49E-2</v>
      </c>
      <c r="AO43" s="319">
        <v>0.4073</v>
      </c>
      <c r="AP43" s="319">
        <v>0</v>
      </c>
      <c r="AQ43" s="319">
        <v>0</v>
      </c>
      <c r="AR43" s="319">
        <v>0.48509999999999998</v>
      </c>
      <c r="AS43" s="319">
        <v>0.48509999999999998</v>
      </c>
      <c r="AT43" s="331">
        <v>0.23760000000000001</v>
      </c>
      <c r="AU43" s="336">
        <v>10.186599999999999</v>
      </c>
      <c r="AV43" s="329">
        <v>10.186599999999999</v>
      </c>
      <c r="AW43" s="337">
        <v>4.9897</v>
      </c>
      <c r="AX43" s="334"/>
      <c r="AY43" s="323">
        <v>8.0213999999999999</v>
      </c>
      <c r="AZ43" s="323">
        <v>8.0213999999999999</v>
      </c>
      <c r="BA43" s="323">
        <v>4.0381999999999998</v>
      </c>
      <c r="BB43" s="319"/>
      <c r="BC43" s="321">
        <f t="shared" si="0"/>
        <v>1.2699279427531351</v>
      </c>
      <c r="BD43" s="321">
        <f t="shared" si="1"/>
        <v>1.2699279427531351</v>
      </c>
      <c r="BE43" s="321">
        <f t="shared" si="2"/>
        <v>1.2356247833193008</v>
      </c>
      <c r="BG43" s="22">
        <f t="shared" si="3"/>
        <v>-8.8817841970012523E-16</v>
      </c>
      <c r="BH43" s="22">
        <f t="shared" si="4"/>
        <v>6.6613381477509392E-16</v>
      </c>
      <c r="BI43" s="22">
        <f t="shared" si="5"/>
        <v>1.5543122344752192E-15</v>
      </c>
    </row>
    <row r="44" spans="2:61" x14ac:dyDescent="0.25">
      <c r="B44" s="312">
        <v>159</v>
      </c>
      <c r="C44" s="312" t="s">
        <v>408</v>
      </c>
      <c r="D44" s="312"/>
      <c r="E44" s="312">
        <v>3</v>
      </c>
      <c r="F44" s="312">
        <v>4</v>
      </c>
      <c r="G44" s="313" t="s">
        <v>781</v>
      </c>
      <c r="H44" s="313"/>
      <c r="I44" s="346">
        <v>1571.9</v>
      </c>
      <c r="J44" s="317">
        <v>1571.9</v>
      </c>
      <c r="K44" s="317">
        <v>0</v>
      </c>
      <c r="L44" s="317">
        <v>0</v>
      </c>
      <c r="M44" s="317"/>
      <c r="N44" s="319">
        <v>0.2049</v>
      </c>
      <c r="O44" s="319">
        <v>0.1477</v>
      </c>
      <c r="P44" s="319">
        <v>0.33579999999999999</v>
      </c>
      <c r="Q44" s="319">
        <v>7.7700000000000005E-2</v>
      </c>
      <c r="R44" s="319">
        <v>0</v>
      </c>
      <c r="S44" s="319">
        <v>0.55059999999999998</v>
      </c>
      <c r="T44" s="319">
        <v>0</v>
      </c>
      <c r="U44" s="319">
        <v>0.63149999999999995</v>
      </c>
      <c r="V44" s="319">
        <v>0</v>
      </c>
      <c r="W44" s="319">
        <v>0</v>
      </c>
      <c r="X44" s="319">
        <v>0.1207</v>
      </c>
      <c r="Y44" s="319">
        <v>0</v>
      </c>
      <c r="Z44" s="319">
        <v>2.1825999999999999</v>
      </c>
      <c r="AA44" s="319">
        <v>0.29110000000000003</v>
      </c>
      <c r="AB44" s="319">
        <v>0.52370000000000005</v>
      </c>
      <c r="AC44" s="319">
        <v>8.6199999999999999E-2</v>
      </c>
      <c r="AD44" s="319">
        <v>9.0200000000000002E-2</v>
      </c>
      <c r="AE44" s="319">
        <v>0</v>
      </c>
      <c r="AF44" s="319">
        <v>0.24410000000000001</v>
      </c>
      <c r="AG44" s="319">
        <v>3.3300000000000003E-2</v>
      </c>
      <c r="AH44" s="319">
        <v>0</v>
      </c>
      <c r="AI44" s="319">
        <v>1.2083999999999999</v>
      </c>
      <c r="AJ44" s="319">
        <v>1.5170999999999999</v>
      </c>
      <c r="AK44" s="319">
        <v>8.1100000000000005E-2</v>
      </c>
      <c r="AL44" s="319">
        <v>0.9718</v>
      </c>
      <c r="AM44" s="319">
        <v>9.5500000000000002E-2</v>
      </c>
      <c r="AN44" s="319">
        <v>1.55E-2</v>
      </c>
      <c r="AO44" s="319">
        <v>0.22059999999999999</v>
      </c>
      <c r="AP44" s="319">
        <v>0</v>
      </c>
      <c r="AQ44" s="319">
        <v>0</v>
      </c>
      <c r="AR44" s="319">
        <v>0.48149999999999998</v>
      </c>
      <c r="AS44" s="319">
        <v>0.48149999999999998</v>
      </c>
      <c r="AT44" s="331">
        <v>0.28560000000000002</v>
      </c>
      <c r="AU44" s="336">
        <v>10.111599999999997</v>
      </c>
      <c r="AV44" s="329">
        <v>10.111599999999997</v>
      </c>
      <c r="AW44" s="337">
        <v>5.9977999999999971</v>
      </c>
      <c r="AX44" s="334"/>
      <c r="AY44" s="323">
        <v>8.0213000000000001</v>
      </c>
      <c r="AZ44" s="323">
        <v>8.0213000000000001</v>
      </c>
      <c r="BA44" s="323">
        <v>4.7679</v>
      </c>
      <c r="BB44" s="319"/>
      <c r="BC44" s="321">
        <f t="shared" si="0"/>
        <v>1.260593669355341</v>
      </c>
      <c r="BD44" s="321">
        <f t="shared" si="1"/>
        <v>1.260593669355341</v>
      </c>
      <c r="BE44" s="321">
        <f t="shared" si="2"/>
        <v>1.2579542356173572</v>
      </c>
      <c r="BG44" s="22">
        <f t="shared" si="3"/>
        <v>-3.6082248300317588E-15</v>
      </c>
      <c r="BH44" s="22">
        <f t="shared" si="4"/>
        <v>-6.3837823915946501E-16</v>
      </c>
      <c r="BI44" s="22">
        <f t="shared" si="5"/>
        <v>-3.3029134982598407E-15</v>
      </c>
    </row>
    <row r="45" spans="2:61" x14ac:dyDescent="0.25">
      <c r="B45" s="312">
        <v>162</v>
      </c>
      <c r="C45" s="312" t="s">
        <v>787</v>
      </c>
      <c r="D45" s="312"/>
      <c r="E45" s="312">
        <v>3</v>
      </c>
      <c r="F45" s="312">
        <v>4</v>
      </c>
      <c r="G45" s="313" t="s">
        <v>44</v>
      </c>
      <c r="H45" s="313"/>
      <c r="I45" s="346">
        <v>1383.5</v>
      </c>
      <c r="J45" s="317">
        <v>1383.5</v>
      </c>
      <c r="K45" s="317">
        <v>0</v>
      </c>
      <c r="L45" s="317">
        <v>0</v>
      </c>
      <c r="M45" s="317"/>
      <c r="N45" s="319">
        <v>0.23280000000000001</v>
      </c>
      <c r="O45" s="319">
        <v>9.5299999999999996E-2</v>
      </c>
      <c r="P45" s="319">
        <v>0.33460000000000001</v>
      </c>
      <c r="Q45" s="319">
        <v>7.9100000000000004E-2</v>
      </c>
      <c r="R45" s="319">
        <v>0</v>
      </c>
      <c r="S45" s="319">
        <v>0.62549999999999994</v>
      </c>
      <c r="T45" s="319">
        <v>0</v>
      </c>
      <c r="U45" s="319">
        <v>0.63149999999999995</v>
      </c>
      <c r="V45" s="319">
        <v>0</v>
      </c>
      <c r="W45" s="319">
        <v>0</v>
      </c>
      <c r="X45" s="319">
        <v>0.13719999999999999</v>
      </c>
      <c r="Y45" s="319">
        <v>0</v>
      </c>
      <c r="Z45" s="319">
        <v>0.75439999999999996</v>
      </c>
      <c r="AA45" s="319">
        <v>0.16239999999999999</v>
      </c>
      <c r="AB45" s="319">
        <v>0.33810000000000001</v>
      </c>
      <c r="AC45" s="319">
        <v>8.8499999999999995E-2</v>
      </c>
      <c r="AD45" s="319">
        <v>0.12</v>
      </c>
      <c r="AE45" s="319">
        <v>0</v>
      </c>
      <c r="AF45" s="319">
        <v>0.14749999999999999</v>
      </c>
      <c r="AG45" s="319">
        <v>3.4599999999999999E-2</v>
      </c>
      <c r="AH45" s="319">
        <v>0</v>
      </c>
      <c r="AI45" s="319">
        <v>2.3689</v>
      </c>
      <c r="AJ45" s="319">
        <v>1.5412999999999999</v>
      </c>
      <c r="AK45" s="319">
        <v>5.8299999999999998E-2</v>
      </c>
      <c r="AL45" s="319">
        <v>0.85370000000000001</v>
      </c>
      <c r="AM45" s="319">
        <v>8.2299999999999998E-2</v>
      </c>
      <c r="AN45" s="319">
        <v>1.34E-2</v>
      </c>
      <c r="AO45" s="319">
        <v>1.2569999999999999</v>
      </c>
      <c r="AP45" s="319">
        <v>0</v>
      </c>
      <c r="AQ45" s="319">
        <v>0</v>
      </c>
      <c r="AR45" s="319">
        <v>0.49780000000000002</v>
      </c>
      <c r="AS45" s="319">
        <v>0.49780000000000002</v>
      </c>
      <c r="AT45" s="331">
        <v>0.1968</v>
      </c>
      <c r="AU45" s="336">
        <v>10.4542</v>
      </c>
      <c r="AV45" s="329">
        <v>10.4542</v>
      </c>
      <c r="AW45" s="337">
        <v>4.1323000000000008</v>
      </c>
      <c r="AX45" s="334"/>
      <c r="AY45" s="323">
        <v>8.2320999999999991</v>
      </c>
      <c r="AZ45" s="323">
        <v>8.2320999999999991</v>
      </c>
      <c r="BA45" s="323">
        <v>3.9705999999999992</v>
      </c>
      <c r="BB45" s="319"/>
      <c r="BC45" s="321">
        <f t="shared" si="0"/>
        <v>1.2699311232856745</v>
      </c>
      <c r="BD45" s="321">
        <f t="shared" si="1"/>
        <v>1.2699311232856745</v>
      </c>
      <c r="BE45" s="321">
        <f t="shared" si="2"/>
        <v>1.0407243237797819</v>
      </c>
      <c r="BG45" s="22">
        <f t="shared" si="3"/>
        <v>1.1102230246251565E-15</v>
      </c>
      <c r="BH45" s="22">
        <f t="shared" si="4"/>
        <v>7.2164496600635175E-16</v>
      </c>
      <c r="BI45" s="22">
        <f t="shared" si="5"/>
        <v>1.1657341758564144E-15</v>
      </c>
    </row>
    <row r="46" spans="2:61" x14ac:dyDescent="0.25">
      <c r="B46" s="312">
        <v>184</v>
      </c>
      <c r="C46" s="312" t="s">
        <v>831</v>
      </c>
      <c r="D46" s="312"/>
      <c r="E46" s="312">
        <v>3</v>
      </c>
      <c r="F46" s="312">
        <v>4</v>
      </c>
      <c r="G46" s="313" t="s">
        <v>45</v>
      </c>
      <c r="H46" s="313"/>
      <c r="I46" s="346">
        <v>1594.8</v>
      </c>
      <c r="J46" s="317">
        <v>1594.8</v>
      </c>
      <c r="K46" s="317">
        <v>0</v>
      </c>
      <c r="L46" s="317">
        <v>0</v>
      </c>
      <c r="M46" s="317"/>
      <c r="N46" s="319">
        <v>0.20200000000000001</v>
      </c>
      <c r="O46" s="319">
        <v>0.14560000000000001</v>
      </c>
      <c r="P46" s="319">
        <v>0.33260000000000001</v>
      </c>
      <c r="Q46" s="319">
        <v>7.6600000000000001E-2</v>
      </c>
      <c r="R46" s="319">
        <v>0</v>
      </c>
      <c r="S46" s="319">
        <v>0.54259999999999997</v>
      </c>
      <c r="T46" s="319">
        <v>0</v>
      </c>
      <c r="U46" s="319">
        <v>0.63149999999999995</v>
      </c>
      <c r="V46" s="319">
        <v>0</v>
      </c>
      <c r="W46" s="319">
        <v>0</v>
      </c>
      <c r="X46" s="319">
        <v>0.11899999999999999</v>
      </c>
      <c r="Y46" s="319">
        <v>0</v>
      </c>
      <c r="Z46" s="319">
        <v>1.9488000000000001</v>
      </c>
      <c r="AA46" s="319">
        <v>0.28689999999999999</v>
      </c>
      <c r="AB46" s="319">
        <v>0.51619999999999999</v>
      </c>
      <c r="AC46" s="319">
        <v>8.4900000000000003E-2</v>
      </c>
      <c r="AD46" s="319">
        <v>8.8900000000000007E-2</v>
      </c>
      <c r="AE46" s="319">
        <v>0</v>
      </c>
      <c r="AF46" s="319">
        <v>0.24060000000000001</v>
      </c>
      <c r="AG46" s="319">
        <v>3.3000000000000002E-2</v>
      </c>
      <c r="AH46" s="319">
        <v>0</v>
      </c>
      <c r="AI46" s="319">
        <v>1.843</v>
      </c>
      <c r="AJ46" s="319">
        <v>1.4964</v>
      </c>
      <c r="AK46" s="319">
        <v>0.08</v>
      </c>
      <c r="AL46" s="319">
        <v>0.74450000000000005</v>
      </c>
      <c r="AM46" s="319">
        <v>0.1129</v>
      </c>
      <c r="AN46" s="319">
        <v>1.83E-2</v>
      </c>
      <c r="AO46" s="319">
        <v>0.17199999999999999</v>
      </c>
      <c r="AP46" s="319">
        <v>0</v>
      </c>
      <c r="AQ46" s="319">
        <v>0</v>
      </c>
      <c r="AR46" s="319">
        <v>0.48580000000000001</v>
      </c>
      <c r="AS46" s="319">
        <v>0.48580000000000001</v>
      </c>
      <c r="AT46" s="331">
        <v>0.27300000000000002</v>
      </c>
      <c r="AU46" s="336">
        <v>10.2021</v>
      </c>
      <c r="AV46" s="329">
        <v>10.2021</v>
      </c>
      <c r="AW46" s="337">
        <v>5.7333999999999996</v>
      </c>
      <c r="AX46" s="334"/>
      <c r="AY46" s="323">
        <v>8.0336999999999996</v>
      </c>
      <c r="AZ46" s="323">
        <v>8.0336999999999996</v>
      </c>
      <c r="BA46" s="323">
        <v>4.7677000000000005</v>
      </c>
      <c r="BB46" s="319"/>
      <c r="BC46" s="321">
        <f t="shared" si="0"/>
        <v>1.2699129915232086</v>
      </c>
      <c r="BD46" s="321">
        <f t="shared" si="1"/>
        <v>1.2699129915232086</v>
      </c>
      <c r="BE46" s="321">
        <f t="shared" si="2"/>
        <v>1.2025504960463114</v>
      </c>
      <c r="BG46" s="22">
        <f t="shared" si="3"/>
        <v>0</v>
      </c>
      <c r="BH46" s="22">
        <f t="shared" si="4"/>
        <v>0</v>
      </c>
      <c r="BI46" s="22">
        <f t="shared" si="5"/>
        <v>0</v>
      </c>
    </row>
    <row r="47" spans="2:61" x14ac:dyDescent="0.25">
      <c r="B47" s="312">
        <v>231</v>
      </c>
      <c r="C47" s="312" t="s">
        <v>928</v>
      </c>
      <c r="D47" s="312" t="s">
        <v>946</v>
      </c>
      <c r="E47" s="312">
        <v>3</v>
      </c>
      <c r="F47" s="312">
        <v>1</v>
      </c>
      <c r="G47" s="313" t="s">
        <v>929</v>
      </c>
      <c r="H47" s="313"/>
      <c r="I47" s="346">
        <v>1174.8</v>
      </c>
      <c r="J47" s="317">
        <v>1174.8</v>
      </c>
      <c r="K47" s="317">
        <v>0</v>
      </c>
      <c r="L47" s="317">
        <v>0</v>
      </c>
      <c r="M47" s="317"/>
      <c r="N47" s="319">
        <v>0.2742</v>
      </c>
      <c r="O47" s="319">
        <v>0.12529999999999999</v>
      </c>
      <c r="P47" s="319">
        <v>0.28739999999999999</v>
      </c>
      <c r="Q47" s="319">
        <v>0</v>
      </c>
      <c r="R47" s="319">
        <v>0</v>
      </c>
      <c r="S47" s="319">
        <v>0.42970000000000003</v>
      </c>
      <c r="T47" s="319">
        <v>0</v>
      </c>
      <c r="U47" s="319">
        <v>0.62080000000000002</v>
      </c>
      <c r="V47" s="319">
        <v>0</v>
      </c>
      <c r="W47" s="319">
        <v>0</v>
      </c>
      <c r="X47" s="319">
        <v>8.4099999999999994E-2</v>
      </c>
      <c r="Y47" s="319">
        <v>0</v>
      </c>
      <c r="Z47" s="319">
        <v>1.8594999999999999</v>
      </c>
      <c r="AA47" s="319">
        <v>0.24110000000000001</v>
      </c>
      <c r="AB47" s="319">
        <v>0.36680000000000001</v>
      </c>
      <c r="AC47" s="319">
        <v>7.6700000000000004E-2</v>
      </c>
      <c r="AD47" s="319">
        <v>0</v>
      </c>
      <c r="AE47" s="319">
        <v>0</v>
      </c>
      <c r="AF47" s="319">
        <v>5.6000000000000001E-2</v>
      </c>
      <c r="AG47" s="319">
        <v>3.5499999999999997E-2</v>
      </c>
      <c r="AH47" s="319">
        <v>0</v>
      </c>
      <c r="AI47" s="319">
        <v>4.0468999999999999</v>
      </c>
      <c r="AJ47" s="319">
        <v>0.90210000000000001</v>
      </c>
      <c r="AK47" s="319">
        <v>0</v>
      </c>
      <c r="AL47" s="319">
        <v>0.90749999999999997</v>
      </c>
      <c r="AM47" s="319">
        <v>0</v>
      </c>
      <c r="AN47" s="319">
        <v>0</v>
      </c>
      <c r="AO47" s="319">
        <v>2.4716</v>
      </c>
      <c r="AP47" s="319">
        <v>0</v>
      </c>
      <c r="AQ47" s="319">
        <v>0</v>
      </c>
      <c r="AR47" s="319">
        <v>0.63929999999999998</v>
      </c>
      <c r="AS47" s="319">
        <v>0.63929999999999998</v>
      </c>
      <c r="AT47" s="331">
        <v>0.22289999999999999</v>
      </c>
      <c r="AU47" s="336">
        <v>13.424500000000002</v>
      </c>
      <c r="AV47" s="329">
        <v>13.424500000000002</v>
      </c>
      <c r="AW47" s="337">
        <v>4.68</v>
      </c>
      <c r="AX47" s="334"/>
      <c r="AY47" s="323">
        <v>12.526300000000001</v>
      </c>
      <c r="AZ47" s="323">
        <v>12.526300000000001</v>
      </c>
      <c r="BA47" s="323"/>
      <c r="BB47" s="319"/>
      <c r="BC47" s="321">
        <f t="shared" si="0"/>
        <v>1.0717051324014275</v>
      </c>
      <c r="BD47" s="321">
        <f t="shared" si="1"/>
        <v>1.0717051324014275</v>
      </c>
      <c r="BE47" s="321" t="e">
        <f t="shared" si="2"/>
        <v>#DIV/0!</v>
      </c>
      <c r="BG47" s="22">
        <f t="shared" si="3"/>
        <v>1.7763568394002505E-15</v>
      </c>
      <c r="BH47" s="22">
        <f t="shared" si="4"/>
        <v>0</v>
      </c>
      <c r="BI47" s="22">
        <f t="shared" si="5"/>
        <v>0</v>
      </c>
    </row>
    <row r="48" spans="2:61" x14ac:dyDescent="0.25">
      <c r="B48" s="312">
        <v>152</v>
      </c>
      <c r="C48" s="312" t="s">
        <v>766</v>
      </c>
      <c r="D48" s="312"/>
      <c r="E48" s="312">
        <v>4</v>
      </c>
      <c r="F48" s="312">
        <v>7</v>
      </c>
      <c r="G48" s="313" t="s">
        <v>46</v>
      </c>
      <c r="H48" s="313"/>
      <c r="I48" s="346">
        <v>4541.8</v>
      </c>
      <c r="J48" s="317">
        <v>4541.8</v>
      </c>
      <c r="K48" s="317">
        <v>0</v>
      </c>
      <c r="L48" s="317">
        <v>0</v>
      </c>
      <c r="M48" s="317"/>
      <c r="N48" s="319">
        <v>0.1946</v>
      </c>
      <c r="O48" s="319">
        <v>0.1026</v>
      </c>
      <c r="P48" s="319">
        <v>0.32829999999999998</v>
      </c>
      <c r="Q48" s="319">
        <v>7.5300000000000006E-2</v>
      </c>
      <c r="R48" s="319">
        <v>0</v>
      </c>
      <c r="S48" s="319">
        <v>0.6835</v>
      </c>
      <c r="T48" s="319">
        <v>0</v>
      </c>
      <c r="U48" s="319">
        <v>0.63149999999999995</v>
      </c>
      <c r="V48" s="319">
        <v>0</v>
      </c>
      <c r="W48" s="319">
        <v>0</v>
      </c>
      <c r="X48" s="319">
        <v>0.12540000000000001</v>
      </c>
      <c r="Y48" s="319">
        <v>0</v>
      </c>
      <c r="Z48" s="319">
        <v>1.4207000000000001</v>
      </c>
      <c r="AA48" s="319">
        <v>0.27760000000000001</v>
      </c>
      <c r="AB48" s="319">
        <v>0.36370000000000002</v>
      </c>
      <c r="AC48" s="319">
        <v>8.5699999999999998E-2</v>
      </c>
      <c r="AD48" s="319">
        <v>0.10489999999999999</v>
      </c>
      <c r="AE48" s="319">
        <v>0</v>
      </c>
      <c r="AF48" s="319">
        <v>0.27739999999999998</v>
      </c>
      <c r="AG48" s="319">
        <v>2.75E-2</v>
      </c>
      <c r="AH48" s="319">
        <v>0</v>
      </c>
      <c r="AI48" s="319">
        <v>1.6094999999999999</v>
      </c>
      <c r="AJ48" s="319">
        <v>1.0814999999999999</v>
      </c>
      <c r="AK48" s="319">
        <v>5.4699999999999999E-2</v>
      </c>
      <c r="AL48" s="319">
        <v>0.53190000000000004</v>
      </c>
      <c r="AM48" s="319">
        <v>7.7299999999999994E-2</v>
      </c>
      <c r="AN48" s="319">
        <v>1.2500000000000001E-2</v>
      </c>
      <c r="AO48" s="319">
        <v>0.26669999999999999</v>
      </c>
      <c r="AP48" s="319">
        <v>0</v>
      </c>
      <c r="AQ48" s="319">
        <v>0</v>
      </c>
      <c r="AR48" s="319">
        <v>0.41660000000000003</v>
      </c>
      <c r="AS48" s="319">
        <v>0.41660000000000003</v>
      </c>
      <c r="AT48" s="331">
        <v>0.2422</v>
      </c>
      <c r="AU48" s="336">
        <v>8.7493999999999996</v>
      </c>
      <c r="AV48" s="329">
        <v>8.7493999999999996</v>
      </c>
      <c r="AW48" s="337">
        <v>5.085399999999999</v>
      </c>
      <c r="AX48" s="334"/>
      <c r="AY48" s="323">
        <v>6.8900000000000006</v>
      </c>
      <c r="AZ48" s="323">
        <v>6.8900000000000006</v>
      </c>
      <c r="BA48" s="323">
        <v>4.2546999999999997</v>
      </c>
      <c r="BB48" s="319"/>
      <c r="BC48" s="321">
        <f t="shared" si="0"/>
        <v>1.2698693759071116</v>
      </c>
      <c r="BD48" s="321">
        <f t="shared" si="1"/>
        <v>1.2698693759071116</v>
      </c>
      <c r="BE48" s="321">
        <f t="shared" si="2"/>
        <v>1.1952429078430911</v>
      </c>
      <c r="BG48" s="22">
        <f t="shared" si="3"/>
        <v>-5.5511151231257827E-16</v>
      </c>
      <c r="BH48" s="22">
        <f t="shared" si="4"/>
        <v>-1.2490009027033011E-15</v>
      </c>
      <c r="BI48" s="22">
        <f t="shared" si="5"/>
        <v>-2.1371793224034263E-15</v>
      </c>
    </row>
    <row r="49" spans="2:61" x14ac:dyDescent="0.25">
      <c r="B49" s="312">
        <v>21</v>
      </c>
      <c r="C49" s="312" t="s">
        <v>499</v>
      </c>
      <c r="D49" s="312"/>
      <c r="E49" s="312">
        <v>5</v>
      </c>
      <c r="F49" s="312">
        <v>4</v>
      </c>
      <c r="G49" s="313" t="s">
        <v>48</v>
      </c>
      <c r="H49" s="313"/>
      <c r="I49" s="346">
        <v>2791.7</v>
      </c>
      <c r="J49" s="317">
        <v>2791.7</v>
      </c>
      <c r="K49" s="317">
        <v>0</v>
      </c>
      <c r="L49" s="317">
        <v>0</v>
      </c>
      <c r="M49" s="317"/>
      <c r="N49" s="319">
        <v>0.1646</v>
      </c>
      <c r="O49" s="319">
        <v>9.1200000000000003E-2</v>
      </c>
      <c r="P49" s="319">
        <v>0.3105</v>
      </c>
      <c r="Q49" s="319">
        <v>7.4200000000000002E-2</v>
      </c>
      <c r="R49" s="319">
        <v>2.86E-2</v>
      </c>
      <c r="S49" s="319">
        <v>0.49270000000000003</v>
      </c>
      <c r="T49" s="319">
        <v>0</v>
      </c>
      <c r="U49" s="319">
        <v>0.63149999999999995</v>
      </c>
      <c r="V49" s="319">
        <v>0</v>
      </c>
      <c r="W49" s="319">
        <v>0</v>
      </c>
      <c r="X49" s="319">
        <v>0.1699</v>
      </c>
      <c r="Y49" s="319">
        <v>0</v>
      </c>
      <c r="Z49" s="319">
        <v>1.9198</v>
      </c>
      <c r="AA49" s="319">
        <v>0.21820000000000001</v>
      </c>
      <c r="AB49" s="319">
        <v>0.3236</v>
      </c>
      <c r="AC49" s="319">
        <v>9.3100000000000002E-2</v>
      </c>
      <c r="AD49" s="319">
        <v>0.10539999999999999</v>
      </c>
      <c r="AE49" s="319">
        <v>5.6300000000000003E-2</v>
      </c>
      <c r="AF49" s="319">
        <v>0.1699</v>
      </c>
      <c r="AG49" s="319">
        <v>3.3300000000000003E-2</v>
      </c>
      <c r="AH49" s="319">
        <v>0</v>
      </c>
      <c r="AI49" s="319">
        <v>2.8450000000000002</v>
      </c>
      <c r="AJ49" s="319">
        <v>1.1323000000000001</v>
      </c>
      <c r="AK49" s="319">
        <v>8.43E-2</v>
      </c>
      <c r="AL49" s="319">
        <v>0.52090000000000003</v>
      </c>
      <c r="AM49" s="319">
        <v>5.0999999999999997E-2</v>
      </c>
      <c r="AN49" s="319">
        <v>8.3000000000000001E-3</v>
      </c>
      <c r="AO49" s="319">
        <v>0.33929999999999999</v>
      </c>
      <c r="AP49" s="319">
        <v>0</v>
      </c>
      <c r="AQ49" s="319">
        <v>0</v>
      </c>
      <c r="AR49" s="319">
        <v>0.49320000000000003</v>
      </c>
      <c r="AS49" s="319">
        <v>0.49320000000000003</v>
      </c>
      <c r="AT49" s="331">
        <v>0.25130000000000002</v>
      </c>
      <c r="AU49" s="336">
        <v>10.357100000000001</v>
      </c>
      <c r="AV49" s="329">
        <v>10.357100000000001</v>
      </c>
      <c r="AW49" s="337">
        <v>5.2777000000000021</v>
      </c>
      <c r="AX49" s="334"/>
      <c r="AY49" s="323">
        <v>8.155800000000001</v>
      </c>
      <c r="AZ49" s="323">
        <v>8.155800000000001</v>
      </c>
      <c r="BA49" s="323">
        <v>4.5497000000000005</v>
      </c>
      <c r="BB49" s="319"/>
      <c r="BC49" s="321">
        <f t="shared" si="0"/>
        <v>1.2699060791093455</v>
      </c>
      <c r="BD49" s="321">
        <f t="shared" si="1"/>
        <v>1.2699060791093455</v>
      </c>
      <c r="BE49" s="321">
        <f t="shared" si="2"/>
        <v>1.1600105501461637</v>
      </c>
      <c r="BG49" s="22">
        <f t="shared" si="3"/>
        <v>-8.8817841970012523E-16</v>
      </c>
      <c r="BH49" s="22">
        <f t="shared" si="4"/>
        <v>1.4710455076283324E-15</v>
      </c>
      <c r="BI49" s="22">
        <f t="shared" si="5"/>
        <v>2.3592239273284576E-15</v>
      </c>
    </row>
    <row r="50" spans="2:61" x14ac:dyDescent="0.25">
      <c r="B50" s="312">
        <v>22</v>
      </c>
      <c r="C50" s="312" t="s">
        <v>501</v>
      </c>
      <c r="D50" s="312"/>
      <c r="E50" s="312">
        <v>5</v>
      </c>
      <c r="F50" s="312">
        <v>2</v>
      </c>
      <c r="G50" s="313" t="s">
        <v>50</v>
      </c>
      <c r="H50" s="313"/>
      <c r="I50" s="346">
        <v>1719.5</v>
      </c>
      <c r="J50" s="317">
        <v>1719.5</v>
      </c>
      <c r="K50" s="317">
        <v>0</v>
      </c>
      <c r="L50" s="317">
        <v>0</v>
      </c>
      <c r="M50" s="317"/>
      <c r="N50" s="319">
        <v>0.17630000000000001</v>
      </c>
      <c r="O50" s="319">
        <v>0.1002</v>
      </c>
      <c r="P50" s="319">
        <v>0.31830000000000003</v>
      </c>
      <c r="Q50" s="319">
        <v>7.1400000000000005E-2</v>
      </c>
      <c r="R50" s="319">
        <v>2.3199999999999998E-2</v>
      </c>
      <c r="S50" s="319">
        <v>0.34279999999999999</v>
      </c>
      <c r="T50" s="319">
        <v>0</v>
      </c>
      <c r="U50" s="319">
        <v>0.63149999999999995</v>
      </c>
      <c r="V50" s="319">
        <v>0</v>
      </c>
      <c r="W50" s="319">
        <v>0</v>
      </c>
      <c r="X50" s="319">
        <v>0.18390000000000001</v>
      </c>
      <c r="Y50" s="319">
        <v>0</v>
      </c>
      <c r="Z50" s="319">
        <v>2.2265000000000001</v>
      </c>
      <c r="AA50" s="319">
        <v>0.23669999999999999</v>
      </c>
      <c r="AB50" s="319">
        <v>0.37519999999999998</v>
      </c>
      <c r="AC50" s="319">
        <v>8.8499999999999995E-2</v>
      </c>
      <c r="AD50" s="319">
        <v>8.9800000000000005E-2</v>
      </c>
      <c r="AE50" s="319">
        <v>4.5199999999999997E-2</v>
      </c>
      <c r="AF50" s="319">
        <v>0.11210000000000001</v>
      </c>
      <c r="AG50" s="319">
        <v>3.1399999999999997E-2</v>
      </c>
      <c r="AH50" s="319">
        <v>0</v>
      </c>
      <c r="AI50" s="319">
        <v>1.4918</v>
      </c>
      <c r="AJ50" s="319">
        <v>0.91749999999999998</v>
      </c>
      <c r="AK50" s="319">
        <v>8.7300000000000003E-2</v>
      </c>
      <c r="AL50" s="319">
        <v>0.53310000000000002</v>
      </c>
      <c r="AM50" s="319">
        <v>5.0200000000000002E-2</v>
      </c>
      <c r="AN50" s="319">
        <v>8.2000000000000007E-3</v>
      </c>
      <c r="AO50" s="319">
        <v>0.37930000000000003</v>
      </c>
      <c r="AP50" s="319">
        <v>0</v>
      </c>
      <c r="AQ50" s="319">
        <v>0</v>
      </c>
      <c r="AR50" s="319">
        <v>0.42599999999999999</v>
      </c>
      <c r="AS50" s="319">
        <v>0.42599999999999999</v>
      </c>
      <c r="AT50" s="331">
        <v>0.25990000000000002</v>
      </c>
      <c r="AU50" s="336">
        <v>8.9464000000000024</v>
      </c>
      <c r="AV50" s="329">
        <v>8.9464000000000024</v>
      </c>
      <c r="AW50" s="337">
        <v>5.4586000000000023</v>
      </c>
      <c r="AX50" s="334"/>
      <c r="AY50" s="323">
        <v>7.0448999999999993</v>
      </c>
      <c r="AZ50" s="323">
        <v>7.0448999999999993</v>
      </c>
      <c r="BA50" s="323">
        <v>4.6779999999999999</v>
      </c>
      <c r="BB50" s="319"/>
      <c r="BC50" s="321">
        <f t="shared" si="0"/>
        <v>1.2699115672330343</v>
      </c>
      <c r="BD50" s="321">
        <f t="shared" si="1"/>
        <v>1.2699115672330343</v>
      </c>
      <c r="BE50" s="321">
        <f t="shared" si="2"/>
        <v>1.1668661821291155</v>
      </c>
      <c r="BG50" s="22">
        <f t="shared" si="3"/>
        <v>1.9984014443252818E-15</v>
      </c>
      <c r="BH50" s="22">
        <f t="shared" si="4"/>
        <v>3.8857805861880479E-16</v>
      </c>
      <c r="BI50" s="22">
        <f t="shared" si="5"/>
        <v>2.1649348980190553E-15</v>
      </c>
    </row>
    <row r="51" spans="2:61" x14ac:dyDescent="0.25">
      <c r="B51" s="312">
        <v>23</v>
      </c>
      <c r="C51" s="312" t="s">
        <v>503</v>
      </c>
      <c r="D51" s="312"/>
      <c r="E51" s="312">
        <v>5</v>
      </c>
      <c r="F51" s="312">
        <v>2</v>
      </c>
      <c r="G51" s="313" t="s">
        <v>51</v>
      </c>
      <c r="H51" s="313"/>
      <c r="I51" s="346">
        <v>1721.3</v>
      </c>
      <c r="J51" s="317">
        <v>1721.3</v>
      </c>
      <c r="K51" s="317">
        <v>0</v>
      </c>
      <c r="L51" s="317">
        <v>0</v>
      </c>
      <c r="M51" s="317"/>
      <c r="N51" s="319">
        <v>0.17610000000000001</v>
      </c>
      <c r="O51" s="319">
        <v>0.1</v>
      </c>
      <c r="P51" s="319">
        <v>0.31780000000000003</v>
      </c>
      <c r="Q51" s="319">
        <v>7.1300000000000002E-2</v>
      </c>
      <c r="R51" s="319">
        <v>2.3199999999999998E-2</v>
      </c>
      <c r="S51" s="319">
        <v>0.33629999999999999</v>
      </c>
      <c r="T51" s="319">
        <v>0</v>
      </c>
      <c r="U51" s="319">
        <v>0.63149999999999995</v>
      </c>
      <c r="V51" s="319">
        <v>0</v>
      </c>
      <c r="W51" s="319">
        <v>0</v>
      </c>
      <c r="X51" s="319">
        <v>0.18379999999999999</v>
      </c>
      <c r="Y51" s="319">
        <v>0</v>
      </c>
      <c r="Z51" s="319">
        <v>2.1272000000000002</v>
      </c>
      <c r="AA51" s="319">
        <v>0.2364</v>
      </c>
      <c r="AB51" s="319">
        <v>0.3548</v>
      </c>
      <c r="AC51" s="319">
        <v>8.8099999999999998E-2</v>
      </c>
      <c r="AD51" s="319">
        <v>8.9700000000000002E-2</v>
      </c>
      <c r="AE51" s="319">
        <v>4.5100000000000001E-2</v>
      </c>
      <c r="AF51" s="319">
        <v>0.112</v>
      </c>
      <c r="AG51" s="319">
        <v>3.1399999999999997E-2</v>
      </c>
      <c r="AH51" s="319">
        <v>0</v>
      </c>
      <c r="AI51" s="319">
        <v>1.5438000000000001</v>
      </c>
      <c r="AJ51" s="319">
        <v>0.91649999999999998</v>
      </c>
      <c r="AK51" s="319">
        <v>8.7300000000000003E-2</v>
      </c>
      <c r="AL51" s="319">
        <v>1.1865000000000001</v>
      </c>
      <c r="AM51" s="319">
        <v>5.0200000000000002E-2</v>
      </c>
      <c r="AN51" s="319">
        <v>8.0999999999999996E-3</v>
      </c>
      <c r="AO51" s="319">
        <v>0.39689999999999998</v>
      </c>
      <c r="AP51" s="319">
        <v>0</v>
      </c>
      <c r="AQ51" s="319">
        <v>0</v>
      </c>
      <c r="AR51" s="319">
        <v>0.45569999999999999</v>
      </c>
      <c r="AS51" s="319">
        <v>0.45569999999999999</v>
      </c>
      <c r="AT51" s="331">
        <v>0.2535</v>
      </c>
      <c r="AU51" s="336">
        <v>9.569700000000001</v>
      </c>
      <c r="AV51" s="329">
        <v>9.569700000000001</v>
      </c>
      <c r="AW51" s="337">
        <v>5.3237999999999994</v>
      </c>
      <c r="AX51" s="334"/>
      <c r="AY51" s="323">
        <v>7.5357000000000003</v>
      </c>
      <c r="AZ51" s="323">
        <v>7.5357000000000003</v>
      </c>
      <c r="BA51" s="323">
        <v>4.4672999999999998</v>
      </c>
      <c r="BB51" s="319"/>
      <c r="BC51" s="321">
        <f t="shared" si="0"/>
        <v>1.269915203630718</v>
      </c>
      <c r="BD51" s="321">
        <f t="shared" si="1"/>
        <v>1.269915203630718</v>
      </c>
      <c r="BE51" s="321">
        <f t="shared" si="2"/>
        <v>1.1917265462359814</v>
      </c>
      <c r="BG51" s="22">
        <f t="shared" si="3"/>
        <v>2.9420910152566648E-15</v>
      </c>
      <c r="BH51" s="22">
        <f t="shared" si="4"/>
        <v>-6.106226635438361E-16</v>
      </c>
      <c r="BI51" s="22">
        <f t="shared" si="5"/>
        <v>2.7755575615628914E-16</v>
      </c>
    </row>
    <row r="52" spans="2:61" x14ac:dyDescent="0.25">
      <c r="B52" s="312">
        <v>24</v>
      </c>
      <c r="C52" s="312" t="s">
        <v>505</v>
      </c>
      <c r="D52" s="312"/>
      <c r="E52" s="312">
        <v>5</v>
      </c>
      <c r="F52" s="312">
        <v>4</v>
      </c>
      <c r="G52" s="313" t="s">
        <v>52</v>
      </c>
      <c r="H52" s="313"/>
      <c r="I52" s="346">
        <v>2751.8</v>
      </c>
      <c r="J52" s="317">
        <v>2751.8</v>
      </c>
      <c r="K52" s="317">
        <v>0</v>
      </c>
      <c r="L52" s="317">
        <v>0</v>
      </c>
      <c r="M52" s="317"/>
      <c r="N52" s="319">
        <v>0.16700000000000001</v>
      </c>
      <c r="O52" s="319">
        <v>9.2600000000000002E-2</v>
      </c>
      <c r="P52" s="319">
        <v>0.32350000000000001</v>
      </c>
      <c r="Q52" s="319">
        <v>7.4399999999999994E-2</v>
      </c>
      <c r="R52" s="319">
        <v>2.9000000000000001E-2</v>
      </c>
      <c r="S52" s="319">
        <v>0.49990000000000001</v>
      </c>
      <c r="T52" s="319">
        <v>0</v>
      </c>
      <c r="U52" s="319">
        <v>0.63149999999999995</v>
      </c>
      <c r="V52" s="319">
        <v>0</v>
      </c>
      <c r="W52" s="319">
        <v>0</v>
      </c>
      <c r="X52" s="319">
        <v>0.1724</v>
      </c>
      <c r="Y52" s="319">
        <v>0</v>
      </c>
      <c r="Z52" s="319">
        <v>1.4722</v>
      </c>
      <c r="AA52" s="319">
        <v>0.2213</v>
      </c>
      <c r="AB52" s="319">
        <v>0.32829999999999998</v>
      </c>
      <c r="AC52" s="319">
        <v>8.8200000000000001E-2</v>
      </c>
      <c r="AD52" s="319">
        <v>0.1067</v>
      </c>
      <c r="AE52" s="319">
        <v>5.6500000000000002E-2</v>
      </c>
      <c r="AF52" s="319">
        <v>0.17230000000000001</v>
      </c>
      <c r="AG52" s="319">
        <v>3.3599999999999998E-2</v>
      </c>
      <c r="AH52" s="319">
        <v>0</v>
      </c>
      <c r="AI52" s="319">
        <v>3.2099000000000002</v>
      </c>
      <c r="AJ52" s="319">
        <v>1.1347</v>
      </c>
      <c r="AK52" s="319">
        <v>8.8499999999999995E-2</v>
      </c>
      <c r="AL52" s="319">
        <v>0.6351</v>
      </c>
      <c r="AM52" s="319">
        <v>6.0100000000000001E-2</v>
      </c>
      <c r="AN52" s="319">
        <v>9.7999999999999997E-3</v>
      </c>
      <c r="AO52" s="319">
        <v>0.22009999999999999</v>
      </c>
      <c r="AP52" s="319">
        <v>0</v>
      </c>
      <c r="AQ52" s="319">
        <v>0</v>
      </c>
      <c r="AR52" s="319">
        <v>0.4914</v>
      </c>
      <c r="AS52" s="319">
        <v>0.4914</v>
      </c>
      <c r="AT52" s="331">
        <v>0.23139999999999999</v>
      </c>
      <c r="AU52" s="336">
        <v>10.318999999999999</v>
      </c>
      <c r="AV52" s="329">
        <v>10.318999999999999</v>
      </c>
      <c r="AW52" s="337">
        <v>4.8591999999999977</v>
      </c>
      <c r="AX52" s="334"/>
      <c r="AY52" s="323">
        <v>8.1257000000000001</v>
      </c>
      <c r="AZ52" s="323">
        <v>8.1257000000000001</v>
      </c>
      <c r="BA52" s="323">
        <v>4.5122</v>
      </c>
      <c r="BB52" s="319"/>
      <c r="BC52" s="321">
        <f t="shared" si="0"/>
        <v>1.2699213606212387</v>
      </c>
      <c r="BD52" s="321">
        <f t="shared" si="1"/>
        <v>1.2699213606212387</v>
      </c>
      <c r="BE52" s="321">
        <f t="shared" si="2"/>
        <v>1.0769026195647351</v>
      </c>
      <c r="BG52" s="22">
        <f t="shared" si="3"/>
        <v>2.0539125955565396E-15</v>
      </c>
      <c r="BH52" s="22">
        <f t="shared" si="4"/>
        <v>-1.5265566588595902E-15</v>
      </c>
      <c r="BI52" s="22">
        <f t="shared" si="5"/>
        <v>-1.5265566588595902E-15</v>
      </c>
    </row>
    <row r="53" spans="2:61" x14ac:dyDescent="0.25">
      <c r="B53" s="312">
        <v>26</v>
      </c>
      <c r="C53" s="312" t="s">
        <v>509</v>
      </c>
      <c r="D53" s="312"/>
      <c r="E53" s="312">
        <v>5</v>
      </c>
      <c r="F53" s="312">
        <v>4</v>
      </c>
      <c r="G53" s="313" t="s">
        <v>53</v>
      </c>
      <c r="H53" s="313"/>
      <c r="I53" s="346">
        <v>2769.6</v>
      </c>
      <c r="J53" s="317">
        <v>2769.6</v>
      </c>
      <c r="K53" s="317">
        <v>0</v>
      </c>
      <c r="L53" s="317">
        <v>0</v>
      </c>
      <c r="M53" s="317"/>
      <c r="N53" s="319">
        <v>0.16589999999999999</v>
      </c>
      <c r="O53" s="319">
        <v>9.1999999999999998E-2</v>
      </c>
      <c r="P53" s="319">
        <v>0.32329999999999998</v>
      </c>
      <c r="Q53" s="319">
        <v>7.4499999999999997E-2</v>
      </c>
      <c r="R53" s="319">
        <v>2.8899999999999999E-2</v>
      </c>
      <c r="S53" s="319">
        <v>0.49669999999999997</v>
      </c>
      <c r="T53" s="319">
        <v>0</v>
      </c>
      <c r="U53" s="319">
        <v>0.63149999999999995</v>
      </c>
      <c r="V53" s="319">
        <v>0</v>
      </c>
      <c r="W53" s="319">
        <v>0</v>
      </c>
      <c r="X53" s="319">
        <v>0.17130000000000001</v>
      </c>
      <c r="Y53" s="319">
        <v>0</v>
      </c>
      <c r="Z53" s="319">
        <v>2.0827</v>
      </c>
      <c r="AA53" s="319">
        <v>0.21990000000000001</v>
      </c>
      <c r="AB53" s="319">
        <v>0.32619999999999999</v>
      </c>
      <c r="AC53" s="319">
        <v>8.8499999999999995E-2</v>
      </c>
      <c r="AD53" s="319">
        <v>0.1061</v>
      </c>
      <c r="AE53" s="319">
        <v>5.6099999999999997E-2</v>
      </c>
      <c r="AF53" s="319">
        <v>0.17119999999999999</v>
      </c>
      <c r="AG53" s="319">
        <v>3.3500000000000002E-2</v>
      </c>
      <c r="AH53" s="319">
        <v>0</v>
      </c>
      <c r="AI53" s="319">
        <v>2.5465</v>
      </c>
      <c r="AJ53" s="319">
        <v>1.133</v>
      </c>
      <c r="AK53" s="319">
        <v>8.8200000000000001E-2</v>
      </c>
      <c r="AL53" s="319">
        <v>0.626</v>
      </c>
      <c r="AM53" s="319">
        <v>5.1299999999999998E-2</v>
      </c>
      <c r="AN53" s="319">
        <v>8.3000000000000001E-3</v>
      </c>
      <c r="AO53" s="319">
        <v>0.43730000000000002</v>
      </c>
      <c r="AP53" s="319">
        <v>0</v>
      </c>
      <c r="AQ53" s="319">
        <v>0</v>
      </c>
      <c r="AR53" s="319">
        <v>0.49790000000000001</v>
      </c>
      <c r="AS53" s="319">
        <v>0.49790000000000001</v>
      </c>
      <c r="AT53" s="331">
        <v>0.26079999999999998</v>
      </c>
      <c r="AU53" s="336">
        <v>10.456799999999998</v>
      </c>
      <c r="AV53" s="329">
        <v>10.456799999999998</v>
      </c>
      <c r="AW53" s="337">
        <v>5.4768999999999979</v>
      </c>
      <c r="AX53" s="334"/>
      <c r="AY53" s="323">
        <v>8.2340999999999998</v>
      </c>
      <c r="AZ53" s="323">
        <v>8.2340999999999998</v>
      </c>
      <c r="BA53" s="323">
        <v>4.7356000000000007</v>
      </c>
      <c r="BB53" s="319"/>
      <c r="BC53" s="321">
        <f t="shared" si="0"/>
        <v>1.2699384267861695</v>
      </c>
      <c r="BD53" s="321">
        <f t="shared" si="1"/>
        <v>1.2699384267861695</v>
      </c>
      <c r="BE53" s="321">
        <f t="shared" si="2"/>
        <v>1.1565377143339803</v>
      </c>
      <c r="BG53" s="22">
        <f t="shared" si="3"/>
        <v>-4.8849813083506888E-15</v>
      </c>
      <c r="BH53" s="22">
        <f t="shared" si="4"/>
        <v>-1.0269562977782698E-15</v>
      </c>
      <c r="BI53" s="22">
        <f t="shared" si="5"/>
        <v>-1.0269562977782698E-15</v>
      </c>
    </row>
    <row r="54" spans="2:61" x14ac:dyDescent="0.25">
      <c r="B54" s="312">
        <v>28</v>
      </c>
      <c r="C54" s="312" t="s">
        <v>513</v>
      </c>
      <c r="D54" s="312"/>
      <c r="E54" s="312">
        <v>5</v>
      </c>
      <c r="F54" s="312">
        <v>4</v>
      </c>
      <c r="G54" s="313" t="s">
        <v>54</v>
      </c>
      <c r="H54" s="313"/>
      <c r="I54" s="346">
        <v>2744.6</v>
      </c>
      <c r="J54" s="317">
        <v>2744.6</v>
      </c>
      <c r="K54" s="317">
        <v>0</v>
      </c>
      <c r="L54" s="317">
        <v>0</v>
      </c>
      <c r="M54" s="317"/>
      <c r="N54" s="319">
        <v>0.16739999999999999</v>
      </c>
      <c r="O54" s="319">
        <v>9.2799999999999994E-2</v>
      </c>
      <c r="P54" s="319">
        <v>0.32250000000000001</v>
      </c>
      <c r="Q54" s="319">
        <v>7.46E-2</v>
      </c>
      <c r="R54" s="319">
        <v>2.9100000000000001E-2</v>
      </c>
      <c r="S54" s="319">
        <v>0.50119999999999998</v>
      </c>
      <c r="T54" s="319">
        <v>0</v>
      </c>
      <c r="U54" s="319">
        <v>0.63149999999999995</v>
      </c>
      <c r="V54" s="319">
        <v>0</v>
      </c>
      <c r="W54" s="319">
        <v>0</v>
      </c>
      <c r="X54" s="319">
        <v>0.1729</v>
      </c>
      <c r="Y54" s="319">
        <v>0</v>
      </c>
      <c r="Z54" s="319">
        <v>2.1635</v>
      </c>
      <c r="AA54" s="319">
        <v>0.22189999999999999</v>
      </c>
      <c r="AB54" s="319">
        <v>0.3291</v>
      </c>
      <c r="AC54" s="319">
        <v>8.7999999999999995E-2</v>
      </c>
      <c r="AD54" s="319">
        <v>0.107</v>
      </c>
      <c r="AE54" s="319">
        <v>5.6599999999999998E-2</v>
      </c>
      <c r="AF54" s="319">
        <v>0.17280000000000001</v>
      </c>
      <c r="AG54" s="319">
        <v>3.3700000000000001E-2</v>
      </c>
      <c r="AH54" s="319">
        <v>0</v>
      </c>
      <c r="AI54" s="319">
        <v>2.7071000000000001</v>
      </c>
      <c r="AJ54" s="319">
        <v>1.1495</v>
      </c>
      <c r="AK54" s="319">
        <v>8.5400000000000004E-2</v>
      </c>
      <c r="AL54" s="319">
        <v>0.51419999999999999</v>
      </c>
      <c r="AM54" s="319">
        <v>5.16E-2</v>
      </c>
      <c r="AN54" s="319">
        <v>8.3999999999999995E-3</v>
      </c>
      <c r="AO54" s="319">
        <v>0.19420000000000001</v>
      </c>
      <c r="AP54" s="319">
        <v>0</v>
      </c>
      <c r="AQ54" s="319">
        <v>0</v>
      </c>
      <c r="AR54" s="319">
        <v>0.49380000000000002</v>
      </c>
      <c r="AS54" s="319">
        <v>0.49380000000000002</v>
      </c>
      <c r="AT54" s="331">
        <v>0.26550000000000001</v>
      </c>
      <c r="AU54" s="336">
        <v>10.368800000000002</v>
      </c>
      <c r="AV54" s="329">
        <v>10.368800000000002</v>
      </c>
      <c r="AW54" s="337">
        <v>5.5755000000000008</v>
      </c>
      <c r="AX54" s="334"/>
      <c r="AY54" s="323">
        <v>8.1648000000000014</v>
      </c>
      <c r="AZ54" s="323">
        <v>8.1648000000000014</v>
      </c>
      <c r="BA54" s="323">
        <v>4.6636000000000006</v>
      </c>
      <c r="BB54" s="319"/>
      <c r="BC54" s="321">
        <f t="shared" si="0"/>
        <v>1.2699392514207328</v>
      </c>
      <c r="BD54" s="321">
        <f t="shared" si="1"/>
        <v>1.2699392514207328</v>
      </c>
      <c r="BE54" s="321">
        <f t="shared" si="2"/>
        <v>1.1955356377047774</v>
      </c>
      <c r="BG54" s="22">
        <f t="shared" si="3"/>
        <v>1.1102230246251565E-15</v>
      </c>
      <c r="BH54" s="22">
        <f t="shared" si="4"/>
        <v>0</v>
      </c>
      <c r="BI54" s="22">
        <f t="shared" si="5"/>
        <v>8.8817841970012523E-16</v>
      </c>
    </row>
    <row r="55" spans="2:61" x14ac:dyDescent="0.25">
      <c r="B55" s="312">
        <v>30</v>
      </c>
      <c r="C55" s="312" t="s">
        <v>517</v>
      </c>
      <c r="D55" s="312" t="s">
        <v>390</v>
      </c>
      <c r="E55" s="312">
        <v>5</v>
      </c>
      <c r="F55" s="312">
        <v>7</v>
      </c>
      <c r="G55" s="313" t="s">
        <v>55</v>
      </c>
      <c r="H55" s="313"/>
      <c r="I55" s="346">
        <v>4568.2</v>
      </c>
      <c r="J55" s="317">
        <v>4568.2</v>
      </c>
      <c r="K55" s="317">
        <v>0</v>
      </c>
      <c r="L55" s="317">
        <v>0</v>
      </c>
      <c r="M55" s="317"/>
      <c r="N55" s="319">
        <v>0.16569999999999999</v>
      </c>
      <c r="O55" s="319">
        <v>0.1077</v>
      </c>
      <c r="P55" s="319">
        <v>0.3095</v>
      </c>
      <c r="Q55" s="319">
        <v>7.8799999999999995E-2</v>
      </c>
      <c r="R55" s="319">
        <v>3.2800000000000003E-2</v>
      </c>
      <c r="S55" s="319">
        <v>0.72789999999999999</v>
      </c>
      <c r="T55" s="319">
        <v>0</v>
      </c>
      <c r="U55" s="319">
        <v>0.63149999999999995</v>
      </c>
      <c r="V55" s="319">
        <v>0</v>
      </c>
      <c r="W55" s="319">
        <v>0</v>
      </c>
      <c r="X55" s="319">
        <v>0.13850000000000001</v>
      </c>
      <c r="Y55" s="319">
        <v>0</v>
      </c>
      <c r="Z55" s="319">
        <v>1.8785000000000001</v>
      </c>
      <c r="AA55" s="319">
        <v>0.2185</v>
      </c>
      <c r="AB55" s="319">
        <v>0.32300000000000001</v>
      </c>
      <c r="AC55" s="319">
        <v>9.9199999999999997E-2</v>
      </c>
      <c r="AD55" s="319">
        <v>0.1057</v>
      </c>
      <c r="AE55" s="319">
        <v>6.3799999999999996E-2</v>
      </c>
      <c r="AF55" s="319">
        <v>0.28449999999999998</v>
      </c>
      <c r="AG55" s="319">
        <v>3.6400000000000002E-2</v>
      </c>
      <c r="AH55" s="319">
        <v>0</v>
      </c>
      <c r="AI55" s="319">
        <v>1.7063999999999999</v>
      </c>
      <c r="AJ55" s="319">
        <v>0.7742</v>
      </c>
      <c r="AK55" s="319">
        <v>0.1104</v>
      </c>
      <c r="AL55" s="319">
        <v>0.4652</v>
      </c>
      <c r="AM55" s="319">
        <v>6.9699999999999998E-2</v>
      </c>
      <c r="AN55" s="319">
        <v>1.1299999999999999E-2</v>
      </c>
      <c r="AO55" s="319">
        <v>0.27079999999999999</v>
      </c>
      <c r="AP55" s="319">
        <v>0</v>
      </c>
      <c r="AQ55" s="319">
        <v>0</v>
      </c>
      <c r="AR55" s="319">
        <v>0.43049999999999999</v>
      </c>
      <c r="AS55" s="319">
        <v>0.43049999999999999</v>
      </c>
      <c r="AT55" s="331">
        <v>0.2697</v>
      </c>
      <c r="AU55" s="336">
        <v>9.0404999999999998</v>
      </c>
      <c r="AV55" s="329">
        <v>9.0404999999999998</v>
      </c>
      <c r="AW55" s="337">
        <v>5.6631</v>
      </c>
      <c r="AX55" s="334"/>
      <c r="AY55" s="323">
        <v>7.1189999999999998</v>
      </c>
      <c r="AZ55" s="323">
        <v>7.1189999999999998</v>
      </c>
      <c r="BA55" s="323">
        <v>4.6009999999999991</v>
      </c>
      <c r="BB55" s="319"/>
      <c r="BC55" s="321">
        <f t="shared" si="0"/>
        <v>1.2699115044247788</v>
      </c>
      <c r="BD55" s="321">
        <f t="shared" si="1"/>
        <v>1.2699115044247788</v>
      </c>
      <c r="BE55" s="321">
        <f t="shared" si="2"/>
        <v>1.2308411214953274</v>
      </c>
      <c r="BG55" s="22">
        <f t="shared" si="3"/>
        <v>3.3861802251067274E-15</v>
      </c>
      <c r="BH55" s="22">
        <f t="shared" si="4"/>
        <v>9.7144514654701197E-16</v>
      </c>
      <c r="BI55" s="22">
        <f t="shared" si="5"/>
        <v>-8.0491169285323849E-16</v>
      </c>
    </row>
    <row r="56" spans="2:61" x14ac:dyDescent="0.25">
      <c r="B56" s="312">
        <v>31</v>
      </c>
      <c r="C56" s="312" t="s">
        <v>520</v>
      </c>
      <c r="D56" s="312" t="s">
        <v>390</v>
      </c>
      <c r="E56" s="312">
        <v>5</v>
      </c>
      <c r="F56" s="312">
        <v>6</v>
      </c>
      <c r="G56" s="313" t="s">
        <v>57</v>
      </c>
      <c r="H56" s="313"/>
      <c r="I56" s="346">
        <v>4737.7</v>
      </c>
      <c r="J56" s="317">
        <v>4737.7</v>
      </c>
      <c r="K56" s="317">
        <v>0</v>
      </c>
      <c r="L56" s="317">
        <v>0</v>
      </c>
      <c r="M56" s="317"/>
      <c r="N56" s="319">
        <v>0.1653</v>
      </c>
      <c r="O56" s="319">
        <v>7.9899999999999999E-2</v>
      </c>
      <c r="P56" s="319">
        <v>0.3306</v>
      </c>
      <c r="Q56" s="319">
        <v>7.3400000000000007E-2</v>
      </c>
      <c r="R56" s="319">
        <v>3.7999999999999999E-2</v>
      </c>
      <c r="S56" s="319">
        <v>0.56310000000000004</v>
      </c>
      <c r="T56" s="319">
        <v>0</v>
      </c>
      <c r="U56" s="319">
        <v>0.63149999999999995</v>
      </c>
      <c r="V56" s="319">
        <v>0</v>
      </c>
      <c r="W56" s="319">
        <v>0</v>
      </c>
      <c r="X56" s="319">
        <v>0.1502</v>
      </c>
      <c r="Y56" s="319">
        <v>0</v>
      </c>
      <c r="Z56" s="319">
        <v>2.3104</v>
      </c>
      <c r="AA56" s="319">
        <v>0.2162</v>
      </c>
      <c r="AB56" s="319">
        <v>0.29189999999999999</v>
      </c>
      <c r="AC56" s="319">
        <v>9.0700000000000003E-2</v>
      </c>
      <c r="AD56" s="319">
        <v>9.1600000000000001E-2</v>
      </c>
      <c r="AE56" s="319">
        <v>7.3800000000000004E-2</v>
      </c>
      <c r="AF56" s="319">
        <v>0.20830000000000001</v>
      </c>
      <c r="AG56" s="319">
        <v>3.1199999999999999E-2</v>
      </c>
      <c r="AH56" s="319">
        <v>0</v>
      </c>
      <c r="AI56" s="319">
        <v>1.7713000000000001</v>
      </c>
      <c r="AJ56" s="319">
        <v>0.95350000000000001</v>
      </c>
      <c r="AK56" s="319">
        <v>8.6199999999999999E-2</v>
      </c>
      <c r="AL56" s="319">
        <v>0.57799999999999996</v>
      </c>
      <c r="AM56" s="319">
        <v>5.4399999999999997E-2</v>
      </c>
      <c r="AN56" s="319">
        <v>8.8000000000000005E-3</v>
      </c>
      <c r="AO56" s="319">
        <v>0.1333</v>
      </c>
      <c r="AP56" s="319">
        <v>0</v>
      </c>
      <c r="AQ56" s="319">
        <v>0</v>
      </c>
      <c r="AR56" s="319">
        <v>0.4466</v>
      </c>
      <c r="AS56" s="319">
        <v>0.4466</v>
      </c>
      <c r="AT56" s="331">
        <v>0.27479999999999999</v>
      </c>
      <c r="AU56" s="336">
        <v>9.3781999999999996</v>
      </c>
      <c r="AV56" s="329">
        <v>9.3781999999999996</v>
      </c>
      <c r="AW56" s="337">
        <v>5.7702999999999998</v>
      </c>
      <c r="AX56" s="334"/>
      <c r="AY56" s="323">
        <v>7.3849</v>
      </c>
      <c r="AZ56" s="323">
        <v>7.3849</v>
      </c>
      <c r="BA56" s="323">
        <v>4.9619999999999997</v>
      </c>
      <c r="BB56" s="319"/>
      <c r="BC56" s="321">
        <f t="shared" si="0"/>
        <v>1.269915638668093</v>
      </c>
      <c r="BD56" s="321">
        <f t="shared" si="1"/>
        <v>1.269915638668093</v>
      </c>
      <c r="BE56" s="321">
        <f t="shared" si="2"/>
        <v>1.1628980249899235</v>
      </c>
      <c r="BG56" s="22">
        <f t="shared" si="3"/>
        <v>-2.1094237467877974E-15</v>
      </c>
      <c r="BH56" s="22">
        <f t="shared" si="4"/>
        <v>-3.6082248300317588E-16</v>
      </c>
      <c r="BI56" s="22">
        <f t="shared" si="5"/>
        <v>-3.6082248300317588E-16</v>
      </c>
    </row>
    <row r="57" spans="2:61" x14ac:dyDescent="0.25">
      <c r="B57" s="312">
        <v>32</v>
      </c>
      <c r="C57" s="312" t="s">
        <v>522</v>
      </c>
      <c r="D57" s="312" t="s">
        <v>390</v>
      </c>
      <c r="E57" s="312">
        <v>5</v>
      </c>
      <c r="F57" s="312">
        <v>4</v>
      </c>
      <c r="G57" s="313" t="s">
        <v>58</v>
      </c>
      <c r="H57" s="313"/>
      <c r="I57" s="346">
        <v>2911.3</v>
      </c>
      <c r="J57" s="317">
        <v>2911.3</v>
      </c>
      <c r="K57" s="317">
        <v>0</v>
      </c>
      <c r="L57" s="317">
        <v>0</v>
      </c>
      <c r="M57" s="317"/>
      <c r="N57" s="319">
        <v>0.16189999999999999</v>
      </c>
      <c r="O57" s="319">
        <v>8.7499999999999994E-2</v>
      </c>
      <c r="P57" s="319">
        <v>0.33260000000000001</v>
      </c>
      <c r="Q57" s="319">
        <v>7.4499999999999997E-2</v>
      </c>
      <c r="R57" s="319">
        <v>3.09E-2</v>
      </c>
      <c r="S57" s="319">
        <v>0.46629999999999999</v>
      </c>
      <c r="T57" s="319">
        <v>0</v>
      </c>
      <c r="U57" s="319">
        <v>0.63149999999999995</v>
      </c>
      <c r="V57" s="319">
        <v>0</v>
      </c>
      <c r="W57" s="319">
        <v>0</v>
      </c>
      <c r="X57" s="319">
        <v>0.16300000000000001</v>
      </c>
      <c r="Y57" s="319">
        <v>0</v>
      </c>
      <c r="Z57" s="319">
        <v>2.1282999999999999</v>
      </c>
      <c r="AA57" s="319">
        <v>0.21410000000000001</v>
      </c>
      <c r="AB57" s="319">
        <v>0.31030000000000002</v>
      </c>
      <c r="AC57" s="319">
        <v>8.7300000000000003E-2</v>
      </c>
      <c r="AD57" s="319">
        <v>0.1042</v>
      </c>
      <c r="AE57" s="319">
        <v>6.0100000000000001E-2</v>
      </c>
      <c r="AF57" s="319">
        <v>0.16289999999999999</v>
      </c>
      <c r="AG57" s="319">
        <v>3.1699999999999999E-2</v>
      </c>
      <c r="AH57" s="319">
        <v>0</v>
      </c>
      <c r="AI57" s="319">
        <v>2.4333999999999998</v>
      </c>
      <c r="AJ57" s="319">
        <v>1.0831999999999999</v>
      </c>
      <c r="AK57" s="319">
        <v>8.7800000000000003E-2</v>
      </c>
      <c r="AL57" s="319">
        <v>0.60519999999999996</v>
      </c>
      <c r="AM57" s="319">
        <v>5.5E-2</v>
      </c>
      <c r="AN57" s="319">
        <v>8.8999999999999999E-3</v>
      </c>
      <c r="AO57" s="319">
        <v>0.16889999999999999</v>
      </c>
      <c r="AP57" s="319">
        <v>0</v>
      </c>
      <c r="AQ57" s="319">
        <v>0</v>
      </c>
      <c r="AR57" s="319">
        <v>0.47449999999999998</v>
      </c>
      <c r="AS57" s="319">
        <v>0.47449999999999998</v>
      </c>
      <c r="AT57" s="331">
        <v>0.25990000000000002</v>
      </c>
      <c r="AU57" s="336">
        <v>9.9640000000000004</v>
      </c>
      <c r="AV57" s="329">
        <v>9.9640000000000004</v>
      </c>
      <c r="AW57" s="337">
        <v>5.4586999999999994</v>
      </c>
      <c r="AX57" s="334"/>
      <c r="AY57" s="323">
        <v>7.8461000000000007</v>
      </c>
      <c r="AZ57" s="323">
        <v>7.8461000000000007</v>
      </c>
      <c r="BA57" s="323">
        <v>4.6458000000000004</v>
      </c>
      <c r="BB57" s="319"/>
      <c r="BC57" s="321">
        <f t="shared" si="0"/>
        <v>1.2699302838352811</v>
      </c>
      <c r="BD57" s="321">
        <f t="shared" si="1"/>
        <v>1.2699302838352811</v>
      </c>
      <c r="BE57" s="321">
        <f t="shared" si="2"/>
        <v>1.1749752464591672</v>
      </c>
      <c r="BG57" s="22">
        <f t="shared" si="3"/>
        <v>0</v>
      </c>
      <c r="BH57" s="22">
        <f t="shared" si="4"/>
        <v>4.163336342344337E-16</v>
      </c>
      <c r="BI57" s="22">
        <f t="shared" si="5"/>
        <v>1.3045120539345589E-15</v>
      </c>
    </row>
    <row r="58" spans="2:61" x14ac:dyDescent="0.25">
      <c r="B58" s="312">
        <v>33</v>
      </c>
      <c r="C58" s="312" t="s">
        <v>524</v>
      </c>
      <c r="D58" s="312" t="s">
        <v>390</v>
      </c>
      <c r="E58" s="312">
        <v>5</v>
      </c>
      <c r="F58" s="312">
        <v>4</v>
      </c>
      <c r="G58" s="313" t="s">
        <v>59</v>
      </c>
      <c r="H58" s="313"/>
      <c r="I58" s="346">
        <v>2889.2</v>
      </c>
      <c r="J58" s="317">
        <v>2889.2</v>
      </c>
      <c r="K58" s="317">
        <v>0</v>
      </c>
      <c r="L58" s="317">
        <v>0</v>
      </c>
      <c r="M58" s="317"/>
      <c r="N58" s="319">
        <v>0.19489999999999999</v>
      </c>
      <c r="O58" s="319">
        <v>8.5999999999999993E-2</v>
      </c>
      <c r="P58" s="319">
        <v>0.3226</v>
      </c>
      <c r="Q58" s="319">
        <v>7.4499999999999997E-2</v>
      </c>
      <c r="R58" s="319">
        <v>2.9700000000000001E-2</v>
      </c>
      <c r="S58" s="319">
        <v>0.50580000000000003</v>
      </c>
      <c r="T58" s="319">
        <v>0</v>
      </c>
      <c r="U58" s="319">
        <v>0.63149999999999995</v>
      </c>
      <c r="V58" s="319">
        <v>0</v>
      </c>
      <c r="W58" s="319">
        <v>0</v>
      </c>
      <c r="X58" s="319">
        <v>0.1779</v>
      </c>
      <c r="Y58" s="319">
        <v>0</v>
      </c>
      <c r="Z58" s="319">
        <v>1.2888999999999999</v>
      </c>
      <c r="AA58" s="319">
        <v>0.2651</v>
      </c>
      <c r="AB58" s="319">
        <v>0.29599999999999999</v>
      </c>
      <c r="AC58" s="319">
        <v>8.9899999999999994E-2</v>
      </c>
      <c r="AD58" s="319">
        <v>0.1021</v>
      </c>
      <c r="AE58" s="319">
        <v>5.7799999999999997E-2</v>
      </c>
      <c r="AF58" s="319">
        <v>0.17899999999999999</v>
      </c>
      <c r="AG58" s="319">
        <v>3.5299999999999998E-2</v>
      </c>
      <c r="AH58" s="319">
        <v>0</v>
      </c>
      <c r="AI58" s="319">
        <v>2.8818000000000001</v>
      </c>
      <c r="AJ58" s="319">
        <v>1.3498000000000001</v>
      </c>
      <c r="AK58" s="319">
        <v>0.1018</v>
      </c>
      <c r="AL58" s="319">
        <v>0.57520000000000004</v>
      </c>
      <c r="AM58" s="319">
        <v>6.6000000000000003E-2</v>
      </c>
      <c r="AN58" s="319">
        <v>1.0699999999999999E-2</v>
      </c>
      <c r="AO58" s="319">
        <v>0.53029999999999999</v>
      </c>
      <c r="AP58" s="319">
        <v>0</v>
      </c>
      <c r="AQ58" s="319">
        <v>0</v>
      </c>
      <c r="AR58" s="319">
        <v>0.49259999999999998</v>
      </c>
      <c r="AS58" s="319">
        <v>0.49259999999999998</v>
      </c>
      <c r="AT58" s="331">
        <v>0.2258</v>
      </c>
      <c r="AU58" s="336">
        <v>10.345200000000002</v>
      </c>
      <c r="AV58" s="329">
        <v>10.345200000000002</v>
      </c>
      <c r="AW58" s="337">
        <v>4.7413000000000007</v>
      </c>
      <c r="AX58" s="334"/>
      <c r="AY58" s="323">
        <v>8.1463999999999999</v>
      </c>
      <c r="AZ58" s="323">
        <v>8.1463999999999999</v>
      </c>
      <c r="BA58" s="323">
        <v>4.0788000000000011</v>
      </c>
      <c r="BB58" s="319"/>
      <c r="BC58" s="321">
        <f t="shared" si="0"/>
        <v>1.2699106353726801</v>
      </c>
      <c r="BD58" s="321">
        <f t="shared" si="1"/>
        <v>1.2699106353726801</v>
      </c>
      <c r="BE58" s="321">
        <f t="shared" si="2"/>
        <v>1.1624252231048346</v>
      </c>
      <c r="BG58" s="22">
        <f t="shared" si="3"/>
        <v>-1.609823385706477E-15</v>
      </c>
      <c r="BH58" s="22">
        <f t="shared" si="4"/>
        <v>-8.3266726846886741E-16</v>
      </c>
      <c r="BI58" s="22">
        <f t="shared" si="5"/>
        <v>9.4368957093138306E-16</v>
      </c>
    </row>
    <row r="59" spans="2:61" x14ac:dyDescent="0.25">
      <c r="B59" s="312">
        <v>50</v>
      </c>
      <c r="C59" s="312" t="s">
        <v>558</v>
      </c>
      <c r="D59" s="312" t="s">
        <v>390</v>
      </c>
      <c r="E59" s="312">
        <v>5</v>
      </c>
      <c r="F59" s="312">
        <v>2</v>
      </c>
      <c r="G59" s="313" t="s">
        <v>60</v>
      </c>
      <c r="H59" s="313"/>
      <c r="I59" s="346">
        <v>2315.1999999999998</v>
      </c>
      <c r="J59" s="317">
        <v>2054.8999999999996</v>
      </c>
      <c r="K59" s="317">
        <v>0</v>
      </c>
      <c r="L59" s="317">
        <v>260.3</v>
      </c>
      <c r="M59" s="317"/>
      <c r="N59" s="319">
        <v>0.13719999999999999</v>
      </c>
      <c r="O59" s="319">
        <v>8.3299999999999999E-2</v>
      </c>
      <c r="P59" s="319">
        <v>0</v>
      </c>
      <c r="Q59" s="319">
        <v>0</v>
      </c>
      <c r="R59" s="319">
        <v>1.9400000000000001E-2</v>
      </c>
      <c r="S59" s="319">
        <v>0.24729999999999999</v>
      </c>
      <c r="T59" s="319">
        <v>0</v>
      </c>
      <c r="U59" s="319">
        <v>0.61070000000000002</v>
      </c>
      <c r="V59" s="319">
        <v>0</v>
      </c>
      <c r="W59" s="319">
        <v>0</v>
      </c>
      <c r="X59" s="319">
        <v>0.36890000000000001</v>
      </c>
      <c r="Y59" s="319">
        <v>0</v>
      </c>
      <c r="Z59" s="319">
        <v>1.3089</v>
      </c>
      <c r="AA59" s="319">
        <v>0.18390000000000001</v>
      </c>
      <c r="AB59" s="319">
        <v>0.3039</v>
      </c>
      <c r="AC59" s="319">
        <v>0</v>
      </c>
      <c r="AD59" s="319">
        <v>0</v>
      </c>
      <c r="AE59" s="319">
        <v>3.78E-2</v>
      </c>
      <c r="AF59" s="319">
        <v>8.09E-2</v>
      </c>
      <c r="AG59" s="319">
        <v>3.0499999999999999E-2</v>
      </c>
      <c r="AH59" s="319">
        <v>0</v>
      </c>
      <c r="AI59" s="319">
        <v>3.9251</v>
      </c>
      <c r="AJ59" s="319">
        <v>1.3312999999999999</v>
      </c>
      <c r="AK59" s="319">
        <v>0.1074</v>
      </c>
      <c r="AL59" s="319">
        <v>0.7016</v>
      </c>
      <c r="AM59" s="319">
        <v>5.4899999999999997E-2</v>
      </c>
      <c r="AN59" s="319">
        <v>8.8999999999999999E-3</v>
      </c>
      <c r="AO59" s="319">
        <v>0.19900000000000001</v>
      </c>
      <c r="AP59" s="319">
        <v>0</v>
      </c>
      <c r="AQ59" s="319">
        <v>0</v>
      </c>
      <c r="AR59" s="319">
        <v>0.48699999999999999</v>
      </c>
      <c r="AS59" s="319">
        <v>0.48699999999999999</v>
      </c>
      <c r="AT59" s="331">
        <v>0.1792</v>
      </c>
      <c r="AU59" s="336">
        <v>10.227900000000002</v>
      </c>
      <c r="AV59" s="329">
        <v>10.227900000000002</v>
      </c>
      <c r="AW59" s="337">
        <v>3.7631000000000028</v>
      </c>
      <c r="AX59" s="334"/>
      <c r="AY59" s="323">
        <v>8.0540999999999983</v>
      </c>
      <c r="AZ59" s="323">
        <v>8.0540999999999983</v>
      </c>
      <c r="BA59" s="323">
        <v>3.7356999999999987</v>
      </c>
      <c r="BB59" s="319"/>
      <c r="BC59" s="321">
        <f t="shared" si="0"/>
        <v>1.2698998025850192</v>
      </c>
      <c r="BD59" s="321">
        <f t="shared" si="1"/>
        <v>1.2698998025850192</v>
      </c>
      <c r="BE59" s="321">
        <f t="shared" si="2"/>
        <v>1.0073346360789153</v>
      </c>
      <c r="BG59" s="22">
        <f t="shared" si="3"/>
        <v>5.3845816694320092E-15</v>
      </c>
      <c r="BH59" s="22">
        <f t="shared" si="4"/>
        <v>2.3314683517128287E-15</v>
      </c>
      <c r="BI59" s="22">
        <f t="shared" si="5"/>
        <v>2.7755575615628914E-15</v>
      </c>
    </row>
    <row r="60" spans="2:61" x14ac:dyDescent="0.25">
      <c r="B60" s="312">
        <v>51</v>
      </c>
      <c r="C60" s="312" t="s">
        <v>560</v>
      </c>
      <c r="D60" s="312" t="s">
        <v>390</v>
      </c>
      <c r="E60" s="312">
        <v>5</v>
      </c>
      <c r="F60" s="312">
        <v>4</v>
      </c>
      <c r="G60" s="313" t="s">
        <v>61</v>
      </c>
      <c r="H60" s="313"/>
      <c r="I60" s="346">
        <v>2888.8</v>
      </c>
      <c r="J60" s="317">
        <v>2888.8</v>
      </c>
      <c r="K60" s="317">
        <v>0</v>
      </c>
      <c r="L60" s="317">
        <v>0</v>
      </c>
      <c r="M60" s="317"/>
      <c r="N60" s="319">
        <v>0.16020000000000001</v>
      </c>
      <c r="O60" s="319">
        <v>8.8200000000000001E-2</v>
      </c>
      <c r="P60" s="319">
        <v>0.32290000000000002</v>
      </c>
      <c r="Q60" s="319">
        <v>7.4499999999999997E-2</v>
      </c>
      <c r="R60" s="319">
        <v>2.7699999999999999E-2</v>
      </c>
      <c r="S60" s="319">
        <v>0.47620000000000001</v>
      </c>
      <c r="T60" s="319">
        <v>0</v>
      </c>
      <c r="U60" s="319">
        <v>0.63149999999999995</v>
      </c>
      <c r="V60" s="319">
        <v>0</v>
      </c>
      <c r="W60" s="319">
        <v>0</v>
      </c>
      <c r="X60" s="319">
        <v>0.16420000000000001</v>
      </c>
      <c r="Y60" s="319">
        <v>0</v>
      </c>
      <c r="Z60" s="319">
        <v>1.8480000000000001</v>
      </c>
      <c r="AA60" s="319">
        <v>0.21229999999999999</v>
      </c>
      <c r="AB60" s="319">
        <v>0.31269999999999998</v>
      </c>
      <c r="AC60" s="319">
        <v>8.9899999999999994E-2</v>
      </c>
      <c r="AD60" s="319">
        <v>0.1021</v>
      </c>
      <c r="AE60" s="319">
        <v>5.3800000000000001E-2</v>
      </c>
      <c r="AF60" s="319">
        <v>0.1641</v>
      </c>
      <c r="AG60" s="319">
        <v>3.27E-2</v>
      </c>
      <c r="AH60" s="319">
        <v>0</v>
      </c>
      <c r="AI60" s="319">
        <v>3.0261999999999998</v>
      </c>
      <c r="AJ60" s="319">
        <v>1.0740000000000001</v>
      </c>
      <c r="AK60" s="319">
        <v>8.72E-2</v>
      </c>
      <c r="AL60" s="319">
        <v>0.48599999999999999</v>
      </c>
      <c r="AM60" s="319">
        <v>5.62E-2</v>
      </c>
      <c r="AN60" s="319">
        <v>9.1000000000000004E-3</v>
      </c>
      <c r="AO60" s="319">
        <v>0.28670000000000001</v>
      </c>
      <c r="AP60" s="319">
        <v>0</v>
      </c>
      <c r="AQ60" s="319">
        <v>0</v>
      </c>
      <c r="AR60" s="319">
        <v>0.48930000000000001</v>
      </c>
      <c r="AS60" s="319">
        <v>0.48930000000000001</v>
      </c>
      <c r="AT60" s="331">
        <v>0.2457</v>
      </c>
      <c r="AU60" s="336">
        <v>10.275700000000001</v>
      </c>
      <c r="AV60" s="329">
        <v>10.275700000000001</v>
      </c>
      <c r="AW60" s="337">
        <v>5.1592000000000011</v>
      </c>
      <c r="AX60" s="334"/>
      <c r="AY60" s="323">
        <v>8.0917000000000012</v>
      </c>
      <c r="AZ60" s="323">
        <v>8.0917000000000012</v>
      </c>
      <c r="BA60" s="323">
        <v>4.5397000000000007</v>
      </c>
      <c r="BB60" s="319"/>
      <c r="BC60" s="321">
        <f t="shared" si="0"/>
        <v>1.2699062001804318</v>
      </c>
      <c r="BD60" s="321">
        <f t="shared" si="1"/>
        <v>1.2699062001804318</v>
      </c>
      <c r="BE60" s="321">
        <f t="shared" si="2"/>
        <v>1.1364627618565104</v>
      </c>
      <c r="BG60" s="22">
        <f t="shared" si="3"/>
        <v>0</v>
      </c>
      <c r="BH60" s="22">
        <f t="shared" si="4"/>
        <v>1.1102230246251565E-15</v>
      </c>
      <c r="BI60" s="22">
        <f t="shared" si="5"/>
        <v>1.1102230246251565E-15</v>
      </c>
    </row>
    <row r="61" spans="2:61" x14ac:dyDescent="0.25">
      <c r="B61" s="312">
        <v>52</v>
      </c>
      <c r="C61" s="312" t="s">
        <v>562</v>
      </c>
      <c r="D61" s="312" t="s">
        <v>390</v>
      </c>
      <c r="E61" s="312">
        <v>5</v>
      </c>
      <c r="F61" s="312">
        <v>6</v>
      </c>
      <c r="G61" s="313" t="s">
        <v>62</v>
      </c>
      <c r="H61" s="313"/>
      <c r="I61" s="346">
        <v>4683.8</v>
      </c>
      <c r="J61" s="317">
        <v>4683.8</v>
      </c>
      <c r="K61" s="317">
        <v>0</v>
      </c>
      <c r="L61" s="317">
        <v>0</v>
      </c>
      <c r="M61" s="317"/>
      <c r="N61" s="319">
        <v>0.15939999999999999</v>
      </c>
      <c r="O61" s="319">
        <v>8.0799999999999997E-2</v>
      </c>
      <c r="P61" s="319">
        <v>0.33119999999999999</v>
      </c>
      <c r="Q61" s="319">
        <v>7.4499999999999997E-2</v>
      </c>
      <c r="R61" s="319">
        <v>3.8399999999999997E-2</v>
      </c>
      <c r="S61" s="319">
        <v>0.5696</v>
      </c>
      <c r="T61" s="319">
        <v>0</v>
      </c>
      <c r="U61" s="319">
        <v>0.63149999999999995</v>
      </c>
      <c r="V61" s="319">
        <v>0</v>
      </c>
      <c r="W61" s="319">
        <v>0</v>
      </c>
      <c r="X61" s="319">
        <v>0.15190000000000001</v>
      </c>
      <c r="Y61" s="319">
        <v>0</v>
      </c>
      <c r="Z61" s="319">
        <v>2.6886999999999999</v>
      </c>
      <c r="AA61" s="319">
        <v>0.20860000000000001</v>
      </c>
      <c r="AB61" s="319">
        <v>0.28649999999999998</v>
      </c>
      <c r="AC61" s="319">
        <v>9.1899999999999996E-2</v>
      </c>
      <c r="AD61" s="319">
        <v>9.7000000000000003E-2</v>
      </c>
      <c r="AE61" s="319">
        <v>7.4700000000000003E-2</v>
      </c>
      <c r="AF61" s="319">
        <v>0.2107</v>
      </c>
      <c r="AG61" s="319">
        <v>3.1600000000000003E-2</v>
      </c>
      <c r="AH61" s="319">
        <v>0</v>
      </c>
      <c r="AI61" s="319">
        <v>1.9901</v>
      </c>
      <c r="AJ61" s="319">
        <v>0.99350000000000005</v>
      </c>
      <c r="AK61" s="319">
        <v>8.4599999999999995E-2</v>
      </c>
      <c r="AL61" s="319">
        <v>0.47320000000000001</v>
      </c>
      <c r="AM61" s="319">
        <v>5.91E-2</v>
      </c>
      <c r="AN61" s="319">
        <v>9.5999999999999992E-3</v>
      </c>
      <c r="AO61" s="319">
        <v>0.1547</v>
      </c>
      <c r="AP61" s="319">
        <v>0</v>
      </c>
      <c r="AQ61" s="319">
        <v>0</v>
      </c>
      <c r="AR61" s="319">
        <v>0.47460000000000002</v>
      </c>
      <c r="AS61" s="319">
        <v>0.47460000000000002</v>
      </c>
      <c r="AT61" s="331">
        <v>0.29399999999999998</v>
      </c>
      <c r="AU61" s="336">
        <v>9.9664000000000019</v>
      </c>
      <c r="AV61" s="329">
        <v>9.9664000000000019</v>
      </c>
      <c r="AW61" s="337">
        <v>6.1743000000000006</v>
      </c>
      <c r="AX61" s="334"/>
      <c r="AY61" s="323">
        <v>8.0749999999999993</v>
      </c>
      <c r="AZ61" s="323">
        <v>8.0749999999999993</v>
      </c>
      <c r="BA61" s="323">
        <v>5.0148000000000001</v>
      </c>
      <c r="BB61" s="319"/>
      <c r="BC61" s="321">
        <f t="shared" si="0"/>
        <v>1.234229102167183</v>
      </c>
      <c r="BD61" s="321">
        <f t="shared" si="1"/>
        <v>1.234229102167183</v>
      </c>
      <c r="BE61" s="321">
        <f t="shared" si="2"/>
        <v>1.2312156018186169</v>
      </c>
      <c r="BG61" s="22">
        <f t="shared" si="3"/>
        <v>2.2759572004815709E-15</v>
      </c>
      <c r="BH61" s="22">
        <f t="shared" si="4"/>
        <v>-6.106226635438361E-16</v>
      </c>
      <c r="BI61" s="22">
        <f t="shared" si="5"/>
        <v>1.1657341758564144E-15</v>
      </c>
    </row>
    <row r="62" spans="2:61" x14ac:dyDescent="0.25">
      <c r="B62" s="312">
        <v>53</v>
      </c>
      <c r="C62" s="312" t="s">
        <v>564</v>
      </c>
      <c r="D62" s="312" t="s">
        <v>390</v>
      </c>
      <c r="E62" s="312">
        <v>5</v>
      </c>
      <c r="F62" s="312">
        <v>4</v>
      </c>
      <c r="G62" s="313" t="s">
        <v>63</v>
      </c>
      <c r="H62" s="313"/>
      <c r="I62" s="346">
        <v>2952.2</v>
      </c>
      <c r="J62" s="317">
        <v>2902</v>
      </c>
      <c r="K62" s="317">
        <v>0</v>
      </c>
      <c r="L62" s="317">
        <v>50.2</v>
      </c>
      <c r="M62" s="317"/>
      <c r="N62" s="319">
        <v>0.1789</v>
      </c>
      <c r="O62" s="319">
        <v>8.4099999999999994E-2</v>
      </c>
      <c r="P62" s="319">
        <v>0.32669999999999999</v>
      </c>
      <c r="Q62" s="319">
        <v>7.46E-2</v>
      </c>
      <c r="R62" s="319">
        <v>3.8899999999999997E-2</v>
      </c>
      <c r="S62" s="319">
        <v>0.495</v>
      </c>
      <c r="T62" s="319">
        <v>0</v>
      </c>
      <c r="U62" s="319">
        <v>0.63149999999999995</v>
      </c>
      <c r="V62" s="319">
        <v>0</v>
      </c>
      <c r="W62" s="319">
        <v>0</v>
      </c>
      <c r="X62" s="319">
        <v>0.13389999999999999</v>
      </c>
      <c r="Y62" s="319">
        <v>0</v>
      </c>
      <c r="Z62" s="319">
        <v>1.5757000000000001</v>
      </c>
      <c r="AA62" s="319">
        <v>0.2109</v>
      </c>
      <c r="AB62" s="319">
        <v>0.31590000000000001</v>
      </c>
      <c r="AC62" s="319">
        <v>8.8999999999999996E-2</v>
      </c>
      <c r="AD62" s="319">
        <v>0.10440000000000001</v>
      </c>
      <c r="AE62" s="319">
        <v>7.5700000000000003E-2</v>
      </c>
      <c r="AF62" s="319">
        <v>0.16059999999999999</v>
      </c>
      <c r="AG62" s="319">
        <v>3.4799999999999998E-2</v>
      </c>
      <c r="AH62" s="319">
        <v>0</v>
      </c>
      <c r="AI62" s="319">
        <v>1.8521000000000001</v>
      </c>
      <c r="AJ62" s="319">
        <v>1.5089999999999999</v>
      </c>
      <c r="AK62" s="319">
        <v>8.6999999999999994E-2</v>
      </c>
      <c r="AL62" s="319">
        <v>0.46700000000000003</v>
      </c>
      <c r="AM62" s="319">
        <v>6.5000000000000002E-2</v>
      </c>
      <c r="AN62" s="319">
        <v>1.06E-2</v>
      </c>
      <c r="AO62" s="319">
        <v>0.28889999999999999</v>
      </c>
      <c r="AP62" s="319">
        <v>0</v>
      </c>
      <c r="AQ62" s="319">
        <v>0</v>
      </c>
      <c r="AR62" s="319">
        <v>0.4405</v>
      </c>
      <c r="AS62" s="319">
        <v>0.4405</v>
      </c>
      <c r="AT62" s="331">
        <v>0.23469999999999999</v>
      </c>
      <c r="AU62" s="336">
        <v>9.2507000000000001</v>
      </c>
      <c r="AV62" s="329">
        <v>9.2507000000000001</v>
      </c>
      <c r="AW62" s="337">
        <v>4.9278999999999993</v>
      </c>
      <c r="AX62" s="334"/>
      <c r="AY62" s="323">
        <v>6.9818999999999996</v>
      </c>
      <c r="AZ62" s="323">
        <v>6.9818999999999996</v>
      </c>
      <c r="BA62" s="323">
        <v>4.1562000000000001</v>
      </c>
      <c r="BB62" s="319"/>
      <c r="BC62" s="321">
        <f t="shared" si="0"/>
        <v>1.3249545252724904</v>
      </c>
      <c r="BD62" s="321">
        <f t="shared" si="1"/>
        <v>1.3249545252724904</v>
      </c>
      <c r="BE62" s="321">
        <f t="shared" si="2"/>
        <v>1.18567441412829</v>
      </c>
      <c r="BG62" s="22">
        <f t="shared" si="3"/>
        <v>0</v>
      </c>
      <c r="BH62" s="22">
        <f t="shared" si="4"/>
        <v>1.2212453270876722E-15</v>
      </c>
      <c r="BI62" s="22">
        <f t="shared" si="5"/>
        <v>-1.4432899320127035E-15</v>
      </c>
    </row>
    <row r="63" spans="2:61" x14ac:dyDescent="0.25">
      <c r="B63" s="312">
        <v>59</v>
      </c>
      <c r="C63" s="312" t="s">
        <v>576</v>
      </c>
      <c r="D63" s="312" t="s">
        <v>390</v>
      </c>
      <c r="E63" s="312">
        <v>5</v>
      </c>
      <c r="F63" s="312">
        <v>2</v>
      </c>
      <c r="G63" s="313" t="s">
        <v>64</v>
      </c>
      <c r="H63" s="313"/>
      <c r="I63" s="346">
        <v>3306.3</v>
      </c>
      <c r="J63" s="317">
        <v>3306.3</v>
      </c>
      <c r="K63" s="317">
        <v>0</v>
      </c>
      <c r="L63" s="317">
        <v>0</v>
      </c>
      <c r="M63" s="317"/>
      <c r="N63" s="319">
        <v>0.19839999999999999</v>
      </c>
      <c r="O63" s="319">
        <v>9.6799999999999997E-2</v>
      </c>
      <c r="P63" s="319">
        <v>0.33439999999999998</v>
      </c>
      <c r="Q63" s="319">
        <v>8.1000000000000003E-2</v>
      </c>
      <c r="R63" s="319">
        <v>0</v>
      </c>
      <c r="S63" s="319">
        <v>0.2702</v>
      </c>
      <c r="T63" s="319">
        <v>0</v>
      </c>
      <c r="U63" s="319">
        <v>0.63149999999999995</v>
      </c>
      <c r="V63" s="319">
        <v>0</v>
      </c>
      <c r="W63" s="319">
        <v>0</v>
      </c>
      <c r="X63" s="319">
        <v>0.22720000000000001</v>
      </c>
      <c r="Y63" s="319">
        <v>0</v>
      </c>
      <c r="Z63" s="319">
        <v>1.0190999999999999</v>
      </c>
      <c r="AA63" s="319">
        <v>0.26590000000000003</v>
      </c>
      <c r="AB63" s="319">
        <v>0.35249999999999998</v>
      </c>
      <c r="AC63" s="319">
        <v>9.0999999999999998E-2</v>
      </c>
      <c r="AD63" s="319">
        <v>0.12970000000000001</v>
      </c>
      <c r="AE63" s="319">
        <v>0</v>
      </c>
      <c r="AF63" s="319">
        <v>0.13189999999999999</v>
      </c>
      <c r="AG63" s="319">
        <v>3.3399999999999999E-2</v>
      </c>
      <c r="AH63" s="319">
        <v>0</v>
      </c>
      <c r="AI63" s="319">
        <v>2.6474000000000002</v>
      </c>
      <c r="AJ63" s="319">
        <v>1.3076000000000001</v>
      </c>
      <c r="AK63" s="319">
        <v>4.7399999999999998E-2</v>
      </c>
      <c r="AL63" s="319">
        <v>0.46710000000000002</v>
      </c>
      <c r="AM63" s="319">
        <v>6.6900000000000001E-2</v>
      </c>
      <c r="AN63" s="319">
        <v>1.09E-2</v>
      </c>
      <c r="AO63" s="319">
        <v>0.59019999999999995</v>
      </c>
      <c r="AP63" s="319">
        <v>0</v>
      </c>
      <c r="AQ63" s="319">
        <v>0</v>
      </c>
      <c r="AR63" s="319">
        <v>0.45</v>
      </c>
      <c r="AS63" s="319">
        <v>0.45</v>
      </c>
      <c r="AT63" s="331">
        <v>0.19939999999999999</v>
      </c>
      <c r="AU63" s="336">
        <v>9.4504999999999981</v>
      </c>
      <c r="AV63" s="329">
        <v>9.4504999999999981</v>
      </c>
      <c r="AW63" s="337">
        <v>4.1875999999999989</v>
      </c>
      <c r="AX63" s="334"/>
      <c r="AY63" s="323">
        <v>7.4416999999999982</v>
      </c>
      <c r="AZ63" s="323">
        <v>7.4416999999999982</v>
      </c>
      <c r="BA63" s="323">
        <v>3.6694999999999984</v>
      </c>
      <c r="BB63" s="319"/>
      <c r="BC63" s="321">
        <f t="shared" si="0"/>
        <v>1.2699383205450367</v>
      </c>
      <c r="BD63" s="321">
        <f t="shared" si="1"/>
        <v>1.2699383205450367</v>
      </c>
      <c r="BE63" s="321">
        <f t="shared" si="2"/>
        <v>1.1411908979424992</v>
      </c>
      <c r="BG63" s="22">
        <f t="shared" si="3"/>
        <v>-6.106226635438361E-16</v>
      </c>
      <c r="BH63" s="22">
        <f t="shared" si="4"/>
        <v>-6.9388939039072284E-16</v>
      </c>
      <c r="BI63" s="22">
        <f t="shared" si="5"/>
        <v>-6.9388939039072284E-16</v>
      </c>
    </row>
    <row r="64" spans="2:61" x14ac:dyDescent="0.25">
      <c r="B64" s="312">
        <v>60</v>
      </c>
      <c r="C64" s="312" t="s">
        <v>578</v>
      </c>
      <c r="D64" s="312" t="s">
        <v>390</v>
      </c>
      <c r="E64" s="312">
        <v>5</v>
      </c>
      <c r="F64" s="312">
        <v>1</v>
      </c>
      <c r="G64" s="313" t="s">
        <v>66</v>
      </c>
      <c r="H64" s="313"/>
      <c r="I64" s="346">
        <v>4220.3599999999997</v>
      </c>
      <c r="J64" s="317">
        <v>3719.83</v>
      </c>
      <c r="K64" s="317">
        <v>0</v>
      </c>
      <c r="L64" s="317">
        <v>500.53</v>
      </c>
      <c r="M64" s="317"/>
      <c r="N64" s="319">
        <v>0.16259999999999999</v>
      </c>
      <c r="O64" s="319">
        <v>8.2699999999999996E-2</v>
      </c>
      <c r="P64" s="319">
        <v>0.4274</v>
      </c>
      <c r="Q64" s="319">
        <v>9.1499999999999998E-2</v>
      </c>
      <c r="R64" s="319">
        <v>2.8400000000000002E-2</v>
      </c>
      <c r="S64" s="319">
        <v>0.25569999999999998</v>
      </c>
      <c r="T64" s="319">
        <v>0</v>
      </c>
      <c r="U64" s="319">
        <v>0.63149999999999995</v>
      </c>
      <c r="V64" s="319">
        <v>0</v>
      </c>
      <c r="W64" s="319">
        <v>0</v>
      </c>
      <c r="X64" s="319">
        <v>4.4999999999999998E-2</v>
      </c>
      <c r="Y64" s="319">
        <v>0</v>
      </c>
      <c r="Z64" s="319">
        <v>1.3928</v>
      </c>
      <c r="AA64" s="319">
        <v>0.2326</v>
      </c>
      <c r="AB64" s="319">
        <v>0.28910000000000002</v>
      </c>
      <c r="AC64" s="319">
        <v>0.1197</v>
      </c>
      <c r="AD64" s="319">
        <v>0.1024</v>
      </c>
      <c r="AE64" s="319">
        <v>5.5199999999999999E-2</v>
      </c>
      <c r="AF64" s="319">
        <v>0.1173</v>
      </c>
      <c r="AG64" s="319">
        <v>3.2500000000000001E-2</v>
      </c>
      <c r="AH64" s="319">
        <v>0</v>
      </c>
      <c r="AI64" s="319">
        <v>1.8311999999999999</v>
      </c>
      <c r="AJ64" s="319">
        <v>1.2345999999999999</v>
      </c>
      <c r="AK64" s="319">
        <v>7.8799999999999995E-2</v>
      </c>
      <c r="AL64" s="319">
        <v>0.43959999999999999</v>
      </c>
      <c r="AM64" s="319">
        <v>2.7E-2</v>
      </c>
      <c r="AN64" s="319">
        <v>4.4000000000000003E-3</v>
      </c>
      <c r="AO64" s="319">
        <v>0.46889999999999998</v>
      </c>
      <c r="AP64" s="319">
        <v>0</v>
      </c>
      <c r="AQ64" s="319">
        <v>0</v>
      </c>
      <c r="AR64" s="319">
        <v>0.40749999999999997</v>
      </c>
      <c r="AS64" s="319">
        <v>0.40749999999999997</v>
      </c>
      <c r="AT64" s="331">
        <v>0.20880000000000001</v>
      </c>
      <c r="AU64" s="336">
        <v>8.5584000000000007</v>
      </c>
      <c r="AV64" s="329">
        <v>8.5584000000000007</v>
      </c>
      <c r="AW64" s="337">
        <v>4.3853999999999997</v>
      </c>
      <c r="AX64" s="334"/>
      <c r="AY64" s="323">
        <v>6.7392999999999992</v>
      </c>
      <c r="AZ64" s="323">
        <v>6.7392999999999992</v>
      </c>
      <c r="BA64" s="323">
        <v>3.7767000000000004</v>
      </c>
      <c r="BB64" s="319"/>
      <c r="BC64" s="321">
        <f t="shared" si="0"/>
        <v>1.2699241761013758</v>
      </c>
      <c r="BD64" s="321">
        <f t="shared" si="1"/>
        <v>1.2699241761013758</v>
      </c>
      <c r="BE64" s="321">
        <f t="shared" si="2"/>
        <v>1.1611724521407576</v>
      </c>
      <c r="BG64" s="22">
        <f t="shared" si="3"/>
        <v>1.1102230246251565E-15</v>
      </c>
      <c r="BH64" s="22">
        <f t="shared" si="4"/>
        <v>8.6042284408449632E-16</v>
      </c>
      <c r="BI64" s="22">
        <f t="shared" si="5"/>
        <v>-9.1593399531575415E-16</v>
      </c>
    </row>
    <row r="65" spans="2:61" x14ac:dyDescent="0.25">
      <c r="B65" s="312">
        <v>62</v>
      </c>
      <c r="C65" s="312" t="s">
        <v>583</v>
      </c>
      <c r="D65" s="312" t="s">
        <v>392</v>
      </c>
      <c r="E65" s="312">
        <v>5</v>
      </c>
      <c r="F65" s="312">
        <v>4</v>
      </c>
      <c r="G65" s="313" t="s">
        <v>67</v>
      </c>
      <c r="H65" s="313"/>
      <c r="I65" s="346">
        <v>2733.62</v>
      </c>
      <c r="J65" s="317">
        <v>2733.62</v>
      </c>
      <c r="K65" s="317">
        <v>0</v>
      </c>
      <c r="L65" s="317">
        <v>0</v>
      </c>
      <c r="M65" s="317"/>
      <c r="N65" s="319">
        <v>0.16769999999999999</v>
      </c>
      <c r="O65" s="319">
        <v>9.3100000000000002E-2</v>
      </c>
      <c r="P65" s="319">
        <v>0.3251</v>
      </c>
      <c r="Q65" s="319">
        <v>7.4399999999999994E-2</v>
      </c>
      <c r="R65" s="319">
        <v>2.92E-2</v>
      </c>
      <c r="S65" s="319">
        <v>0.50319999999999998</v>
      </c>
      <c r="T65" s="319">
        <v>0</v>
      </c>
      <c r="U65" s="319">
        <v>0.63149999999999995</v>
      </c>
      <c r="V65" s="319">
        <v>0</v>
      </c>
      <c r="W65" s="319">
        <v>0</v>
      </c>
      <c r="X65" s="319">
        <v>0.17069999999999999</v>
      </c>
      <c r="Y65" s="319">
        <v>0</v>
      </c>
      <c r="Z65" s="319">
        <v>2.3382000000000001</v>
      </c>
      <c r="AA65" s="319">
        <v>0.22220000000000001</v>
      </c>
      <c r="AB65" s="319">
        <v>0.33029999999999998</v>
      </c>
      <c r="AC65" s="319">
        <v>8.7900000000000006E-2</v>
      </c>
      <c r="AD65" s="319">
        <v>0.1062</v>
      </c>
      <c r="AE65" s="319">
        <v>5.6899999999999999E-2</v>
      </c>
      <c r="AF65" s="319">
        <v>0.17349999999999999</v>
      </c>
      <c r="AG65" s="319">
        <v>3.3700000000000001E-2</v>
      </c>
      <c r="AH65" s="319">
        <v>0</v>
      </c>
      <c r="AI65" s="319">
        <v>2.4662999999999999</v>
      </c>
      <c r="AJ65" s="319">
        <v>1.2004999999999999</v>
      </c>
      <c r="AK65" s="319">
        <v>9.3100000000000002E-2</v>
      </c>
      <c r="AL65" s="319">
        <v>0.6401</v>
      </c>
      <c r="AM65" s="319">
        <v>5.8700000000000002E-2</v>
      </c>
      <c r="AN65" s="319">
        <v>9.4999999999999998E-3</v>
      </c>
      <c r="AO65" s="319">
        <v>0.17799999999999999</v>
      </c>
      <c r="AP65" s="319">
        <v>0</v>
      </c>
      <c r="AQ65" s="319">
        <v>0</v>
      </c>
      <c r="AR65" s="319">
        <v>0.4995</v>
      </c>
      <c r="AS65" s="319">
        <v>0.4995</v>
      </c>
      <c r="AT65" s="331">
        <v>0.27529999999999999</v>
      </c>
      <c r="AU65" s="336">
        <v>10.4895</v>
      </c>
      <c r="AV65" s="329">
        <v>10.4895</v>
      </c>
      <c r="AW65" s="337">
        <v>5.7803999999999984</v>
      </c>
      <c r="AX65" s="334"/>
      <c r="AY65" s="323">
        <v>8.2600999999999996</v>
      </c>
      <c r="AZ65" s="323">
        <v>8.2600999999999996</v>
      </c>
      <c r="BA65" s="323">
        <v>4.8614999999999986</v>
      </c>
      <c r="BB65" s="319"/>
      <c r="BC65" s="321">
        <f t="shared" si="0"/>
        <v>1.2698998801467294</v>
      </c>
      <c r="BD65" s="321">
        <f t="shared" si="1"/>
        <v>1.2698998801467294</v>
      </c>
      <c r="BE65" s="321">
        <f t="shared" si="2"/>
        <v>1.1890157358839863</v>
      </c>
      <c r="BG65" s="22">
        <f t="shared" si="3"/>
        <v>-1.7763568394002505E-15</v>
      </c>
      <c r="BH65" s="22">
        <f t="shared" si="4"/>
        <v>0</v>
      </c>
      <c r="BI65" s="22">
        <f t="shared" si="5"/>
        <v>-1.0269562977782698E-15</v>
      </c>
    </row>
    <row r="66" spans="2:61" x14ac:dyDescent="0.25">
      <c r="B66" s="312">
        <v>63</v>
      </c>
      <c r="C66" s="312" t="s">
        <v>585</v>
      </c>
      <c r="D66" s="312" t="s">
        <v>392</v>
      </c>
      <c r="E66" s="312">
        <v>5</v>
      </c>
      <c r="F66" s="312">
        <v>4</v>
      </c>
      <c r="G66" s="313" t="s">
        <v>68</v>
      </c>
      <c r="H66" s="313"/>
      <c r="I66" s="346">
        <v>2913</v>
      </c>
      <c r="J66" s="317">
        <v>2913</v>
      </c>
      <c r="K66" s="317">
        <v>0</v>
      </c>
      <c r="L66" s="317">
        <v>0</v>
      </c>
      <c r="M66" s="317"/>
      <c r="N66" s="319">
        <v>0.1618</v>
      </c>
      <c r="O66" s="319">
        <v>8.7400000000000005E-2</v>
      </c>
      <c r="P66" s="319">
        <v>0.32329999999999998</v>
      </c>
      <c r="Q66" s="319">
        <v>7.51E-2</v>
      </c>
      <c r="R66" s="319">
        <v>3.09E-2</v>
      </c>
      <c r="S66" s="319">
        <v>0.46600000000000003</v>
      </c>
      <c r="T66" s="319">
        <v>0</v>
      </c>
      <c r="U66" s="319">
        <v>0.63149999999999995</v>
      </c>
      <c r="V66" s="319">
        <v>0</v>
      </c>
      <c r="W66" s="319">
        <v>0</v>
      </c>
      <c r="X66" s="319">
        <v>0.16289999999999999</v>
      </c>
      <c r="Y66" s="319">
        <v>0</v>
      </c>
      <c r="Z66" s="319">
        <v>1.7262999999999999</v>
      </c>
      <c r="AA66" s="319">
        <v>0.21609999999999999</v>
      </c>
      <c r="AB66" s="319">
        <v>0.31009999999999999</v>
      </c>
      <c r="AC66" s="319">
        <v>8.9800000000000005E-2</v>
      </c>
      <c r="AD66" s="319">
        <v>0.1096</v>
      </c>
      <c r="AE66" s="319">
        <v>0.06</v>
      </c>
      <c r="AF66" s="319">
        <v>0.1855</v>
      </c>
      <c r="AG66" s="319">
        <v>3.2500000000000001E-2</v>
      </c>
      <c r="AH66" s="319">
        <v>0</v>
      </c>
      <c r="AI66" s="319">
        <v>3.1795</v>
      </c>
      <c r="AJ66" s="319">
        <v>1.0945</v>
      </c>
      <c r="AK66" s="319">
        <v>8.77E-2</v>
      </c>
      <c r="AL66" s="319">
        <v>0.62009999999999998</v>
      </c>
      <c r="AM66" s="319">
        <v>4.7199999999999999E-2</v>
      </c>
      <c r="AN66" s="319">
        <v>7.7000000000000002E-3</v>
      </c>
      <c r="AO66" s="319">
        <v>0.27539999999999998</v>
      </c>
      <c r="AP66" s="319">
        <v>0</v>
      </c>
      <c r="AQ66" s="319">
        <v>0</v>
      </c>
      <c r="AR66" s="319">
        <v>0.499</v>
      </c>
      <c r="AS66" s="319">
        <v>0.499</v>
      </c>
      <c r="AT66" s="331">
        <v>0.24060000000000001</v>
      </c>
      <c r="AU66" s="336">
        <v>10.479900000000001</v>
      </c>
      <c r="AV66" s="329">
        <v>10.479900000000001</v>
      </c>
      <c r="AW66" s="337">
        <v>5.0519999999999996</v>
      </c>
      <c r="AX66" s="334"/>
      <c r="AY66" s="323">
        <v>8.2523000000000017</v>
      </c>
      <c r="AZ66" s="323">
        <v>8.2523000000000017</v>
      </c>
      <c r="BA66" s="323">
        <v>4.5215000000000014</v>
      </c>
      <c r="BB66" s="319"/>
      <c r="BC66" s="321">
        <f t="shared" si="0"/>
        <v>1.2699368660858183</v>
      </c>
      <c r="BD66" s="321">
        <f t="shared" si="1"/>
        <v>1.2699368660858183</v>
      </c>
      <c r="BE66" s="321">
        <f t="shared" si="2"/>
        <v>1.1173283202477049</v>
      </c>
      <c r="BG66" s="22">
        <f t="shared" si="3"/>
        <v>0</v>
      </c>
      <c r="BH66" s="22">
        <f t="shared" si="4"/>
        <v>0</v>
      </c>
      <c r="BI66" s="22">
        <f t="shared" si="5"/>
        <v>0</v>
      </c>
    </row>
    <row r="67" spans="2:61" x14ac:dyDescent="0.25">
      <c r="B67" s="312">
        <v>64</v>
      </c>
      <c r="C67" s="312" t="s">
        <v>587</v>
      </c>
      <c r="D67" s="312" t="s">
        <v>392</v>
      </c>
      <c r="E67" s="312">
        <v>5</v>
      </c>
      <c r="F67" s="312">
        <v>4</v>
      </c>
      <c r="G67" s="313" t="s">
        <v>69</v>
      </c>
      <c r="H67" s="313"/>
      <c r="I67" s="346">
        <v>2965.54</v>
      </c>
      <c r="J67" s="317">
        <v>2965.54</v>
      </c>
      <c r="K67" s="317">
        <v>0</v>
      </c>
      <c r="L67" s="317">
        <v>0</v>
      </c>
      <c r="M67" s="317"/>
      <c r="N67" s="319">
        <v>0.16320000000000001</v>
      </c>
      <c r="O67" s="319">
        <v>8.6599999999999996E-2</v>
      </c>
      <c r="P67" s="319">
        <v>0.32490000000000002</v>
      </c>
      <c r="Q67" s="319">
        <v>7.4999999999999997E-2</v>
      </c>
      <c r="R67" s="319">
        <v>3.0300000000000001E-2</v>
      </c>
      <c r="S67" s="319">
        <v>0.48039999999999999</v>
      </c>
      <c r="T67" s="319">
        <v>0</v>
      </c>
      <c r="U67" s="319">
        <v>0.63149999999999995</v>
      </c>
      <c r="V67" s="319">
        <v>0</v>
      </c>
      <c r="W67" s="319">
        <v>0</v>
      </c>
      <c r="X67" s="319">
        <v>0.16270000000000001</v>
      </c>
      <c r="Y67" s="319">
        <v>0</v>
      </c>
      <c r="Z67" s="319">
        <v>1.421</v>
      </c>
      <c r="AA67" s="319">
        <v>0.2102</v>
      </c>
      <c r="AB67" s="319">
        <v>0.30709999999999998</v>
      </c>
      <c r="AC67" s="319">
        <v>9.0200000000000002E-2</v>
      </c>
      <c r="AD67" s="319">
        <v>0.1091</v>
      </c>
      <c r="AE67" s="319">
        <v>5.8999999999999997E-2</v>
      </c>
      <c r="AF67" s="319">
        <v>0.1822</v>
      </c>
      <c r="AG67" s="319">
        <v>3.2199999999999999E-2</v>
      </c>
      <c r="AH67" s="319">
        <v>0</v>
      </c>
      <c r="AI67" s="319">
        <v>3.3317999999999999</v>
      </c>
      <c r="AJ67" s="319">
        <v>1.0779000000000001</v>
      </c>
      <c r="AK67" s="319">
        <v>8.6099999999999996E-2</v>
      </c>
      <c r="AL67" s="319">
        <v>0.6119</v>
      </c>
      <c r="AM67" s="319">
        <v>5.4399999999999997E-2</v>
      </c>
      <c r="AN67" s="319">
        <v>8.8000000000000005E-3</v>
      </c>
      <c r="AO67" s="319">
        <v>0.2356</v>
      </c>
      <c r="AP67" s="319">
        <v>0</v>
      </c>
      <c r="AQ67" s="319">
        <v>0</v>
      </c>
      <c r="AR67" s="319">
        <v>0.48859999999999998</v>
      </c>
      <c r="AS67" s="319">
        <v>0.48859999999999998</v>
      </c>
      <c r="AT67" s="331">
        <v>0.22570000000000001</v>
      </c>
      <c r="AU67" s="336">
        <v>10.2607</v>
      </c>
      <c r="AV67" s="329">
        <v>10.2607</v>
      </c>
      <c r="AW67" s="337">
        <v>4.7406000000000006</v>
      </c>
      <c r="AX67" s="334"/>
      <c r="AY67" s="323">
        <v>8.0798000000000005</v>
      </c>
      <c r="AZ67" s="323">
        <v>8.0798000000000005</v>
      </c>
      <c r="BA67" s="323">
        <v>4.2829999999999995</v>
      </c>
      <c r="BB67" s="319"/>
      <c r="BC67" s="321">
        <f t="shared" si="0"/>
        <v>1.2699200475259287</v>
      </c>
      <c r="BD67" s="321">
        <f t="shared" si="1"/>
        <v>1.2699200475259287</v>
      </c>
      <c r="BE67" s="321">
        <f t="shared" si="2"/>
        <v>1.1068409992995567</v>
      </c>
      <c r="BG67" s="22">
        <f t="shared" si="3"/>
        <v>1.9428902930940239E-15</v>
      </c>
      <c r="BH67" s="22">
        <f t="shared" si="4"/>
        <v>8.3266726846886741E-16</v>
      </c>
      <c r="BI67" s="22">
        <f t="shared" si="5"/>
        <v>8.3266726846886741E-16</v>
      </c>
    </row>
    <row r="68" spans="2:61" x14ac:dyDescent="0.25">
      <c r="B68" s="312">
        <v>65</v>
      </c>
      <c r="C68" s="312" t="s">
        <v>589</v>
      </c>
      <c r="D68" s="312" t="s">
        <v>392</v>
      </c>
      <c r="E68" s="312">
        <v>5</v>
      </c>
      <c r="F68" s="312">
        <v>4</v>
      </c>
      <c r="G68" s="313" t="s">
        <v>70</v>
      </c>
      <c r="H68" s="313"/>
      <c r="I68" s="346">
        <v>2721.5</v>
      </c>
      <c r="J68" s="317">
        <v>2721.5</v>
      </c>
      <c r="K68" s="317">
        <v>0</v>
      </c>
      <c r="L68" s="317">
        <v>0</v>
      </c>
      <c r="M68" s="317"/>
      <c r="N68" s="319">
        <v>0.1663</v>
      </c>
      <c r="O68" s="319">
        <v>9.3600000000000003E-2</v>
      </c>
      <c r="P68" s="319">
        <v>0.32350000000000001</v>
      </c>
      <c r="Q68" s="319">
        <v>7.46E-2</v>
      </c>
      <c r="R68" s="319">
        <v>2.9399999999999999E-2</v>
      </c>
      <c r="S68" s="319">
        <v>0.50539999999999996</v>
      </c>
      <c r="T68" s="319">
        <v>0</v>
      </c>
      <c r="U68" s="319">
        <v>0.63149999999999995</v>
      </c>
      <c r="V68" s="319">
        <v>0</v>
      </c>
      <c r="W68" s="319">
        <v>0</v>
      </c>
      <c r="X68" s="319">
        <v>0.17430000000000001</v>
      </c>
      <c r="Y68" s="319">
        <v>0</v>
      </c>
      <c r="Z68" s="319">
        <v>2.2246999999999999</v>
      </c>
      <c r="AA68" s="319">
        <v>0.2177</v>
      </c>
      <c r="AB68" s="319">
        <v>0.33179999999999998</v>
      </c>
      <c r="AC68" s="319">
        <v>8.8200000000000001E-2</v>
      </c>
      <c r="AD68" s="319">
        <v>0.10780000000000001</v>
      </c>
      <c r="AE68" s="319">
        <v>5.7099999999999998E-2</v>
      </c>
      <c r="AF68" s="319">
        <v>0.17419999999999999</v>
      </c>
      <c r="AG68" s="319">
        <v>3.2000000000000001E-2</v>
      </c>
      <c r="AH68" s="319">
        <v>0</v>
      </c>
      <c r="AI68" s="319">
        <v>2.1436999999999999</v>
      </c>
      <c r="AJ68" s="319">
        <v>1.1556</v>
      </c>
      <c r="AK68" s="319">
        <v>9.3700000000000006E-2</v>
      </c>
      <c r="AL68" s="319">
        <v>0.63839999999999997</v>
      </c>
      <c r="AM68" s="319">
        <v>5.91E-2</v>
      </c>
      <c r="AN68" s="319">
        <v>9.5999999999999992E-3</v>
      </c>
      <c r="AO68" s="319">
        <v>6.6600000000000006E-2</v>
      </c>
      <c r="AP68" s="319">
        <v>0</v>
      </c>
      <c r="AQ68" s="319">
        <v>0</v>
      </c>
      <c r="AR68" s="319">
        <v>0.46989999999999998</v>
      </c>
      <c r="AS68" s="319">
        <v>0.46989999999999998</v>
      </c>
      <c r="AT68" s="331">
        <v>0.2697</v>
      </c>
      <c r="AU68" s="336">
        <v>9.8687000000000005</v>
      </c>
      <c r="AV68" s="329">
        <v>9.8687000000000005</v>
      </c>
      <c r="AW68" s="337">
        <v>5.6642000000000019</v>
      </c>
      <c r="AX68" s="334"/>
      <c r="AY68" s="323">
        <v>7.7712000000000003</v>
      </c>
      <c r="AZ68" s="323">
        <v>7.7712000000000003</v>
      </c>
      <c r="BA68" s="323">
        <v>5.0260000000000007</v>
      </c>
      <c r="BB68" s="319"/>
      <c r="BC68" s="321">
        <f t="shared" si="0"/>
        <v>1.2699068354951617</v>
      </c>
      <c r="BD68" s="321">
        <f t="shared" si="1"/>
        <v>1.2699068354951617</v>
      </c>
      <c r="BE68" s="321">
        <f t="shared" si="2"/>
        <v>1.1269797055312378</v>
      </c>
      <c r="BG68" s="22">
        <f t="shared" si="3"/>
        <v>6.6613381477509392E-16</v>
      </c>
      <c r="BH68" s="22">
        <f t="shared" si="4"/>
        <v>0</v>
      </c>
      <c r="BI68" s="22">
        <f t="shared" si="5"/>
        <v>1.8873791418627661E-15</v>
      </c>
    </row>
    <row r="69" spans="2:61" x14ac:dyDescent="0.25">
      <c r="B69" s="312">
        <v>67</v>
      </c>
      <c r="C69" s="312" t="s">
        <v>593</v>
      </c>
      <c r="D69" s="312" t="s">
        <v>392</v>
      </c>
      <c r="E69" s="312">
        <v>5</v>
      </c>
      <c r="F69" s="312">
        <v>4</v>
      </c>
      <c r="G69" s="313" t="s">
        <v>71</v>
      </c>
      <c r="H69" s="313"/>
      <c r="I69" s="346">
        <v>2719.22</v>
      </c>
      <c r="J69" s="317">
        <v>2719.22</v>
      </c>
      <c r="K69" s="317">
        <v>0</v>
      </c>
      <c r="L69" s="317">
        <v>0</v>
      </c>
      <c r="M69" s="317"/>
      <c r="N69" s="319">
        <v>0.16639999999999999</v>
      </c>
      <c r="O69" s="319">
        <v>9.3600000000000003E-2</v>
      </c>
      <c r="P69" s="319">
        <v>0.32269999999999999</v>
      </c>
      <c r="Q69" s="319">
        <v>7.4700000000000003E-2</v>
      </c>
      <c r="R69" s="319">
        <v>2.9399999999999999E-2</v>
      </c>
      <c r="S69" s="319">
        <v>0.50590000000000002</v>
      </c>
      <c r="T69" s="319">
        <v>0</v>
      </c>
      <c r="U69" s="319">
        <v>0.63149999999999995</v>
      </c>
      <c r="V69" s="319">
        <v>0</v>
      </c>
      <c r="W69" s="319">
        <v>0</v>
      </c>
      <c r="X69" s="319">
        <v>0.17449999999999999</v>
      </c>
      <c r="Y69" s="319">
        <v>0</v>
      </c>
      <c r="Z69" s="319">
        <v>2.1711999999999998</v>
      </c>
      <c r="AA69" s="319">
        <v>0.2208</v>
      </c>
      <c r="AB69" s="319">
        <v>0.33210000000000001</v>
      </c>
      <c r="AC69" s="319">
        <v>8.7999999999999995E-2</v>
      </c>
      <c r="AD69" s="319">
        <v>0.1079</v>
      </c>
      <c r="AE69" s="319">
        <v>5.7200000000000001E-2</v>
      </c>
      <c r="AF69" s="319">
        <v>0.1744</v>
      </c>
      <c r="AG69" s="319">
        <v>3.3799999999999997E-2</v>
      </c>
      <c r="AH69" s="319">
        <v>0</v>
      </c>
      <c r="AI69" s="319">
        <v>2.0819999999999999</v>
      </c>
      <c r="AJ69" s="319">
        <v>1.2501</v>
      </c>
      <c r="AK69" s="319">
        <v>8.9499999999999996E-2</v>
      </c>
      <c r="AL69" s="319">
        <v>0.64419999999999999</v>
      </c>
      <c r="AM69" s="319">
        <v>5.91E-2</v>
      </c>
      <c r="AN69" s="319">
        <v>9.5999999999999992E-3</v>
      </c>
      <c r="AO69" s="319">
        <v>0.2455</v>
      </c>
      <c r="AP69" s="319">
        <v>0</v>
      </c>
      <c r="AQ69" s="319">
        <v>0</v>
      </c>
      <c r="AR69" s="319">
        <v>0.47820000000000001</v>
      </c>
      <c r="AS69" s="319">
        <v>0.47820000000000001</v>
      </c>
      <c r="AT69" s="331">
        <v>0.2671</v>
      </c>
      <c r="AU69" s="336">
        <v>10.042299999999999</v>
      </c>
      <c r="AV69" s="329">
        <v>10.042299999999999</v>
      </c>
      <c r="AW69" s="337">
        <v>5.6094000000000008</v>
      </c>
      <c r="AX69" s="334"/>
      <c r="AY69" s="323">
        <v>7.9077999999999991</v>
      </c>
      <c r="AZ69" s="323">
        <v>7.9077999999999991</v>
      </c>
      <c r="BA69" s="323">
        <v>4.7494000000000005</v>
      </c>
      <c r="BB69" s="319"/>
      <c r="BC69" s="321">
        <f t="shared" si="0"/>
        <v>1.2699233668023977</v>
      </c>
      <c r="BD69" s="321">
        <f t="shared" si="1"/>
        <v>1.2699233668023977</v>
      </c>
      <c r="BE69" s="321">
        <f t="shared" si="2"/>
        <v>1.1810755042742243</v>
      </c>
      <c r="BG69" s="22">
        <f t="shared" si="3"/>
        <v>0</v>
      </c>
      <c r="BH69" s="22">
        <f t="shared" si="4"/>
        <v>3.3306690738754696E-16</v>
      </c>
      <c r="BI69" s="22">
        <f t="shared" si="5"/>
        <v>1.2212453270876722E-15</v>
      </c>
    </row>
    <row r="70" spans="2:61" x14ac:dyDescent="0.25">
      <c r="B70" s="312">
        <v>68</v>
      </c>
      <c r="C70" s="312" t="s">
        <v>595</v>
      </c>
      <c r="D70" s="312" t="s">
        <v>392</v>
      </c>
      <c r="E70" s="312">
        <v>5</v>
      </c>
      <c r="F70" s="312">
        <v>6</v>
      </c>
      <c r="G70" s="313" t="s">
        <v>72</v>
      </c>
      <c r="H70" s="313"/>
      <c r="I70" s="346">
        <v>4605.0600000000004</v>
      </c>
      <c r="J70" s="317">
        <v>4605.0600000000004</v>
      </c>
      <c r="K70" s="317">
        <v>0</v>
      </c>
      <c r="L70" s="317">
        <v>0</v>
      </c>
      <c r="M70" s="317"/>
      <c r="N70" s="319">
        <v>0.14929999999999999</v>
      </c>
      <c r="O70" s="319">
        <v>8.2199999999999995E-2</v>
      </c>
      <c r="P70" s="319">
        <v>0.33379999999999999</v>
      </c>
      <c r="Q70" s="319">
        <v>7.3999999999999996E-2</v>
      </c>
      <c r="R70" s="319">
        <v>3.9100000000000003E-2</v>
      </c>
      <c r="S70" s="319">
        <v>0.57599999999999996</v>
      </c>
      <c r="T70" s="319">
        <v>0</v>
      </c>
      <c r="U70" s="319">
        <v>0.63149999999999995</v>
      </c>
      <c r="V70" s="319">
        <v>0</v>
      </c>
      <c r="W70" s="319">
        <v>0</v>
      </c>
      <c r="X70" s="319">
        <v>0.1545</v>
      </c>
      <c r="Y70" s="319">
        <v>0</v>
      </c>
      <c r="Z70" s="319">
        <v>2.4925999999999999</v>
      </c>
      <c r="AA70" s="319">
        <v>0.1991</v>
      </c>
      <c r="AB70" s="319">
        <v>0.29160000000000003</v>
      </c>
      <c r="AC70" s="319">
        <v>9.1800000000000007E-2</v>
      </c>
      <c r="AD70" s="319">
        <v>9.2600000000000002E-2</v>
      </c>
      <c r="AE70" s="319">
        <v>7.5899999999999995E-2</v>
      </c>
      <c r="AF70" s="319">
        <v>0.21429999999999999</v>
      </c>
      <c r="AG70" s="319">
        <v>3.1699999999999999E-2</v>
      </c>
      <c r="AH70" s="319">
        <v>0</v>
      </c>
      <c r="AI70" s="319">
        <v>1.5170999999999999</v>
      </c>
      <c r="AJ70" s="319">
        <v>1.0330999999999999</v>
      </c>
      <c r="AK70" s="319">
        <v>9.1999999999999998E-2</v>
      </c>
      <c r="AL70" s="319">
        <v>0.60129999999999995</v>
      </c>
      <c r="AM70" s="319">
        <v>5.67E-2</v>
      </c>
      <c r="AN70" s="319">
        <v>9.1999999999999998E-3</v>
      </c>
      <c r="AO70" s="319">
        <v>0.2203</v>
      </c>
      <c r="AP70" s="319">
        <v>0</v>
      </c>
      <c r="AQ70" s="319">
        <v>0</v>
      </c>
      <c r="AR70" s="319">
        <v>0.45300000000000001</v>
      </c>
      <c r="AS70" s="319">
        <v>0.45300000000000001</v>
      </c>
      <c r="AT70" s="331">
        <v>0.28439999999999999</v>
      </c>
      <c r="AU70" s="336">
        <v>9.512699999999997</v>
      </c>
      <c r="AV70" s="329">
        <v>9.512699999999997</v>
      </c>
      <c r="AW70" s="337">
        <v>5.9722999999999971</v>
      </c>
      <c r="AX70" s="334"/>
      <c r="AY70" s="323">
        <v>7.4907000000000004</v>
      </c>
      <c r="AZ70" s="323">
        <v>7.4907000000000004</v>
      </c>
      <c r="BA70" s="323">
        <v>4.9814999999999996</v>
      </c>
      <c r="BB70" s="319"/>
      <c r="BC70" s="321">
        <f t="shared" si="0"/>
        <v>1.2699347190516235</v>
      </c>
      <c r="BD70" s="321">
        <f t="shared" si="1"/>
        <v>1.2699347190516235</v>
      </c>
      <c r="BE70" s="321">
        <f t="shared" si="2"/>
        <v>1.1988959148850742</v>
      </c>
      <c r="BG70" s="22">
        <f t="shared" si="3"/>
        <v>-1.4432899320127035E-15</v>
      </c>
      <c r="BH70" s="22">
        <f t="shared" si="4"/>
        <v>-1.27675647831893E-15</v>
      </c>
      <c r="BI70" s="22">
        <f t="shared" si="5"/>
        <v>-1.27675647831893E-15</v>
      </c>
    </row>
    <row r="71" spans="2:61" x14ac:dyDescent="0.25">
      <c r="B71" s="312">
        <v>69</v>
      </c>
      <c r="C71" s="312" t="s">
        <v>597</v>
      </c>
      <c r="D71" s="312" t="s">
        <v>392</v>
      </c>
      <c r="E71" s="312">
        <v>5</v>
      </c>
      <c r="F71" s="312">
        <v>4</v>
      </c>
      <c r="G71" s="313" t="s">
        <v>73</v>
      </c>
      <c r="H71" s="313"/>
      <c r="I71" s="346">
        <v>2889.8</v>
      </c>
      <c r="J71" s="317">
        <v>2889.8</v>
      </c>
      <c r="K71" s="317">
        <v>0</v>
      </c>
      <c r="L71" s="317">
        <v>0</v>
      </c>
      <c r="M71" s="317"/>
      <c r="N71" s="319">
        <v>0.159</v>
      </c>
      <c r="O71" s="319">
        <v>8.8200000000000001E-2</v>
      </c>
      <c r="P71" s="319">
        <v>0.32469999999999999</v>
      </c>
      <c r="Q71" s="319">
        <v>7.5300000000000006E-2</v>
      </c>
      <c r="R71" s="319">
        <v>2.7699999999999999E-2</v>
      </c>
      <c r="S71" s="319">
        <v>0.47599999999999998</v>
      </c>
      <c r="T71" s="319">
        <v>0</v>
      </c>
      <c r="U71" s="319">
        <v>0.63149999999999995</v>
      </c>
      <c r="V71" s="319">
        <v>0</v>
      </c>
      <c r="W71" s="319">
        <v>0</v>
      </c>
      <c r="X71" s="319">
        <v>0.16420000000000001</v>
      </c>
      <c r="Y71" s="319">
        <v>0</v>
      </c>
      <c r="Z71" s="319">
        <v>1.4706999999999999</v>
      </c>
      <c r="AA71" s="319">
        <v>0.21079999999999999</v>
      </c>
      <c r="AB71" s="319">
        <v>0.31259999999999999</v>
      </c>
      <c r="AC71" s="319">
        <v>0.09</v>
      </c>
      <c r="AD71" s="319">
        <v>0.1104</v>
      </c>
      <c r="AE71" s="319">
        <v>5.3800000000000001E-2</v>
      </c>
      <c r="AF71" s="319">
        <v>0.1641</v>
      </c>
      <c r="AG71" s="319">
        <v>3.27E-2</v>
      </c>
      <c r="AH71" s="319">
        <v>0</v>
      </c>
      <c r="AI71" s="319">
        <v>2.9523000000000001</v>
      </c>
      <c r="AJ71" s="319">
        <v>1.1763999999999999</v>
      </c>
      <c r="AK71" s="319">
        <v>9.1800000000000007E-2</v>
      </c>
      <c r="AL71" s="319">
        <v>0.61409999999999998</v>
      </c>
      <c r="AM71" s="319">
        <v>4.82E-2</v>
      </c>
      <c r="AN71" s="319">
        <v>7.7999999999999996E-3</v>
      </c>
      <c r="AO71" s="319">
        <v>0.24</v>
      </c>
      <c r="AP71" s="319">
        <v>0</v>
      </c>
      <c r="AQ71" s="319">
        <v>0</v>
      </c>
      <c r="AR71" s="319">
        <v>0.47610000000000002</v>
      </c>
      <c r="AS71" s="319">
        <v>0.47610000000000002</v>
      </c>
      <c r="AT71" s="331">
        <v>0.22700000000000001</v>
      </c>
      <c r="AU71" s="336">
        <v>9.9984000000000002</v>
      </c>
      <c r="AV71" s="329">
        <v>9.9984000000000002</v>
      </c>
      <c r="AW71" s="337">
        <v>4.7664999999999988</v>
      </c>
      <c r="AX71" s="334"/>
      <c r="AY71" s="323">
        <v>7.8732000000000015</v>
      </c>
      <c r="AZ71" s="323">
        <v>7.8732000000000015</v>
      </c>
      <c r="BA71" s="323">
        <v>4.4175000000000004</v>
      </c>
      <c r="BB71" s="319"/>
      <c r="BC71" s="321">
        <f t="shared" si="0"/>
        <v>1.2699283645785702</v>
      </c>
      <c r="BD71" s="321">
        <f t="shared" si="1"/>
        <v>1.2699283645785702</v>
      </c>
      <c r="BE71" s="321">
        <f t="shared" si="2"/>
        <v>1.0790039615166946</v>
      </c>
      <c r="BG71" s="22">
        <f t="shared" si="3"/>
        <v>1.609823385706477E-15</v>
      </c>
      <c r="BH71" s="22">
        <f t="shared" si="4"/>
        <v>0</v>
      </c>
      <c r="BI71" s="22">
        <f t="shared" si="5"/>
        <v>-8.0491169285323849E-16</v>
      </c>
    </row>
    <row r="72" spans="2:61" x14ac:dyDescent="0.25">
      <c r="B72" s="312">
        <v>70</v>
      </c>
      <c r="C72" s="312" t="s">
        <v>599</v>
      </c>
      <c r="D72" s="312" t="s">
        <v>392</v>
      </c>
      <c r="E72" s="312">
        <v>5</v>
      </c>
      <c r="F72" s="312">
        <v>4</v>
      </c>
      <c r="G72" s="313" t="s">
        <v>74</v>
      </c>
      <c r="H72" s="313"/>
      <c r="I72" s="346">
        <v>2898.5</v>
      </c>
      <c r="J72" s="317">
        <v>2898.5</v>
      </c>
      <c r="K72" s="317">
        <v>0</v>
      </c>
      <c r="L72" s="317">
        <v>0</v>
      </c>
      <c r="M72" s="317"/>
      <c r="N72" s="319">
        <v>0.1585</v>
      </c>
      <c r="O72" s="319">
        <v>8.7900000000000006E-2</v>
      </c>
      <c r="P72" s="319">
        <v>0.32590000000000002</v>
      </c>
      <c r="Q72" s="319">
        <v>7.4099999999999999E-2</v>
      </c>
      <c r="R72" s="319">
        <v>2.9600000000000001E-2</v>
      </c>
      <c r="S72" s="319">
        <v>0.47460000000000002</v>
      </c>
      <c r="T72" s="319">
        <v>0</v>
      </c>
      <c r="U72" s="319">
        <v>0.63149999999999995</v>
      </c>
      <c r="V72" s="319">
        <v>0</v>
      </c>
      <c r="W72" s="319">
        <v>0</v>
      </c>
      <c r="X72" s="319">
        <v>0.16370000000000001</v>
      </c>
      <c r="Y72" s="319">
        <v>0</v>
      </c>
      <c r="Z72" s="319">
        <v>2.0192999999999999</v>
      </c>
      <c r="AA72" s="319">
        <v>0.21010000000000001</v>
      </c>
      <c r="AB72" s="319">
        <v>0.31169999999999998</v>
      </c>
      <c r="AC72" s="319">
        <v>8.8900000000000007E-2</v>
      </c>
      <c r="AD72" s="319">
        <v>0.1019</v>
      </c>
      <c r="AE72" s="319">
        <v>5.7599999999999998E-2</v>
      </c>
      <c r="AF72" s="319">
        <v>0.1636</v>
      </c>
      <c r="AG72" s="319">
        <v>3.2599999999999997E-2</v>
      </c>
      <c r="AH72" s="319">
        <v>0</v>
      </c>
      <c r="AI72" s="319">
        <v>2.2987000000000002</v>
      </c>
      <c r="AJ72" s="319">
        <v>1.0528</v>
      </c>
      <c r="AK72" s="319">
        <v>9.0899999999999995E-2</v>
      </c>
      <c r="AL72" s="319">
        <v>0.59019999999999995</v>
      </c>
      <c r="AM72" s="319">
        <v>5.5199999999999999E-2</v>
      </c>
      <c r="AN72" s="319">
        <v>8.9999999999999993E-3</v>
      </c>
      <c r="AO72" s="319">
        <v>0.1</v>
      </c>
      <c r="AP72" s="319">
        <v>0</v>
      </c>
      <c r="AQ72" s="319">
        <v>0</v>
      </c>
      <c r="AR72" s="319">
        <v>0.45639999999999997</v>
      </c>
      <c r="AS72" s="319">
        <v>0.45639999999999997</v>
      </c>
      <c r="AT72" s="331">
        <v>0.25430000000000003</v>
      </c>
      <c r="AU72" s="336">
        <v>9.584699999999998</v>
      </c>
      <c r="AV72" s="329">
        <v>9.584699999999998</v>
      </c>
      <c r="AW72" s="337">
        <v>5.3408999999999986</v>
      </c>
      <c r="AX72" s="334"/>
      <c r="AY72" s="323">
        <v>7.5473999999999979</v>
      </c>
      <c r="AZ72" s="323">
        <v>7.5473999999999979</v>
      </c>
      <c r="BA72" s="323">
        <v>4.6399999999999979</v>
      </c>
      <c r="BB72" s="319"/>
      <c r="BC72" s="321">
        <f t="shared" ref="BC72:BC135" si="6">AU72/AY72</f>
        <v>1.2699340170124813</v>
      </c>
      <c r="BD72" s="321">
        <f t="shared" ref="BD72:BD135" si="7">AV72/AZ72</f>
        <v>1.2699340170124813</v>
      </c>
      <c r="BE72" s="321">
        <f t="shared" ref="BE72:BE135" si="8">AW72/BA72</f>
        <v>1.1510560344827589</v>
      </c>
      <c r="BG72" s="22">
        <f t="shared" ref="BG72:BG135" si="9">AU72-N72-O72-P72-Q72-R72-S72-T72-U72-X72-Y72-Z72-AA72-AB72-AC72-AD72-AE72-AF72-AG72-AH72-AI72-AJ72-AK72-AL72-AM72-AN72-AO72-AQ72-AR72</f>
        <v>-2.7200464103316335E-15</v>
      </c>
      <c r="BH72" s="22">
        <f t="shared" ref="BH72:BH135" si="10">AV72-AS72-AQ72-AP72-AO72-AN72-AM72-AL72-AK72-AJ72-AI72-AH72-AG72-AF72-AE72-AD72-AC72-AB72-AA72-Z72-Y72-X72-W72-V72-U72-T72-S72-R72-Q72-P72-O72-N72</f>
        <v>2.2204460492503131E-16</v>
      </c>
      <c r="BI72" s="22">
        <f t="shared" ref="BI72:BI135" si="11">AW72-AT72-AQ72-AN72-AM72-AK72-AH72-AG72-AF72-AE72-AD72-AC72-AB72-AA72-Z72-Y72-X72-U72-T72-S72-R72-Q72-P72-O72-N72</f>
        <v>-1.5543122344752192E-15</v>
      </c>
    </row>
    <row r="73" spans="2:61" x14ac:dyDescent="0.25">
      <c r="B73" s="312">
        <v>71</v>
      </c>
      <c r="C73" s="312" t="s">
        <v>601</v>
      </c>
      <c r="D73" s="312" t="s">
        <v>392</v>
      </c>
      <c r="E73" s="312">
        <v>5</v>
      </c>
      <c r="F73" s="312">
        <v>4</v>
      </c>
      <c r="G73" s="313" t="s">
        <v>75</v>
      </c>
      <c r="H73" s="313"/>
      <c r="I73" s="346">
        <v>3055.3</v>
      </c>
      <c r="J73" s="317">
        <v>3055.3</v>
      </c>
      <c r="K73" s="317">
        <v>0</v>
      </c>
      <c r="L73" s="317">
        <v>0</v>
      </c>
      <c r="M73" s="317"/>
      <c r="N73" s="319">
        <v>0.1613</v>
      </c>
      <c r="O73" s="319">
        <v>8.4099999999999994E-2</v>
      </c>
      <c r="P73" s="319">
        <v>0.32590000000000002</v>
      </c>
      <c r="Q73" s="319">
        <v>7.4200000000000002E-2</v>
      </c>
      <c r="R73" s="319">
        <v>2.81E-2</v>
      </c>
      <c r="S73" s="319">
        <v>0.45019999999999999</v>
      </c>
      <c r="T73" s="319">
        <v>0</v>
      </c>
      <c r="U73" s="319">
        <v>0.63149999999999995</v>
      </c>
      <c r="V73" s="319">
        <v>0</v>
      </c>
      <c r="W73" s="319">
        <v>0</v>
      </c>
      <c r="X73" s="319">
        <v>0.15529999999999999</v>
      </c>
      <c r="Y73" s="319">
        <v>0</v>
      </c>
      <c r="Z73" s="319">
        <v>2.2795000000000001</v>
      </c>
      <c r="AA73" s="319">
        <v>0.21299999999999999</v>
      </c>
      <c r="AB73" s="319">
        <v>0.29809999999999998</v>
      </c>
      <c r="AC73" s="319">
        <v>9.0200000000000002E-2</v>
      </c>
      <c r="AD73" s="319">
        <v>0.10489999999999999</v>
      </c>
      <c r="AE73" s="319">
        <v>5.4699999999999999E-2</v>
      </c>
      <c r="AF73" s="319">
        <v>0.1552</v>
      </c>
      <c r="AG73" s="319">
        <v>3.1699999999999999E-2</v>
      </c>
      <c r="AH73" s="319">
        <v>0</v>
      </c>
      <c r="AI73" s="319">
        <v>1.7230000000000001</v>
      </c>
      <c r="AJ73" s="319">
        <v>1.0073000000000001</v>
      </c>
      <c r="AK73" s="319">
        <v>8.5300000000000001E-2</v>
      </c>
      <c r="AL73" s="319">
        <v>0.56169999999999998</v>
      </c>
      <c r="AM73" s="319">
        <v>5.2499999999999998E-2</v>
      </c>
      <c r="AN73" s="319">
        <v>8.5000000000000006E-3</v>
      </c>
      <c r="AO73" s="319">
        <v>7.4499999999999997E-2</v>
      </c>
      <c r="AP73" s="319">
        <v>0</v>
      </c>
      <c r="AQ73" s="319">
        <v>0</v>
      </c>
      <c r="AR73" s="319">
        <v>0.4325</v>
      </c>
      <c r="AS73" s="319">
        <v>0.4325</v>
      </c>
      <c r="AT73" s="331">
        <v>0.26419999999999999</v>
      </c>
      <c r="AU73" s="336">
        <v>9.0831999999999997</v>
      </c>
      <c r="AV73" s="329">
        <v>9.0831999999999997</v>
      </c>
      <c r="AW73" s="337">
        <v>5.5484</v>
      </c>
      <c r="AX73" s="334"/>
      <c r="AY73" s="323">
        <v>7.1525000000000007</v>
      </c>
      <c r="AZ73" s="323">
        <v>7.1525000000000007</v>
      </c>
      <c r="BA73" s="323">
        <v>4.7893000000000008</v>
      </c>
      <c r="BB73" s="319"/>
      <c r="BC73" s="321">
        <f t="shared" si="6"/>
        <v>1.269933589653967</v>
      </c>
      <c r="BD73" s="321">
        <f t="shared" si="7"/>
        <v>1.269933589653967</v>
      </c>
      <c r="BE73" s="321">
        <f t="shared" si="8"/>
        <v>1.1584991543649383</v>
      </c>
      <c r="BG73" s="22">
        <f t="shared" si="9"/>
        <v>-1.1102230246251565E-15</v>
      </c>
      <c r="BH73" s="22">
        <f t="shared" si="10"/>
        <v>0</v>
      </c>
      <c r="BI73" s="22">
        <f t="shared" si="11"/>
        <v>0</v>
      </c>
    </row>
    <row r="74" spans="2:61" x14ac:dyDescent="0.25">
      <c r="B74" s="312">
        <v>72</v>
      </c>
      <c r="C74" s="312" t="s">
        <v>603</v>
      </c>
      <c r="D74" s="312" t="s">
        <v>392</v>
      </c>
      <c r="E74" s="312">
        <v>5</v>
      </c>
      <c r="F74" s="312">
        <v>4</v>
      </c>
      <c r="G74" s="313" t="s">
        <v>76</v>
      </c>
      <c r="H74" s="313"/>
      <c r="I74" s="346">
        <v>2902.5</v>
      </c>
      <c r="J74" s="317">
        <v>2902.5</v>
      </c>
      <c r="K74" s="317">
        <v>0</v>
      </c>
      <c r="L74" s="317">
        <v>0</v>
      </c>
      <c r="M74" s="317"/>
      <c r="N74" s="319">
        <v>0.1623</v>
      </c>
      <c r="O74" s="319">
        <v>8.7800000000000003E-2</v>
      </c>
      <c r="P74" s="319">
        <v>0.3236</v>
      </c>
      <c r="Q74" s="319">
        <v>7.4999999999999997E-2</v>
      </c>
      <c r="R74" s="319">
        <v>2.75E-2</v>
      </c>
      <c r="S74" s="319">
        <v>0.47389999999999999</v>
      </c>
      <c r="T74" s="319">
        <v>0</v>
      </c>
      <c r="U74" s="319">
        <v>0.63149999999999995</v>
      </c>
      <c r="V74" s="319">
        <v>0</v>
      </c>
      <c r="W74" s="319">
        <v>0</v>
      </c>
      <c r="X74" s="319">
        <v>0.16350000000000001</v>
      </c>
      <c r="Y74" s="319">
        <v>0</v>
      </c>
      <c r="Z74" s="319">
        <v>1.7972999999999999</v>
      </c>
      <c r="AA74" s="319">
        <v>0.2099</v>
      </c>
      <c r="AB74" s="319">
        <v>0.31119999999999998</v>
      </c>
      <c r="AC74" s="319">
        <v>8.9700000000000002E-2</v>
      </c>
      <c r="AD74" s="319">
        <v>0.1099</v>
      </c>
      <c r="AE74" s="319">
        <v>5.3499999999999999E-2</v>
      </c>
      <c r="AF74" s="319">
        <v>0.16339999999999999</v>
      </c>
      <c r="AG74" s="319">
        <v>3.2599999999999997E-2</v>
      </c>
      <c r="AH74" s="319">
        <v>0</v>
      </c>
      <c r="AI74" s="319">
        <v>2.1261999999999999</v>
      </c>
      <c r="AJ74" s="319">
        <v>1.0604</v>
      </c>
      <c r="AK74" s="319">
        <v>8.8700000000000001E-2</v>
      </c>
      <c r="AL74" s="319">
        <v>0.59040000000000004</v>
      </c>
      <c r="AM74" s="319">
        <v>5.5300000000000002E-2</v>
      </c>
      <c r="AN74" s="319">
        <v>8.9999999999999993E-3</v>
      </c>
      <c r="AO74" s="319">
        <v>0.189</v>
      </c>
      <c r="AP74" s="319">
        <v>0</v>
      </c>
      <c r="AQ74" s="319">
        <v>0</v>
      </c>
      <c r="AR74" s="319">
        <v>0.44159999999999999</v>
      </c>
      <c r="AS74" s="319">
        <v>0.44159999999999999</v>
      </c>
      <c r="AT74" s="331">
        <v>0.24329999999999999</v>
      </c>
      <c r="AU74" s="336">
        <v>9.273200000000001</v>
      </c>
      <c r="AV74" s="329">
        <v>9.273200000000001</v>
      </c>
      <c r="AW74" s="337">
        <v>5.1089000000000011</v>
      </c>
      <c r="AX74" s="334"/>
      <c r="AY74" s="323">
        <v>7.3021000000000003</v>
      </c>
      <c r="AZ74" s="323">
        <v>7.3021000000000003</v>
      </c>
      <c r="BA74" s="323">
        <v>4.5776000000000003</v>
      </c>
      <c r="BB74" s="319"/>
      <c r="BC74" s="321">
        <f t="shared" si="6"/>
        <v>1.2699360457950453</v>
      </c>
      <c r="BD74" s="321">
        <f t="shared" si="7"/>
        <v>1.2699360457950453</v>
      </c>
      <c r="BE74" s="321">
        <f t="shared" si="8"/>
        <v>1.1160651869975535</v>
      </c>
      <c r="BG74" s="22">
        <f t="shared" si="9"/>
        <v>9.4368957093138306E-16</v>
      </c>
      <c r="BH74" s="22">
        <f t="shared" si="10"/>
        <v>1.5543122344752192E-15</v>
      </c>
      <c r="BI74" s="22">
        <f t="shared" si="11"/>
        <v>1.5543122344752192E-15</v>
      </c>
    </row>
    <row r="75" spans="2:61" x14ac:dyDescent="0.25">
      <c r="B75" s="312">
        <v>74</v>
      </c>
      <c r="C75" s="312" t="s">
        <v>607</v>
      </c>
      <c r="D75" s="312" t="s">
        <v>392</v>
      </c>
      <c r="E75" s="312">
        <v>5</v>
      </c>
      <c r="F75" s="312">
        <v>4</v>
      </c>
      <c r="G75" s="313" t="s">
        <v>77</v>
      </c>
      <c r="H75" s="313"/>
      <c r="I75" s="346">
        <v>2765.2</v>
      </c>
      <c r="J75" s="317">
        <v>2765.2</v>
      </c>
      <c r="K75" s="317">
        <v>0</v>
      </c>
      <c r="L75" s="317">
        <v>0</v>
      </c>
      <c r="M75" s="317"/>
      <c r="N75" s="319">
        <v>0.16619999999999999</v>
      </c>
      <c r="O75" s="319">
        <v>9.2100000000000001E-2</v>
      </c>
      <c r="P75" s="319">
        <v>0.32650000000000001</v>
      </c>
      <c r="Q75" s="319">
        <v>7.4200000000000002E-2</v>
      </c>
      <c r="R75" s="319">
        <v>3.1099999999999999E-2</v>
      </c>
      <c r="S75" s="319">
        <v>0.49740000000000001</v>
      </c>
      <c r="T75" s="319">
        <v>0</v>
      </c>
      <c r="U75" s="319">
        <v>0.63149999999999995</v>
      </c>
      <c r="V75" s="319">
        <v>0</v>
      </c>
      <c r="W75" s="319">
        <v>0</v>
      </c>
      <c r="X75" s="319">
        <v>0.16869999999999999</v>
      </c>
      <c r="Y75" s="319">
        <v>0</v>
      </c>
      <c r="Z75" s="319">
        <v>2.3511000000000002</v>
      </c>
      <c r="AA75" s="319">
        <v>0.2203</v>
      </c>
      <c r="AB75" s="319">
        <v>0.32669999999999999</v>
      </c>
      <c r="AC75" s="319">
        <v>8.8400000000000006E-2</v>
      </c>
      <c r="AD75" s="319">
        <v>0.1045</v>
      </c>
      <c r="AE75" s="319">
        <v>6.0400000000000002E-2</v>
      </c>
      <c r="AF75" s="319">
        <v>0.17150000000000001</v>
      </c>
      <c r="AG75" s="319">
        <v>3.3500000000000002E-2</v>
      </c>
      <c r="AH75" s="319">
        <v>0</v>
      </c>
      <c r="AI75" s="319">
        <v>1.5254000000000001</v>
      </c>
      <c r="AJ75" s="319">
        <v>1.1980999999999999</v>
      </c>
      <c r="AK75" s="319">
        <v>9.1999999999999998E-2</v>
      </c>
      <c r="AL75" s="319">
        <v>0.48039999999999999</v>
      </c>
      <c r="AM75" s="319">
        <v>5.8099999999999999E-2</v>
      </c>
      <c r="AN75" s="319">
        <v>9.4000000000000004E-3</v>
      </c>
      <c r="AO75" s="319">
        <v>0.19650000000000001</v>
      </c>
      <c r="AP75" s="319">
        <v>0</v>
      </c>
      <c r="AQ75" s="319">
        <v>0</v>
      </c>
      <c r="AR75" s="319">
        <v>0.44519999999999998</v>
      </c>
      <c r="AS75" s="319">
        <v>0.44519999999999998</v>
      </c>
      <c r="AT75" s="331">
        <v>0.2752</v>
      </c>
      <c r="AU75" s="336">
        <v>9.349199999999998</v>
      </c>
      <c r="AV75" s="329">
        <v>9.349199999999998</v>
      </c>
      <c r="AW75" s="337">
        <v>5.7787999999999977</v>
      </c>
      <c r="AX75" s="334"/>
      <c r="AY75" s="323">
        <v>7.3620000000000001</v>
      </c>
      <c r="AZ75" s="323">
        <v>7.3620000000000001</v>
      </c>
      <c r="BA75" s="323">
        <v>4.9143000000000008</v>
      </c>
      <c r="BB75" s="319"/>
      <c r="BC75" s="321">
        <f t="shared" si="6"/>
        <v>1.2699266503667479</v>
      </c>
      <c r="BD75" s="321">
        <f t="shared" si="7"/>
        <v>1.2699266503667479</v>
      </c>
      <c r="BE75" s="321">
        <f t="shared" si="8"/>
        <v>1.1759151862930624</v>
      </c>
      <c r="BG75" s="22">
        <f t="shared" si="9"/>
        <v>-2.3869795029440866E-15</v>
      </c>
      <c r="BH75" s="22">
        <f t="shared" si="10"/>
        <v>-1.2490009027033011E-15</v>
      </c>
      <c r="BI75" s="22">
        <f t="shared" si="11"/>
        <v>-1.2490009027033011E-15</v>
      </c>
    </row>
    <row r="76" spans="2:61" x14ac:dyDescent="0.25">
      <c r="B76" s="312">
        <v>75</v>
      </c>
      <c r="C76" s="312" t="s">
        <v>609</v>
      </c>
      <c r="D76" s="312" t="s">
        <v>392</v>
      </c>
      <c r="E76" s="312">
        <v>5</v>
      </c>
      <c r="F76" s="312">
        <v>4</v>
      </c>
      <c r="G76" s="313" t="s">
        <v>78</v>
      </c>
      <c r="H76" s="313"/>
      <c r="I76" s="346">
        <v>2754.9</v>
      </c>
      <c r="J76" s="317">
        <v>2754.9</v>
      </c>
      <c r="K76" s="317">
        <v>0</v>
      </c>
      <c r="L76" s="317">
        <v>0</v>
      </c>
      <c r="M76" s="317"/>
      <c r="N76" s="319">
        <v>0.1668</v>
      </c>
      <c r="O76" s="319">
        <v>9.2499999999999999E-2</v>
      </c>
      <c r="P76" s="319">
        <v>0.32519999999999999</v>
      </c>
      <c r="Q76" s="319">
        <v>7.4399999999999994E-2</v>
      </c>
      <c r="R76" s="319">
        <v>3.1199999999999999E-2</v>
      </c>
      <c r="S76" s="319">
        <v>0.49930000000000002</v>
      </c>
      <c r="T76" s="319">
        <v>0</v>
      </c>
      <c r="U76" s="319">
        <v>0.63149999999999995</v>
      </c>
      <c r="V76" s="319">
        <v>0</v>
      </c>
      <c r="W76" s="319">
        <v>0</v>
      </c>
      <c r="X76" s="319">
        <v>0.17219999999999999</v>
      </c>
      <c r="Y76" s="319">
        <v>0</v>
      </c>
      <c r="Z76" s="319">
        <v>2.6183999999999998</v>
      </c>
      <c r="AA76" s="319">
        <v>0.22109999999999999</v>
      </c>
      <c r="AB76" s="319">
        <v>0.32790000000000002</v>
      </c>
      <c r="AC76" s="319">
        <v>8.7999999999999995E-2</v>
      </c>
      <c r="AD76" s="319">
        <v>0.10489999999999999</v>
      </c>
      <c r="AE76" s="319">
        <v>6.0600000000000001E-2</v>
      </c>
      <c r="AF76" s="319">
        <v>0.1721</v>
      </c>
      <c r="AG76" s="319">
        <v>3.3599999999999998E-2</v>
      </c>
      <c r="AH76" s="319">
        <v>0</v>
      </c>
      <c r="AI76" s="319">
        <v>1.2685999999999999</v>
      </c>
      <c r="AJ76" s="319">
        <v>1.2108000000000001</v>
      </c>
      <c r="AK76" s="319">
        <v>9.2299999999999993E-2</v>
      </c>
      <c r="AL76" s="319">
        <v>0.4839</v>
      </c>
      <c r="AM76" s="319">
        <v>5.8299999999999998E-2</v>
      </c>
      <c r="AN76" s="319">
        <v>9.4999999999999998E-3</v>
      </c>
      <c r="AO76" s="319">
        <v>0.26679999999999998</v>
      </c>
      <c r="AP76" s="319">
        <v>0</v>
      </c>
      <c r="AQ76" s="319">
        <v>0</v>
      </c>
      <c r="AR76" s="319">
        <v>0.45050000000000001</v>
      </c>
      <c r="AS76" s="319">
        <v>0.45050000000000001</v>
      </c>
      <c r="AT76" s="331">
        <v>0.28899999999999998</v>
      </c>
      <c r="AU76" s="336">
        <v>9.4603999999999981</v>
      </c>
      <c r="AV76" s="329">
        <v>9.4603999999999981</v>
      </c>
      <c r="AW76" s="337">
        <v>6.0687999999999978</v>
      </c>
      <c r="AX76" s="334"/>
      <c r="AY76" s="323">
        <v>7.5801999999999987</v>
      </c>
      <c r="AZ76" s="323">
        <v>7.5801999999999987</v>
      </c>
      <c r="BA76" s="323">
        <v>4.8829999999999991</v>
      </c>
      <c r="BB76" s="319"/>
      <c r="BC76" s="321">
        <f t="shared" si="6"/>
        <v>1.2480409487876309</v>
      </c>
      <c r="BD76" s="321">
        <f t="shared" si="7"/>
        <v>1.2480409487876309</v>
      </c>
      <c r="BE76" s="321">
        <f t="shared" si="8"/>
        <v>1.2428425148474296</v>
      </c>
      <c r="BG76" s="22">
        <f t="shared" si="9"/>
        <v>-2.0539125955565396E-15</v>
      </c>
      <c r="BH76" s="22">
        <f t="shared" si="10"/>
        <v>5.8286708792820718E-16</v>
      </c>
      <c r="BI76" s="22">
        <f t="shared" si="11"/>
        <v>-1.1934897514720433E-15</v>
      </c>
    </row>
    <row r="77" spans="2:61" x14ac:dyDescent="0.25">
      <c r="B77" s="312">
        <v>76</v>
      </c>
      <c r="C77" s="312" t="s">
        <v>611</v>
      </c>
      <c r="D77" s="312" t="s">
        <v>392</v>
      </c>
      <c r="E77" s="312">
        <v>5</v>
      </c>
      <c r="F77" s="312">
        <v>4</v>
      </c>
      <c r="G77" s="313" t="s">
        <v>79</v>
      </c>
      <c r="H77" s="313"/>
      <c r="I77" s="346">
        <v>2749.2</v>
      </c>
      <c r="J77" s="317">
        <v>2749.2</v>
      </c>
      <c r="K77" s="317">
        <v>0</v>
      </c>
      <c r="L77" s="317">
        <v>0</v>
      </c>
      <c r="M77" s="317"/>
      <c r="N77" s="319">
        <v>0.16719999999999999</v>
      </c>
      <c r="O77" s="319">
        <v>9.2700000000000005E-2</v>
      </c>
      <c r="P77" s="319">
        <v>0.3251</v>
      </c>
      <c r="Q77" s="319">
        <v>7.4200000000000002E-2</v>
      </c>
      <c r="R77" s="319">
        <v>3.1300000000000001E-2</v>
      </c>
      <c r="S77" s="319">
        <v>0.50029999999999997</v>
      </c>
      <c r="T77" s="319">
        <v>0</v>
      </c>
      <c r="U77" s="319">
        <v>0.63149999999999995</v>
      </c>
      <c r="V77" s="319">
        <v>0</v>
      </c>
      <c r="W77" s="319">
        <v>0</v>
      </c>
      <c r="X77" s="319">
        <v>0.1726</v>
      </c>
      <c r="Y77" s="319">
        <v>0</v>
      </c>
      <c r="Z77" s="319">
        <v>2.5472000000000001</v>
      </c>
      <c r="AA77" s="319">
        <v>0.22159999999999999</v>
      </c>
      <c r="AB77" s="319">
        <v>0.3286</v>
      </c>
      <c r="AC77" s="319">
        <v>8.7999999999999995E-2</v>
      </c>
      <c r="AD77" s="319">
        <v>0.1051</v>
      </c>
      <c r="AE77" s="319">
        <v>6.08E-2</v>
      </c>
      <c r="AF77" s="319">
        <v>0.17249999999999999</v>
      </c>
      <c r="AG77" s="319">
        <v>3.3599999999999998E-2</v>
      </c>
      <c r="AH77" s="319">
        <v>0</v>
      </c>
      <c r="AI77" s="319">
        <v>1.4433</v>
      </c>
      <c r="AJ77" s="319">
        <v>1.1499999999999999</v>
      </c>
      <c r="AK77" s="319">
        <v>8.72E-2</v>
      </c>
      <c r="AL77" s="319">
        <v>0.51839999999999997</v>
      </c>
      <c r="AM77" s="319">
        <v>5.8400000000000001E-2</v>
      </c>
      <c r="AN77" s="319">
        <v>9.4999999999999998E-3</v>
      </c>
      <c r="AO77" s="319">
        <v>0.1205</v>
      </c>
      <c r="AP77" s="319">
        <v>0</v>
      </c>
      <c r="AQ77" s="319">
        <v>0</v>
      </c>
      <c r="AR77" s="319">
        <v>0.44700000000000001</v>
      </c>
      <c r="AS77" s="319">
        <v>0.44700000000000001</v>
      </c>
      <c r="AT77" s="331">
        <v>0.28539999999999999</v>
      </c>
      <c r="AU77" s="336">
        <v>9.3865999999999978</v>
      </c>
      <c r="AV77" s="329">
        <v>9.3865999999999978</v>
      </c>
      <c r="AW77" s="337">
        <v>5.992799999999999</v>
      </c>
      <c r="AX77" s="334"/>
      <c r="AY77" s="323">
        <v>7.3914000000000017</v>
      </c>
      <c r="AZ77" s="323">
        <v>7.3914000000000017</v>
      </c>
      <c r="BA77" s="323">
        <v>4.8618000000000006</v>
      </c>
      <c r="BB77" s="319"/>
      <c r="BC77" s="321">
        <f t="shared" si="6"/>
        <v>1.2699353302486667</v>
      </c>
      <c r="BD77" s="321">
        <f t="shared" si="7"/>
        <v>1.2699353302486667</v>
      </c>
      <c r="BE77" s="321">
        <f t="shared" si="8"/>
        <v>1.2326298901641364</v>
      </c>
      <c r="BG77" s="22">
        <f t="shared" si="9"/>
        <v>-1.5543122344752192E-15</v>
      </c>
      <c r="BH77" s="22">
        <f t="shared" si="10"/>
        <v>-5.8286708792820718E-16</v>
      </c>
      <c r="BI77" s="22">
        <f t="shared" si="11"/>
        <v>-1.4710455076283324E-15</v>
      </c>
    </row>
    <row r="78" spans="2:61" x14ac:dyDescent="0.25">
      <c r="B78" s="312">
        <v>78</v>
      </c>
      <c r="C78" s="312" t="s">
        <v>615</v>
      </c>
      <c r="D78" s="312" t="s">
        <v>392</v>
      </c>
      <c r="E78" s="312">
        <v>5</v>
      </c>
      <c r="F78" s="312">
        <v>8</v>
      </c>
      <c r="G78" s="313" t="s">
        <v>80</v>
      </c>
      <c r="H78" s="313"/>
      <c r="I78" s="346">
        <v>5829.3</v>
      </c>
      <c r="J78" s="317">
        <v>5829.3</v>
      </c>
      <c r="K78" s="317">
        <v>0</v>
      </c>
      <c r="L78" s="317">
        <v>0</v>
      </c>
      <c r="M78" s="317"/>
      <c r="N78" s="319">
        <v>0.15390000000000001</v>
      </c>
      <c r="O78" s="319">
        <v>9.3399999999999997E-2</v>
      </c>
      <c r="P78" s="319">
        <v>0.33289999999999997</v>
      </c>
      <c r="Q78" s="319">
        <v>7.5200000000000003E-2</v>
      </c>
      <c r="R78" s="319">
        <v>2.9499999999999998E-2</v>
      </c>
      <c r="S78" s="319">
        <v>0.71189999999999998</v>
      </c>
      <c r="T78" s="319">
        <v>0</v>
      </c>
      <c r="U78" s="319">
        <v>0.63149999999999995</v>
      </c>
      <c r="V78" s="319">
        <v>0</v>
      </c>
      <c r="W78" s="319">
        <v>0</v>
      </c>
      <c r="X78" s="319">
        <v>0.16139999999999999</v>
      </c>
      <c r="Y78" s="319">
        <v>0</v>
      </c>
      <c r="Z78" s="319">
        <v>2.5478000000000001</v>
      </c>
      <c r="AA78" s="319">
        <v>0.20280000000000001</v>
      </c>
      <c r="AB78" s="319">
        <v>0.3054</v>
      </c>
      <c r="AC78" s="319">
        <v>9.1600000000000001E-2</v>
      </c>
      <c r="AD78" s="319">
        <v>0.1013</v>
      </c>
      <c r="AE78" s="319">
        <v>5.7299999999999997E-2</v>
      </c>
      <c r="AF78" s="319">
        <v>0.26960000000000001</v>
      </c>
      <c r="AG78" s="319">
        <v>3.27E-2</v>
      </c>
      <c r="AH78" s="319">
        <v>0</v>
      </c>
      <c r="AI78" s="319">
        <v>1.3267</v>
      </c>
      <c r="AJ78" s="319">
        <v>1.1045</v>
      </c>
      <c r="AK78" s="319">
        <v>8.8599999999999998E-2</v>
      </c>
      <c r="AL78" s="319">
        <v>0.48930000000000001</v>
      </c>
      <c r="AM78" s="319">
        <v>5.79E-2</v>
      </c>
      <c r="AN78" s="319">
        <v>9.4000000000000004E-3</v>
      </c>
      <c r="AO78" s="319">
        <v>0.23089999999999999</v>
      </c>
      <c r="AP78" s="319">
        <v>0</v>
      </c>
      <c r="AQ78" s="319">
        <v>0</v>
      </c>
      <c r="AR78" s="319">
        <v>0.45529999999999998</v>
      </c>
      <c r="AS78" s="319">
        <v>0.45529999999999998</v>
      </c>
      <c r="AT78" s="331">
        <v>0.29770000000000002</v>
      </c>
      <c r="AU78" s="336">
        <v>9.5607999999999969</v>
      </c>
      <c r="AV78" s="329">
        <v>9.5607999999999969</v>
      </c>
      <c r="AW78" s="337">
        <v>6.2517999999999976</v>
      </c>
      <c r="AX78" s="334"/>
      <c r="AY78" s="323">
        <v>7.5285000000000002</v>
      </c>
      <c r="AZ78" s="323">
        <v>7.5285000000000002</v>
      </c>
      <c r="BA78" s="323">
        <v>5.0643000000000002</v>
      </c>
      <c r="BB78" s="319"/>
      <c r="BC78" s="321">
        <f t="shared" si="6"/>
        <v>1.2699475327090386</v>
      </c>
      <c r="BD78" s="321">
        <f t="shared" si="7"/>
        <v>1.2699475327090386</v>
      </c>
      <c r="BE78" s="321">
        <f t="shared" si="8"/>
        <v>1.2344845289576047</v>
      </c>
      <c r="BG78" s="22">
        <f t="shared" si="9"/>
        <v>-5.1625370645069779E-15</v>
      </c>
      <c r="BH78" s="22">
        <f t="shared" si="10"/>
        <v>0</v>
      </c>
      <c r="BI78" s="22">
        <f t="shared" si="11"/>
        <v>-1.0269562977782698E-15</v>
      </c>
    </row>
    <row r="79" spans="2:61" x14ac:dyDescent="0.25">
      <c r="B79" s="312">
        <v>87</v>
      </c>
      <c r="C79" s="312" t="s">
        <v>633</v>
      </c>
      <c r="D79" s="312" t="s">
        <v>392</v>
      </c>
      <c r="E79" s="312">
        <v>5</v>
      </c>
      <c r="F79" s="312">
        <v>2</v>
      </c>
      <c r="G79" s="313" t="s">
        <v>81</v>
      </c>
      <c r="H79" s="313"/>
      <c r="I79" s="346">
        <v>1727.6</v>
      </c>
      <c r="J79" s="317">
        <v>1727.6</v>
      </c>
      <c r="K79" s="317">
        <v>0</v>
      </c>
      <c r="L79" s="317">
        <v>0</v>
      </c>
      <c r="M79" s="317"/>
      <c r="N79" s="319">
        <v>0.1507</v>
      </c>
      <c r="O79" s="319">
        <v>7.5899999999999995E-2</v>
      </c>
      <c r="P79" s="319">
        <v>0.28139999999999998</v>
      </c>
      <c r="Q79" s="319">
        <v>7.0499999999999993E-2</v>
      </c>
      <c r="R79" s="319">
        <v>2.4899999999999999E-2</v>
      </c>
      <c r="S79" s="319">
        <v>0.32540000000000002</v>
      </c>
      <c r="T79" s="319">
        <v>0</v>
      </c>
      <c r="U79" s="319">
        <v>0.63149999999999995</v>
      </c>
      <c r="V79" s="319">
        <v>0</v>
      </c>
      <c r="W79" s="319">
        <v>0</v>
      </c>
      <c r="X79" s="319">
        <v>0.13730000000000001</v>
      </c>
      <c r="Y79" s="319">
        <v>0</v>
      </c>
      <c r="Z79" s="319">
        <v>0.89800000000000002</v>
      </c>
      <c r="AA79" s="319">
        <v>0.20019999999999999</v>
      </c>
      <c r="AB79" s="319">
        <v>0.26900000000000002</v>
      </c>
      <c r="AC79" s="319">
        <v>8.1900000000000001E-2</v>
      </c>
      <c r="AD79" s="319">
        <v>8.1799999999999998E-2</v>
      </c>
      <c r="AE79" s="319">
        <v>4.8399999999999999E-2</v>
      </c>
      <c r="AF79" s="319">
        <v>0.10150000000000001</v>
      </c>
      <c r="AG79" s="319">
        <v>3.5099999999999999E-2</v>
      </c>
      <c r="AH79" s="319">
        <v>0</v>
      </c>
      <c r="AI79" s="319">
        <v>2.9184000000000001</v>
      </c>
      <c r="AJ79" s="319">
        <v>1.1091</v>
      </c>
      <c r="AK79" s="319">
        <v>9.1200000000000003E-2</v>
      </c>
      <c r="AL79" s="319">
        <v>1.2326999999999999</v>
      </c>
      <c r="AM79" s="319">
        <v>6.4500000000000002E-2</v>
      </c>
      <c r="AN79" s="319">
        <v>1.0500000000000001E-2</v>
      </c>
      <c r="AO79" s="319">
        <v>0.47639999999999999</v>
      </c>
      <c r="AP79" s="319">
        <v>0</v>
      </c>
      <c r="AQ79" s="319">
        <v>0</v>
      </c>
      <c r="AR79" s="319">
        <v>0.46579999999999999</v>
      </c>
      <c r="AS79" s="319">
        <v>0.46579999999999999</v>
      </c>
      <c r="AT79" s="331">
        <v>0.17899999999999999</v>
      </c>
      <c r="AU79" s="336">
        <v>9.7821000000000016</v>
      </c>
      <c r="AV79" s="329">
        <v>9.7821000000000016</v>
      </c>
      <c r="AW79" s="337">
        <v>3.7587000000000024</v>
      </c>
      <c r="AX79" s="334"/>
      <c r="AY79" s="323">
        <v>7.7027999999999999</v>
      </c>
      <c r="AZ79" s="323">
        <v>7.7027999999999999</v>
      </c>
      <c r="BA79" s="323">
        <v>3.6713999999999989</v>
      </c>
      <c r="BB79" s="319"/>
      <c r="BC79" s="321">
        <f t="shared" si="6"/>
        <v>1.2699408007477802</v>
      </c>
      <c r="BD79" s="321">
        <f t="shared" si="7"/>
        <v>1.2699408007477802</v>
      </c>
      <c r="BE79" s="321">
        <f t="shared" si="8"/>
        <v>1.0237783951626092</v>
      </c>
      <c r="BG79" s="22">
        <f t="shared" si="9"/>
        <v>2.6090241078691179E-15</v>
      </c>
      <c r="BH79" s="22">
        <f t="shared" si="10"/>
        <v>1.3600232051658168E-15</v>
      </c>
      <c r="BI79" s="22">
        <f t="shared" si="11"/>
        <v>1.8041124150158794E-15</v>
      </c>
    </row>
    <row r="80" spans="2:61" x14ac:dyDescent="0.25">
      <c r="B80" s="312">
        <v>88</v>
      </c>
      <c r="C80" s="312" t="s">
        <v>635</v>
      </c>
      <c r="D80" s="312" t="s">
        <v>392</v>
      </c>
      <c r="E80" s="312">
        <v>5</v>
      </c>
      <c r="F80" s="312">
        <v>6</v>
      </c>
      <c r="G80" s="313" t="s">
        <v>82</v>
      </c>
      <c r="H80" s="313"/>
      <c r="I80" s="346">
        <v>3452.9</v>
      </c>
      <c r="J80" s="317">
        <v>3452.9</v>
      </c>
      <c r="K80" s="317">
        <v>0</v>
      </c>
      <c r="L80" s="317">
        <v>0</v>
      </c>
      <c r="M80" s="317"/>
      <c r="N80" s="319">
        <v>0.14660000000000001</v>
      </c>
      <c r="O80" s="319">
        <v>8.6099999999999996E-2</v>
      </c>
      <c r="P80" s="319">
        <v>0.32840000000000003</v>
      </c>
      <c r="Q80" s="319">
        <v>7.2800000000000004E-2</v>
      </c>
      <c r="R80" s="319">
        <v>3.73E-2</v>
      </c>
      <c r="S80" s="319">
        <v>0.74490000000000001</v>
      </c>
      <c r="T80" s="319">
        <v>0</v>
      </c>
      <c r="U80" s="319">
        <v>0.63149999999999995</v>
      </c>
      <c r="V80" s="319">
        <v>0</v>
      </c>
      <c r="W80" s="319">
        <v>0</v>
      </c>
      <c r="X80" s="319">
        <v>0.13739999999999999</v>
      </c>
      <c r="Y80" s="319">
        <v>0</v>
      </c>
      <c r="Z80" s="319">
        <v>1.4334</v>
      </c>
      <c r="AA80" s="319">
        <v>0.1928</v>
      </c>
      <c r="AB80" s="319">
        <v>0.3054</v>
      </c>
      <c r="AC80" s="319">
        <v>9.1700000000000004E-2</v>
      </c>
      <c r="AD80" s="319">
        <v>8.5999999999999993E-2</v>
      </c>
      <c r="AE80" s="319">
        <v>7.2599999999999998E-2</v>
      </c>
      <c r="AF80" s="319">
        <v>0.26250000000000001</v>
      </c>
      <c r="AG80" s="319">
        <v>3.6999999999999998E-2</v>
      </c>
      <c r="AH80" s="319">
        <v>0</v>
      </c>
      <c r="AI80" s="319">
        <v>2.4607000000000001</v>
      </c>
      <c r="AJ80" s="319">
        <v>1.3976</v>
      </c>
      <c r="AK80" s="319">
        <v>0.1038</v>
      </c>
      <c r="AL80" s="319">
        <v>0.68089999999999995</v>
      </c>
      <c r="AM80" s="319">
        <v>6.5299999999999997E-2</v>
      </c>
      <c r="AN80" s="319">
        <v>1.06E-2</v>
      </c>
      <c r="AO80" s="319">
        <v>0.32979999999999998</v>
      </c>
      <c r="AP80" s="319">
        <v>0</v>
      </c>
      <c r="AQ80" s="319">
        <v>0</v>
      </c>
      <c r="AR80" s="319">
        <v>0.48580000000000001</v>
      </c>
      <c r="AS80" s="319">
        <v>0.48580000000000001</v>
      </c>
      <c r="AT80" s="331">
        <v>0.24229999999999999</v>
      </c>
      <c r="AU80" s="336">
        <v>10.200900000000001</v>
      </c>
      <c r="AV80" s="329">
        <v>10.200900000000001</v>
      </c>
      <c r="AW80" s="337">
        <v>5.0884000000000018</v>
      </c>
      <c r="AX80" s="334"/>
      <c r="AY80" s="323">
        <v>8.0327000000000002</v>
      </c>
      <c r="AZ80" s="323">
        <v>8.0327000000000002</v>
      </c>
      <c r="BA80" s="323">
        <v>4.2631000000000006</v>
      </c>
      <c r="BB80" s="319"/>
      <c r="BC80" s="321">
        <f t="shared" si="6"/>
        <v>1.2699216950713956</v>
      </c>
      <c r="BD80" s="321">
        <f t="shared" si="7"/>
        <v>1.2699216950713956</v>
      </c>
      <c r="BE80" s="321">
        <f t="shared" si="8"/>
        <v>1.1935915179095027</v>
      </c>
      <c r="BG80" s="22">
        <f t="shared" si="9"/>
        <v>1.3322676295501878E-15</v>
      </c>
      <c r="BH80" s="22">
        <f t="shared" si="10"/>
        <v>5.5511151231257827E-16</v>
      </c>
      <c r="BI80" s="22">
        <f t="shared" si="11"/>
        <v>5.5511151231257827E-16</v>
      </c>
    </row>
    <row r="81" spans="2:61" x14ac:dyDescent="0.25">
      <c r="B81" s="312">
        <v>89</v>
      </c>
      <c r="C81" s="312" t="s">
        <v>637</v>
      </c>
      <c r="D81" s="312" t="s">
        <v>393</v>
      </c>
      <c r="E81" s="312">
        <v>5</v>
      </c>
      <c r="F81" s="312">
        <v>4</v>
      </c>
      <c r="G81" s="313" t="s">
        <v>83</v>
      </c>
      <c r="H81" s="313"/>
      <c r="I81" s="346">
        <v>2761.65</v>
      </c>
      <c r="J81" s="317">
        <v>2579.15</v>
      </c>
      <c r="K81" s="317">
        <v>0</v>
      </c>
      <c r="L81" s="317">
        <v>182.5</v>
      </c>
      <c r="M81" s="317"/>
      <c r="N81" s="319">
        <v>0.1638</v>
      </c>
      <c r="O81" s="319">
        <v>9.2200000000000004E-2</v>
      </c>
      <c r="P81" s="319">
        <v>0.32429999999999998</v>
      </c>
      <c r="Q81" s="319">
        <v>7.4300000000000005E-2</v>
      </c>
      <c r="R81" s="319">
        <v>3.1099999999999999E-2</v>
      </c>
      <c r="S81" s="319">
        <v>0.48770000000000002</v>
      </c>
      <c r="T81" s="319">
        <v>0</v>
      </c>
      <c r="U81" s="319">
        <v>0.63149999999999995</v>
      </c>
      <c r="V81" s="319">
        <v>0</v>
      </c>
      <c r="W81" s="319">
        <v>0</v>
      </c>
      <c r="X81" s="319">
        <v>0.16889999999999999</v>
      </c>
      <c r="Y81" s="319">
        <v>0</v>
      </c>
      <c r="Z81" s="319">
        <v>2.5303</v>
      </c>
      <c r="AA81" s="319">
        <v>0.22109999999999999</v>
      </c>
      <c r="AB81" s="319">
        <v>0.3271</v>
      </c>
      <c r="AC81" s="319">
        <v>8.8099999999999998E-2</v>
      </c>
      <c r="AD81" s="319">
        <v>0.10299999999999999</v>
      </c>
      <c r="AE81" s="319">
        <v>6.0499999999999998E-2</v>
      </c>
      <c r="AF81" s="319">
        <v>0.16650000000000001</v>
      </c>
      <c r="AG81" s="319">
        <v>3.2599999999999997E-2</v>
      </c>
      <c r="AH81" s="319">
        <v>0</v>
      </c>
      <c r="AI81" s="319">
        <v>1.3284</v>
      </c>
      <c r="AJ81" s="319">
        <v>1.2096</v>
      </c>
      <c r="AK81" s="319">
        <v>8.8400000000000006E-2</v>
      </c>
      <c r="AL81" s="319">
        <v>0.65439999999999998</v>
      </c>
      <c r="AM81" s="319">
        <v>5.2999999999999999E-2</v>
      </c>
      <c r="AN81" s="319">
        <v>8.6E-3</v>
      </c>
      <c r="AO81" s="319">
        <v>0.28089999999999998</v>
      </c>
      <c r="AP81" s="319">
        <v>0</v>
      </c>
      <c r="AQ81" s="319">
        <v>0</v>
      </c>
      <c r="AR81" s="319">
        <v>0.45629999999999998</v>
      </c>
      <c r="AS81" s="319">
        <v>0.45629999999999998</v>
      </c>
      <c r="AT81" s="331">
        <v>0.28270000000000001</v>
      </c>
      <c r="AU81" s="336">
        <v>9.5826000000000029</v>
      </c>
      <c r="AV81" s="329">
        <v>9.5826000000000029</v>
      </c>
      <c r="AW81" s="337">
        <v>5.9357000000000006</v>
      </c>
      <c r="AX81" s="334"/>
      <c r="AY81" s="323">
        <v>7.5458000000000007</v>
      </c>
      <c r="AZ81" s="323">
        <v>7.5458000000000007</v>
      </c>
      <c r="BA81" s="323">
        <v>4.9328000000000003</v>
      </c>
      <c r="BB81" s="319"/>
      <c r="BC81" s="321">
        <f t="shared" si="6"/>
        <v>1.2699249913859367</v>
      </c>
      <c r="BD81" s="321">
        <f t="shared" si="7"/>
        <v>1.2699249913859367</v>
      </c>
      <c r="BE81" s="321">
        <f t="shared" si="8"/>
        <v>1.2033125202724619</v>
      </c>
      <c r="BG81" s="22">
        <f t="shared" si="9"/>
        <v>3.3306690738754696E-15</v>
      </c>
      <c r="BH81" s="22">
        <f t="shared" si="10"/>
        <v>0</v>
      </c>
      <c r="BI81" s="22">
        <f t="shared" si="11"/>
        <v>0</v>
      </c>
    </row>
    <row r="82" spans="2:61" x14ac:dyDescent="0.25">
      <c r="B82" s="312">
        <v>92</v>
      </c>
      <c r="C82" s="312" t="s">
        <v>644</v>
      </c>
      <c r="D82" s="312" t="s">
        <v>393</v>
      </c>
      <c r="E82" s="312">
        <v>5</v>
      </c>
      <c r="F82" s="312">
        <v>8</v>
      </c>
      <c r="G82" s="313" t="s">
        <v>84</v>
      </c>
      <c r="H82" s="313"/>
      <c r="I82" s="346">
        <v>6738.02</v>
      </c>
      <c r="J82" s="317">
        <v>6734.02</v>
      </c>
      <c r="K82" s="317">
        <v>0</v>
      </c>
      <c r="L82" s="317">
        <v>4</v>
      </c>
      <c r="M82" s="317"/>
      <c r="N82" s="319">
        <v>0.21659999999999999</v>
      </c>
      <c r="O82" s="319">
        <v>0.10929999999999999</v>
      </c>
      <c r="P82" s="319">
        <v>0.33860000000000001</v>
      </c>
      <c r="Q82" s="319">
        <v>0</v>
      </c>
      <c r="R82" s="319">
        <v>0</v>
      </c>
      <c r="S82" s="319">
        <v>0.71140000000000003</v>
      </c>
      <c r="T82" s="319">
        <v>0</v>
      </c>
      <c r="U82" s="319">
        <v>0.62080000000000002</v>
      </c>
      <c r="V82" s="319">
        <v>0</v>
      </c>
      <c r="W82" s="319">
        <v>0</v>
      </c>
      <c r="X82" s="319">
        <v>0.4788</v>
      </c>
      <c r="Y82" s="319">
        <v>0</v>
      </c>
      <c r="Z82" s="319">
        <v>1.9858</v>
      </c>
      <c r="AA82" s="319">
        <v>0.29970000000000002</v>
      </c>
      <c r="AB82" s="319">
        <v>0.37030000000000002</v>
      </c>
      <c r="AC82" s="319">
        <v>9.3100000000000002E-2</v>
      </c>
      <c r="AD82" s="319">
        <v>0</v>
      </c>
      <c r="AE82" s="319">
        <v>0</v>
      </c>
      <c r="AF82" s="319">
        <v>0.2777</v>
      </c>
      <c r="AG82" s="319">
        <v>3.39E-2</v>
      </c>
      <c r="AH82" s="319">
        <v>0</v>
      </c>
      <c r="AI82" s="319">
        <v>1.7058</v>
      </c>
      <c r="AJ82" s="319">
        <v>0.91849999999999998</v>
      </c>
      <c r="AK82" s="319">
        <v>9.1600000000000001E-2</v>
      </c>
      <c r="AL82" s="319">
        <v>0.56230000000000002</v>
      </c>
      <c r="AM82" s="319">
        <v>5.0200000000000002E-2</v>
      </c>
      <c r="AN82" s="319">
        <v>8.0999999999999996E-3</v>
      </c>
      <c r="AO82" s="319">
        <v>0.2306</v>
      </c>
      <c r="AP82" s="319">
        <v>0</v>
      </c>
      <c r="AQ82" s="319">
        <v>0</v>
      </c>
      <c r="AR82" s="319">
        <v>0.45519999999999999</v>
      </c>
      <c r="AS82" s="319">
        <v>0.45519999999999999</v>
      </c>
      <c r="AT82" s="331">
        <v>0.2843</v>
      </c>
      <c r="AU82" s="336">
        <v>9.5583000000000027</v>
      </c>
      <c r="AV82" s="329">
        <v>9.5583000000000027</v>
      </c>
      <c r="AW82" s="337">
        <v>5.9702000000000019</v>
      </c>
      <c r="AX82" s="334"/>
      <c r="AY82" s="323">
        <v>7.5601000000000003</v>
      </c>
      <c r="AZ82" s="323">
        <v>7.5601000000000003</v>
      </c>
      <c r="BA82" s="323">
        <v>5.0677999999999992</v>
      </c>
      <c r="BB82" s="319"/>
      <c r="BC82" s="321">
        <f t="shared" si="6"/>
        <v>1.2643086731656992</v>
      </c>
      <c r="BD82" s="321">
        <f t="shared" si="7"/>
        <v>1.2643086731656992</v>
      </c>
      <c r="BE82" s="321">
        <f t="shared" si="8"/>
        <v>1.1780654327321527</v>
      </c>
      <c r="BG82" s="22">
        <f t="shared" si="9"/>
        <v>5.0515147620444623E-15</v>
      </c>
      <c r="BH82" s="22">
        <f t="shared" si="10"/>
        <v>9.7144514654701197E-16</v>
      </c>
      <c r="BI82" s="22">
        <f t="shared" si="11"/>
        <v>1.8596235662471372E-15</v>
      </c>
    </row>
    <row r="83" spans="2:61" x14ac:dyDescent="0.25">
      <c r="B83" s="312">
        <v>93</v>
      </c>
      <c r="C83" s="312" t="s">
        <v>646</v>
      </c>
      <c r="D83" s="312" t="s">
        <v>393</v>
      </c>
      <c r="E83" s="312">
        <v>5</v>
      </c>
      <c r="F83" s="312">
        <v>5</v>
      </c>
      <c r="G83" s="313" t="s">
        <v>85</v>
      </c>
      <c r="H83" s="313"/>
      <c r="I83" s="346">
        <v>4748.03</v>
      </c>
      <c r="J83" s="317">
        <v>4748.03</v>
      </c>
      <c r="K83" s="317">
        <v>0</v>
      </c>
      <c r="L83" s="317">
        <v>0</v>
      </c>
      <c r="M83" s="317"/>
      <c r="N83" s="319">
        <v>0.1641</v>
      </c>
      <c r="O83" s="319">
        <v>9.9099999999999994E-2</v>
      </c>
      <c r="P83" s="319">
        <v>0.33379999999999999</v>
      </c>
      <c r="Q83" s="319">
        <v>0</v>
      </c>
      <c r="R83" s="319">
        <v>1.6799999999999999E-2</v>
      </c>
      <c r="S83" s="319">
        <v>0.2797</v>
      </c>
      <c r="T83" s="319">
        <v>0</v>
      </c>
      <c r="U83" s="319">
        <v>0.62080000000000002</v>
      </c>
      <c r="V83" s="319">
        <v>0</v>
      </c>
      <c r="W83" s="319">
        <v>0</v>
      </c>
      <c r="X83" s="319">
        <v>0.74939999999999996</v>
      </c>
      <c r="Y83" s="319">
        <v>0</v>
      </c>
      <c r="Z83" s="319">
        <v>1.9065000000000001</v>
      </c>
      <c r="AA83" s="319">
        <v>0.2225</v>
      </c>
      <c r="AB83" s="319">
        <v>0.35149999999999998</v>
      </c>
      <c r="AC83" s="319">
        <v>9.5600000000000004E-2</v>
      </c>
      <c r="AD83" s="319">
        <v>0</v>
      </c>
      <c r="AE83" s="319">
        <v>3.27E-2</v>
      </c>
      <c r="AF83" s="319">
        <v>0.1042</v>
      </c>
      <c r="AG83" s="319">
        <v>5.0099999999999999E-2</v>
      </c>
      <c r="AH83" s="319">
        <v>0</v>
      </c>
      <c r="AI83" s="319">
        <v>2.6598999999999999</v>
      </c>
      <c r="AJ83" s="319">
        <v>1.5610999999999999</v>
      </c>
      <c r="AK83" s="319">
        <v>0.11020000000000001</v>
      </c>
      <c r="AL83" s="319">
        <v>0.45250000000000001</v>
      </c>
      <c r="AM83" s="319">
        <v>5.21E-2</v>
      </c>
      <c r="AN83" s="319">
        <v>8.5000000000000006E-3</v>
      </c>
      <c r="AO83" s="319">
        <v>0.87209999999999999</v>
      </c>
      <c r="AP83" s="319">
        <v>0</v>
      </c>
      <c r="AQ83" s="319">
        <v>0</v>
      </c>
      <c r="AR83" s="319">
        <v>0.53720000000000001</v>
      </c>
      <c r="AS83" s="319">
        <v>0.53720000000000001</v>
      </c>
      <c r="AT83" s="331">
        <v>0.25990000000000002</v>
      </c>
      <c r="AU83" s="336">
        <v>11.2804</v>
      </c>
      <c r="AV83" s="329">
        <v>11.2804</v>
      </c>
      <c r="AW83" s="337">
        <v>5.4574999999999996</v>
      </c>
      <c r="AX83" s="334"/>
      <c r="AY83" s="323">
        <v>8.8826999999999998</v>
      </c>
      <c r="AZ83" s="323">
        <v>8.8826999999999998</v>
      </c>
      <c r="BA83" s="323">
        <v>4.7101000000000006</v>
      </c>
      <c r="BB83" s="319"/>
      <c r="BC83" s="321">
        <f t="shared" si="6"/>
        <v>1.2699291881972825</v>
      </c>
      <c r="BD83" s="321">
        <f t="shared" si="7"/>
        <v>1.2699291881972825</v>
      </c>
      <c r="BE83" s="321">
        <f t="shared" si="8"/>
        <v>1.1586802827965434</v>
      </c>
      <c r="BG83" s="22">
        <f t="shared" si="9"/>
        <v>2.2204460492503131E-15</v>
      </c>
      <c r="BH83" s="22">
        <f t="shared" si="10"/>
        <v>0</v>
      </c>
      <c r="BI83" s="22">
        <f t="shared" si="11"/>
        <v>0</v>
      </c>
    </row>
    <row r="84" spans="2:61" x14ac:dyDescent="0.25">
      <c r="B84" s="312">
        <v>94</v>
      </c>
      <c r="C84" s="312" t="s">
        <v>648</v>
      </c>
      <c r="D84" s="312" t="s">
        <v>393</v>
      </c>
      <c r="E84" s="312">
        <v>5</v>
      </c>
      <c r="F84" s="312">
        <v>4</v>
      </c>
      <c r="G84" s="313" t="s">
        <v>86</v>
      </c>
      <c r="H84" s="313"/>
      <c r="I84" s="346">
        <v>2891.9</v>
      </c>
      <c r="J84" s="317">
        <v>2891.9</v>
      </c>
      <c r="K84" s="317">
        <v>0</v>
      </c>
      <c r="L84" s="317">
        <v>0</v>
      </c>
      <c r="M84" s="317"/>
      <c r="N84" s="319">
        <v>0.15890000000000001</v>
      </c>
      <c r="O84" s="319">
        <v>8.8099999999999998E-2</v>
      </c>
      <c r="P84" s="319">
        <v>0.3261</v>
      </c>
      <c r="Q84" s="319">
        <v>7.4700000000000003E-2</v>
      </c>
      <c r="R84" s="319">
        <v>2.76E-2</v>
      </c>
      <c r="S84" s="319">
        <v>0.47560000000000002</v>
      </c>
      <c r="T84" s="319">
        <v>0</v>
      </c>
      <c r="U84" s="319">
        <v>0.63149999999999995</v>
      </c>
      <c r="V84" s="319">
        <v>0</v>
      </c>
      <c r="W84" s="319">
        <v>0</v>
      </c>
      <c r="X84" s="319">
        <v>0.1641</v>
      </c>
      <c r="Y84" s="319">
        <v>0</v>
      </c>
      <c r="Z84" s="319">
        <v>1.6325000000000001</v>
      </c>
      <c r="AA84" s="319">
        <v>0.21060000000000001</v>
      </c>
      <c r="AB84" s="319">
        <v>0.31240000000000001</v>
      </c>
      <c r="AC84" s="319">
        <v>8.8300000000000003E-2</v>
      </c>
      <c r="AD84" s="319">
        <v>0.1081</v>
      </c>
      <c r="AE84" s="319">
        <v>5.3699999999999998E-2</v>
      </c>
      <c r="AF84" s="319">
        <v>0.16400000000000001</v>
      </c>
      <c r="AG84" s="319">
        <v>3.27E-2</v>
      </c>
      <c r="AH84" s="319">
        <v>0</v>
      </c>
      <c r="AI84" s="319">
        <v>2.7258</v>
      </c>
      <c r="AJ84" s="319">
        <v>1.2628999999999999</v>
      </c>
      <c r="AK84" s="319">
        <v>9.0899999999999995E-2</v>
      </c>
      <c r="AL84" s="319">
        <v>0.59319999999999995</v>
      </c>
      <c r="AM84" s="319">
        <v>5.5399999999999998E-2</v>
      </c>
      <c r="AN84" s="319">
        <v>8.9999999999999993E-3</v>
      </c>
      <c r="AO84" s="319">
        <v>0.20219999999999999</v>
      </c>
      <c r="AP84" s="319">
        <v>0</v>
      </c>
      <c r="AQ84" s="319">
        <v>0</v>
      </c>
      <c r="AR84" s="319">
        <v>0.47439999999999999</v>
      </c>
      <c r="AS84" s="319">
        <v>0.47439999999999999</v>
      </c>
      <c r="AT84" s="331">
        <v>0.23519999999999999</v>
      </c>
      <c r="AU84" s="336">
        <v>9.9626999999999981</v>
      </c>
      <c r="AV84" s="329">
        <v>9.9626999999999981</v>
      </c>
      <c r="AW84" s="337">
        <v>4.9394</v>
      </c>
      <c r="AX84" s="334"/>
      <c r="AY84" s="323">
        <v>7.8451000000000004</v>
      </c>
      <c r="AZ84" s="323">
        <v>7.8451000000000004</v>
      </c>
      <c r="BA84" s="323">
        <v>4.4393000000000011</v>
      </c>
      <c r="BB84" s="319"/>
      <c r="BC84" s="321">
        <f t="shared" si="6"/>
        <v>1.2699264509056605</v>
      </c>
      <c r="BD84" s="321">
        <f t="shared" si="7"/>
        <v>1.2699264509056605</v>
      </c>
      <c r="BE84" s="321">
        <f t="shared" si="8"/>
        <v>1.1126528957268036</v>
      </c>
      <c r="BG84" s="22">
        <f t="shared" si="9"/>
        <v>-1.4432899320127035E-15</v>
      </c>
      <c r="BH84" s="22">
        <f t="shared" si="10"/>
        <v>-8.6042284408449632E-16</v>
      </c>
      <c r="BI84" s="22">
        <f t="shared" si="11"/>
        <v>-8.6042284408449632E-16</v>
      </c>
    </row>
    <row r="85" spans="2:61" x14ac:dyDescent="0.25">
      <c r="B85" s="312">
        <v>95</v>
      </c>
      <c r="C85" s="312" t="s">
        <v>650</v>
      </c>
      <c r="D85" s="312" t="s">
        <v>393</v>
      </c>
      <c r="E85" s="312">
        <v>5</v>
      </c>
      <c r="F85" s="312">
        <v>6</v>
      </c>
      <c r="G85" s="313" t="s">
        <v>87</v>
      </c>
      <c r="H85" s="313"/>
      <c r="I85" s="346">
        <v>4480.54</v>
      </c>
      <c r="J85" s="317">
        <v>4480.54</v>
      </c>
      <c r="K85" s="317">
        <v>0</v>
      </c>
      <c r="L85" s="317">
        <v>0</v>
      </c>
      <c r="M85" s="317"/>
      <c r="N85" s="319">
        <v>0.1515</v>
      </c>
      <c r="O85" s="319">
        <v>8.4500000000000006E-2</v>
      </c>
      <c r="P85" s="319">
        <v>0.33029999999999998</v>
      </c>
      <c r="Q85" s="319">
        <v>0</v>
      </c>
      <c r="R85" s="319">
        <v>3.1199999999999999E-2</v>
      </c>
      <c r="S85" s="319">
        <v>0.5847</v>
      </c>
      <c r="T85" s="319">
        <v>0</v>
      </c>
      <c r="U85" s="319">
        <v>0.62080000000000002</v>
      </c>
      <c r="V85" s="319">
        <v>0</v>
      </c>
      <c r="W85" s="319">
        <v>0</v>
      </c>
      <c r="X85" s="319">
        <v>0.28589999999999999</v>
      </c>
      <c r="Y85" s="319">
        <v>0</v>
      </c>
      <c r="Z85" s="319">
        <v>2.1415999999999999</v>
      </c>
      <c r="AA85" s="319">
        <v>0.2044</v>
      </c>
      <c r="AB85" s="319">
        <v>0.29949999999999999</v>
      </c>
      <c r="AC85" s="319">
        <v>9.1200000000000003E-2</v>
      </c>
      <c r="AD85" s="319">
        <v>0</v>
      </c>
      <c r="AE85" s="319">
        <v>6.0699999999999997E-2</v>
      </c>
      <c r="AF85" s="319">
        <v>0.2203</v>
      </c>
      <c r="AG85" s="319">
        <v>3.2199999999999999E-2</v>
      </c>
      <c r="AH85" s="319">
        <v>0</v>
      </c>
      <c r="AI85" s="319">
        <v>2.7978000000000001</v>
      </c>
      <c r="AJ85" s="319">
        <v>1.0450999999999999</v>
      </c>
      <c r="AK85" s="319">
        <v>8.5599999999999996E-2</v>
      </c>
      <c r="AL85" s="319">
        <v>0.60550000000000004</v>
      </c>
      <c r="AM85" s="319">
        <v>4.9599999999999998E-2</v>
      </c>
      <c r="AN85" s="319">
        <v>8.0999999999999996E-3</v>
      </c>
      <c r="AO85" s="319">
        <v>0.2079</v>
      </c>
      <c r="AP85" s="319">
        <v>0</v>
      </c>
      <c r="AQ85" s="319">
        <v>0</v>
      </c>
      <c r="AR85" s="319">
        <v>0.49690000000000001</v>
      </c>
      <c r="AS85" s="319">
        <v>0.49690000000000001</v>
      </c>
      <c r="AT85" s="331">
        <v>0.2641</v>
      </c>
      <c r="AU85" s="336">
        <v>10.435299999999998</v>
      </c>
      <c r="AV85" s="329">
        <v>10.435299999999998</v>
      </c>
      <c r="AW85" s="337">
        <v>5.546199999999998</v>
      </c>
      <c r="AX85" s="334"/>
      <c r="AY85" s="323">
        <v>8.2173999999999996</v>
      </c>
      <c r="AZ85" s="323">
        <v>8.2173999999999996</v>
      </c>
      <c r="BA85" s="323">
        <v>4.8747999999999987</v>
      </c>
      <c r="BB85" s="319"/>
      <c r="BC85" s="321">
        <f t="shared" si="6"/>
        <v>1.2699028889916517</v>
      </c>
      <c r="BD85" s="321">
        <f t="shared" si="7"/>
        <v>1.2699028889916517</v>
      </c>
      <c r="BE85" s="321">
        <f t="shared" si="8"/>
        <v>1.1377287273324033</v>
      </c>
      <c r="BG85" s="22">
        <f t="shared" si="9"/>
        <v>-1.6653345369377348E-15</v>
      </c>
      <c r="BH85" s="22">
        <f t="shared" si="10"/>
        <v>-7.4940054162198066E-16</v>
      </c>
      <c r="BI85" s="22">
        <f t="shared" si="11"/>
        <v>-7.4940054162198066E-16</v>
      </c>
    </row>
    <row r="86" spans="2:61" x14ac:dyDescent="0.25">
      <c r="B86" s="312">
        <v>96</v>
      </c>
      <c r="C86" s="312" t="s">
        <v>652</v>
      </c>
      <c r="D86" s="312" t="s">
        <v>393</v>
      </c>
      <c r="E86" s="312">
        <v>5</v>
      </c>
      <c r="F86" s="312">
        <v>4</v>
      </c>
      <c r="G86" s="313" t="s">
        <v>88</v>
      </c>
      <c r="H86" s="313"/>
      <c r="I86" s="346">
        <v>2737.1</v>
      </c>
      <c r="J86" s="317">
        <v>2677.1</v>
      </c>
      <c r="K86" s="317">
        <v>0</v>
      </c>
      <c r="L86" s="317">
        <v>60</v>
      </c>
      <c r="M86" s="317"/>
      <c r="N86" s="319">
        <v>0.1653</v>
      </c>
      <c r="O86" s="319">
        <v>9.3100000000000002E-2</v>
      </c>
      <c r="P86" s="319">
        <v>0.3246</v>
      </c>
      <c r="Q86" s="319">
        <v>7.4099999999999999E-2</v>
      </c>
      <c r="R86" s="319">
        <v>3.0700000000000002E-2</v>
      </c>
      <c r="S86" s="319">
        <v>0.48559999999999998</v>
      </c>
      <c r="T86" s="319">
        <v>0</v>
      </c>
      <c r="U86" s="319">
        <v>0.63149999999999995</v>
      </c>
      <c r="V86" s="319">
        <v>0</v>
      </c>
      <c r="W86" s="319">
        <v>0</v>
      </c>
      <c r="X86" s="319">
        <v>0.17330000000000001</v>
      </c>
      <c r="Y86" s="319">
        <v>0</v>
      </c>
      <c r="Z86" s="319">
        <v>2.5390999999999999</v>
      </c>
      <c r="AA86" s="319">
        <v>0.22459999999999999</v>
      </c>
      <c r="AB86" s="319">
        <v>0.33929999999999999</v>
      </c>
      <c r="AC86" s="319">
        <v>8.7599999999999997E-2</v>
      </c>
      <c r="AD86" s="319">
        <v>0.1021</v>
      </c>
      <c r="AE86" s="319">
        <v>5.96E-2</v>
      </c>
      <c r="AF86" s="319">
        <v>0.1734</v>
      </c>
      <c r="AG86" s="319">
        <v>3.3700000000000001E-2</v>
      </c>
      <c r="AH86" s="319">
        <v>0</v>
      </c>
      <c r="AI86" s="319">
        <v>1.7231000000000001</v>
      </c>
      <c r="AJ86" s="319">
        <v>1.1539999999999999</v>
      </c>
      <c r="AK86" s="319">
        <v>9.2700000000000005E-2</v>
      </c>
      <c r="AL86" s="319">
        <v>0.61250000000000004</v>
      </c>
      <c r="AM86" s="319">
        <v>5.8500000000000003E-2</v>
      </c>
      <c r="AN86" s="319">
        <v>9.4999999999999998E-3</v>
      </c>
      <c r="AO86" s="319">
        <v>0.33829999999999999</v>
      </c>
      <c r="AP86" s="319">
        <v>0</v>
      </c>
      <c r="AQ86" s="319">
        <v>0</v>
      </c>
      <c r="AR86" s="319">
        <v>0.4763</v>
      </c>
      <c r="AS86" s="319">
        <v>0.4763</v>
      </c>
      <c r="AT86" s="331">
        <v>0.28489999999999999</v>
      </c>
      <c r="AU86" s="336">
        <v>10.0025</v>
      </c>
      <c r="AV86" s="329">
        <v>10.0025</v>
      </c>
      <c r="AW86" s="337">
        <v>5.9831999999999983</v>
      </c>
      <c r="AX86" s="334"/>
      <c r="AY86" s="323">
        <v>7.8763999999999994</v>
      </c>
      <c r="AZ86" s="323">
        <v>7.8763999999999994</v>
      </c>
      <c r="BA86" s="323">
        <v>4.9275000000000002</v>
      </c>
      <c r="BB86" s="319"/>
      <c r="BC86" s="321">
        <f t="shared" si="6"/>
        <v>1.2699329642984105</v>
      </c>
      <c r="BD86" s="321">
        <f t="shared" si="7"/>
        <v>1.2699329642984105</v>
      </c>
      <c r="BE86" s="321">
        <f t="shared" si="8"/>
        <v>1.2142465753424654</v>
      </c>
      <c r="BG86" s="22">
        <f t="shared" si="9"/>
        <v>3.6637359812630166E-15</v>
      </c>
      <c r="BH86" s="22">
        <f t="shared" si="10"/>
        <v>-1.1657341758564144E-15</v>
      </c>
      <c r="BI86" s="22">
        <f t="shared" si="11"/>
        <v>-1.1657341758564144E-15</v>
      </c>
    </row>
    <row r="87" spans="2:61" x14ac:dyDescent="0.25">
      <c r="B87" s="312">
        <v>97</v>
      </c>
      <c r="C87" s="312" t="s">
        <v>654</v>
      </c>
      <c r="D87" s="312" t="s">
        <v>393</v>
      </c>
      <c r="E87" s="312">
        <v>5</v>
      </c>
      <c r="F87" s="312">
        <v>4</v>
      </c>
      <c r="G87" s="313" t="s">
        <v>89</v>
      </c>
      <c r="H87" s="313"/>
      <c r="I87" s="346">
        <v>2781.8</v>
      </c>
      <c r="J87" s="317">
        <v>2781.8</v>
      </c>
      <c r="K87" s="317">
        <v>0</v>
      </c>
      <c r="L87" s="317">
        <v>0</v>
      </c>
      <c r="M87" s="317"/>
      <c r="N87" s="319">
        <v>0.16520000000000001</v>
      </c>
      <c r="O87" s="319">
        <v>9.1600000000000001E-2</v>
      </c>
      <c r="P87" s="319">
        <v>0.32450000000000001</v>
      </c>
      <c r="Q87" s="319">
        <v>7.4099999999999999E-2</v>
      </c>
      <c r="R87" s="319">
        <v>2.87E-2</v>
      </c>
      <c r="S87" s="319">
        <v>0.4945</v>
      </c>
      <c r="T87" s="319">
        <v>0</v>
      </c>
      <c r="U87" s="319">
        <v>0.63149999999999995</v>
      </c>
      <c r="V87" s="319">
        <v>0</v>
      </c>
      <c r="W87" s="319">
        <v>0</v>
      </c>
      <c r="X87" s="319">
        <v>0.1706</v>
      </c>
      <c r="Y87" s="319">
        <v>0</v>
      </c>
      <c r="Z87" s="319">
        <v>1.7276</v>
      </c>
      <c r="AA87" s="319">
        <v>0.219</v>
      </c>
      <c r="AB87" s="319">
        <v>0.32469999999999999</v>
      </c>
      <c r="AC87" s="319">
        <v>8.8200000000000001E-2</v>
      </c>
      <c r="AD87" s="319">
        <v>0.1024</v>
      </c>
      <c r="AE87" s="319">
        <v>5.5899999999999998E-2</v>
      </c>
      <c r="AF87" s="319">
        <v>0.17050000000000001</v>
      </c>
      <c r="AG87" s="319">
        <v>3.3399999999999999E-2</v>
      </c>
      <c r="AH87" s="319">
        <v>0</v>
      </c>
      <c r="AI87" s="319">
        <v>2.5992000000000002</v>
      </c>
      <c r="AJ87" s="319">
        <v>1.1356999999999999</v>
      </c>
      <c r="AK87" s="319">
        <v>9.1399999999999995E-2</v>
      </c>
      <c r="AL87" s="319">
        <v>0.63590000000000002</v>
      </c>
      <c r="AM87" s="319">
        <v>5.7700000000000001E-2</v>
      </c>
      <c r="AN87" s="319">
        <v>9.4000000000000004E-3</v>
      </c>
      <c r="AO87" s="319">
        <v>0.31630000000000003</v>
      </c>
      <c r="AP87" s="319">
        <v>0</v>
      </c>
      <c r="AQ87" s="319">
        <v>0</v>
      </c>
      <c r="AR87" s="319">
        <v>0.47739999999999999</v>
      </c>
      <c r="AS87" s="319">
        <v>0.47739999999999999</v>
      </c>
      <c r="AT87" s="331">
        <v>0.24299999999999999</v>
      </c>
      <c r="AU87" s="336">
        <v>10.025399999999999</v>
      </c>
      <c r="AV87" s="329">
        <v>10.025399999999999</v>
      </c>
      <c r="AW87" s="337">
        <v>5.1039000000000012</v>
      </c>
      <c r="AX87" s="334"/>
      <c r="AY87" s="323">
        <v>7.8945999999999987</v>
      </c>
      <c r="AZ87" s="323">
        <v>7.8945999999999987</v>
      </c>
      <c r="BA87" s="323">
        <v>4.3908999999999994</v>
      </c>
      <c r="BB87" s="319"/>
      <c r="BC87" s="321">
        <f t="shared" si="6"/>
        <v>1.2699060117042029</v>
      </c>
      <c r="BD87" s="321">
        <f t="shared" si="7"/>
        <v>1.2699060117042029</v>
      </c>
      <c r="BE87" s="321">
        <f t="shared" si="8"/>
        <v>1.1623812885740969</v>
      </c>
      <c r="BG87" s="22">
        <f t="shared" si="9"/>
        <v>-1.3877787807814457E-15</v>
      </c>
      <c r="BH87" s="22">
        <f t="shared" si="10"/>
        <v>7.7715611723760958E-16</v>
      </c>
      <c r="BI87" s="22">
        <f t="shared" si="11"/>
        <v>7.7715611723760958E-16</v>
      </c>
    </row>
    <row r="88" spans="2:61" x14ac:dyDescent="0.25">
      <c r="B88" s="312">
        <v>98</v>
      </c>
      <c r="C88" s="312" t="s">
        <v>656</v>
      </c>
      <c r="D88" s="312" t="s">
        <v>393</v>
      </c>
      <c r="E88" s="312">
        <v>5</v>
      </c>
      <c r="F88" s="312">
        <v>4</v>
      </c>
      <c r="G88" s="313" t="s">
        <v>90</v>
      </c>
      <c r="H88" s="313"/>
      <c r="I88" s="346">
        <v>2776.2</v>
      </c>
      <c r="J88" s="317">
        <v>2776.2</v>
      </c>
      <c r="K88" s="317">
        <v>0</v>
      </c>
      <c r="L88" s="317">
        <v>0</v>
      </c>
      <c r="M88" s="317"/>
      <c r="N88" s="319">
        <v>0.16550000000000001</v>
      </c>
      <c r="O88" s="319">
        <v>9.1800000000000007E-2</v>
      </c>
      <c r="P88" s="319">
        <v>0.32519999999999999</v>
      </c>
      <c r="Q88" s="319">
        <v>7.4300000000000005E-2</v>
      </c>
      <c r="R88" s="319">
        <v>3.09E-2</v>
      </c>
      <c r="S88" s="319">
        <v>0.4955</v>
      </c>
      <c r="T88" s="319">
        <v>0</v>
      </c>
      <c r="U88" s="319">
        <v>0.63149999999999995</v>
      </c>
      <c r="V88" s="319">
        <v>0</v>
      </c>
      <c r="W88" s="319">
        <v>0</v>
      </c>
      <c r="X88" s="319">
        <v>0.1709</v>
      </c>
      <c r="Y88" s="319">
        <v>0</v>
      </c>
      <c r="Z88" s="319">
        <v>1.8931</v>
      </c>
      <c r="AA88" s="319">
        <v>0.21940000000000001</v>
      </c>
      <c r="AB88" s="319">
        <v>0.32540000000000002</v>
      </c>
      <c r="AC88" s="319">
        <v>8.8400000000000006E-2</v>
      </c>
      <c r="AD88" s="319">
        <v>0.1026</v>
      </c>
      <c r="AE88" s="319">
        <v>6.0199999999999997E-2</v>
      </c>
      <c r="AF88" s="319">
        <v>0.17080000000000001</v>
      </c>
      <c r="AG88" s="319">
        <v>3.3399999999999999E-2</v>
      </c>
      <c r="AH88" s="319">
        <v>0</v>
      </c>
      <c r="AI88" s="319">
        <v>2.6183000000000001</v>
      </c>
      <c r="AJ88" s="319">
        <v>1.1379999999999999</v>
      </c>
      <c r="AK88" s="319">
        <v>9.1899999999999996E-2</v>
      </c>
      <c r="AL88" s="319">
        <v>0.62519999999999998</v>
      </c>
      <c r="AM88" s="319">
        <v>5.8000000000000003E-2</v>
      </c>
      <c r="AN88" s="319">
        <v>9.4000000000000004E-3</v>
      </c>
      <c r="AO88" s="319">
        <v>0.28520000000000001</v>
      </c>
      <c r="AP88" s="319">
        <v>0</v>
      </c>
      <c r="AQ88" s="319">
        <v>0</v>
      </c>
      <c r="AR88" s="319">
        <v>0.48520000000000002</v>
      </c>
      <c r="AS88" s="319">
        <v>0.48520000000000002</v>
      </c>
      <c r="AT88" s="331">
        <v>0.25190000000000001</v>
      </c>
      <c r="AU88" s="336">
        <v>10.190100000000001</v>
      </c>
      <c r="AV88" s="329">
        <v>10.190100000000001</v>
      </c>
      <c r="AW88" s="337">
        <v>5.2901000000000016</v>
      </c>
      <c r="AX88" s="334"/>
      <c r="AY88" s="323">
        <v>8.0242000000000004</v>
      </c>
      <c r="AZ88" s="323">
        <v>8.0242000000000004</v>
      </c>
      <c r="BA88" s="323">
        <v>4.6300000000000008</v>
      </c>
      <c r="BB88" s="319"/>
      <c r="BC88" s="321">
        <f t="shared" si="6"/>
        <v>1.2699209890082501</v>
      </c>
      <c r="BD88" s="321">
        <f t="shared" si="7"/>
        <v>1.2699209890082501</v>
      </c>
      <c r="BE88" s="321">
        <f t="shared" si="8"/>
        <v>1.1425701943844493</v>
      </c>
      <c r="BG88" s="22">
        <f t="shared" si="9"/>
        <v>2.0539125955565396E-15</v>
      </c>
      <c r="BH88" s="22">
        <f t="shared" si="10"/>
        <v>1.4710455076283324E-15</v>
      </c>
      <c r="BI88" s="22">
        <f t="shared" si="11"/>
        <v>1.4710455076283324E-15</v>
      </c>
    </row>
    <row r="89" spans="2:61" x14ac:dyDescent="0.25">
      <c r="B89" s="312">
        <v>99</v>
      </c>
      <c r="C89" s="312" t="s">
        <v>658</v>
      </c>
      <c r="D89" s="312" t="s">
        <v>393</v>
      </c>
      <c r="E89" s="312">
        <v>5</v>
      </c>
      <c r="F89" s="312">
        <v>4</v>
      </c>
      <c r="G89" s="313" t="s">
        <v>91</v>
      </c>
      <c r="H89" s="313"/>
      <c r="I89" s="346">
        <v>2756.5</v>
      </c>
      <c r="J89" s="317">
        <v>2756.5</v>
      </c>
      <c r="K89" s="317">
        <v>0</v>
      </c>
      <c r="L89" s="317">
        <v>0</v>
      </c>
      <c r="M89" s="317"/>
      <c r="N89" s="319">
        <v>0.16669999999999999</v>
      </c>
      <c r="O89" s="319">
        <v>9.2399999999999996E-2</v>
      </c>
      <c r="P89" s="319">
        <v>0.32390000000000002</v>
      </c>
      <c r="Q89" s="319">
        <v>7.4200000000000002E-2</v>
      </c>
      <c r="R89" s="319">
        <v>2.9000000000000001E-2</v>
      </c>
      <c r="S89" s="319">
        <v>0.499</v>
      </c>
      <c r="T89" s="319">
        <v>0</v>
      </c>
      <c r="U89" s="319">
        <v>0.63149999999999995</v>
      </c>
      <c r="V89" s="319">
        <v>0</v>
      </c>
      <c r="W89" s="319">
        <v>0</v>
      </c>
      <c r="X89" s="319">
        <v>0.1721</v>
      </c>
      <c r="Y89" s="319">
        <v>0</v>
      </c>
      <c r="Z89" s="319">
        <v>1.7186999999999999</v>
      </c>
      <c r="AA89" s="319">
        <v>0.221</v>
      </c>
      <c r="AB89" s="319">
        <v>0.32769999999999999</v>
      </c>
      <c r="AC89" s="319">
        <v>8.7999999999999995E-2</v>
      </c>
      <c r="AD89" s="319">
        <v>0.1032</v>
      </c>
      <c r="AE89" s="319">
        <v>5.6399999999999999E-2</v>
      </c>
      <c r="AF89" s="319">
        <v>0.17199999999999999</v>
      </c>
      <c r="AG89" s="319">
        <v>3.3599999999999998E-2</v>
      </c>
      <c r="AH89" s="319">
        <v>0</v>
      </c>
      <c r="AI89" s="319">
        <v>2.7185000000000001</v>
      </c>
      <c r="AJ89" s="319">
        <v>1.1460999999999999</v>
      </c>
      <c r="AK89" s="319">
        <v>9.2499999999999999E-2</v>
      </c>
      <c r="AL89" s="319">
        <v>0.622</v>
      </c>
      <c r="AM89" s="319">
        <v>5.8400000000000001E-2</v>
      </c>
      <c r="AN89" s="319">
        <v>9.4999999999999998E-3</v>
      </c>
      <c r="AO89" s="319">
        <v>0.2122</v>
      </c>
      <c r="AP89" s="319">
        <v>0</v>
      </c>
      <c r="AQ89" s="319">
        <v>0</v>
      </c>
      <c r="AR89" s="319">
        <v>0.47839999999999999</v>
      </c>
      <c r="AS89" s="319">
        <v>0.47839999999999999</v>
      </c>
      <c r="AT89" s="331">
        <v>0.24349999999999999</v>
      </c>
      <c r="AU89" s="336">
        <v>10.046999999999999</v>
      </c>
      <c r="AV89" s="329">
        <v>10.046999999999999</v>
      </c>
      <c r="AW89" s="337">
        <v>5.1132999999999997</v>
      </c>
      <c r="AX89" s="334"/>
      <c r="AY89" s="323">
        <v>7.9114999999999984</v>
      </c>
      <c r="AZ89" s="323">
        <v>7.9114999999999984</v>
      </c>
      <c r="BA89" s="323">
        <v>4.512999999999999</v>
      </c>
      <c r="BB89" s="319"/>
      <c r="BC89" s="321">
        <f t="shared" si="6"/>
        <v>1.2699235290400051</v>
      </c>
      <c r="BD89" s="321">
        <f t="shared" si="7"/>
        <v>1.2699235290400051</v>
      </c>
      <c r="BE89" s="321">
        <f t="shared" si="8"/>
        <v>1.1330157323288281</v>
      </c>
      <c r="BG89" s="22">
        <f t="shared" si="9"/>
        <v>-7.7715611723760958E-16</v>
      </c>
      <c r="BH89" s="22">
        <f t="shared" si="10"/>
        <v>6.3837823915946501E-16</v>
      </c>
      <c r="BI89" s="22">
        <f t="shared" si="11"/>
        <v>-2.4980018054066022E-16</v>
      </c>
    </row>
    <row r="90" spans="2:61" x14ac:dyDescent="0.25">
      <c r="B90" s="312">
        <v>102</v>
      </c>
      <c r="C90" s="312" t="s">
        <v>664</v>
      </c>
      <c r="D90" s="312" t="s">
        <v>393</v>
      </c>
      <c r="E90" s="312">
        <v>5</v>
      </c>
      <c r="F90" s="312">
        <v>4</v>
      </c>
      <c r="G90" s="313" t="s">
        <v>92</v>
      </c>
      <c r="H90" s="313"/>
      <c r="I90" s="346">
        <v>3222.3</v>
      </c>
      <c r="J90" s="317">
        <v>3222.3</v>
      </c>
      <c r="K90" s="317">
        <v>0</v>
      </c>
      <c r="L90" s="317">
        <v>0</v>
      </c>
      <c r="M90" s="317"/>
      <c r="N90" s="319">
        <v>0.16639999999999999</v>
      </c>
      <c r="O90" s="319">
        <v>8.6599999999999996E-2</v>
      </c>
      <c r="P90" s="319">
        <v>0.32640000000000002</v>
      </c>
      <c r="Q90" s="319">
        <v>7.3800000000000004E-2</v>
      </c>
      <c r="R90" s="319">
        <v>2.6700000000000002E-2</v>
      </c>
      <c r="S90" s="319">
        <v>0.47420000000000001</v>
      </c>
      <c r="T90" s="319">
        <v>0</v>
      </c>
      <c r="U90" s="319">
        <v>0.63149999999999995</v>
      </c>
      <c r="V90" s="319">
        <v>0</v>
      </c>
      <c r="W90" s="319">
        <v>0</v>
      </c>
      <c r="X90" s="319">
        <v>0.1472</v>
      </c>
      <c r="Y90" s="319">
        <v>0</v>
      </c>
      <c r="Z90" s="319">
        <v>1.2214</v>
      </c>
      <c r="AA90" s="319">
        <v>0.21990000000000001</v>
      </c>
      <c r="AB90" s="319">
        <v>0.27339999999999998</v>
      </c>
      <c r="AC90" s="319">
        <v>9.1600000000000001E-2</v>
      </c>
      <c r="AD90" s="319">
        <v>9.5299999999999996E-2</v>
      </c>
      <c r="AE90" s="319">
        <v>5.1900000000000002E-2</v>
      </c>
      <c r="AF90" s="319">
        <v>0.1472</v>
      </c>
      <c r="AG90" s="319">
        <v>3.49E-2</v>
      </c>
      <c r="AH90" s="319">
        <v>0</v>
      </c>
      <c r="AI90" s="319">
        <v>2.9251</v>
      </c>
      <c r="AJ90" s="319">
        <v>1.2199</v>
      </c>
      <c r="AK90" s="319">
        <v>0.1051</v>
      </c>
      <c r="AL90" s="319">
        <v>0.55800000000000005</v>
      </c>
      <c r="AM90" s="319">
        <v>6.6400000000000001E-2</v>
      </c>
      <c r="AN90" s="319">
        <v>1.0800000000000001E-2</v>
      </c>
      <c r="AO90" s="319">
        <v>0.41760000000000003</v>
      </c>
      <c r="AP90" s="319">
        <v>0</v>
      </c>
      <c r="AQ90" s="319">
        <v>0</v>
      </c>
      <c r="AR90" s="319">
        <v>0.46860000000000002</v>
      </c>
      <c r="AS90" s="319">
        <v>0.46860000000000002</v>
      </c>
      <c r="AT90" s="331">
        <v>0.21249999999999999</v>
      </c>
      <c r="AU90" s="336">
        <v>9.8399000000000001</v>
      </c>
      <c r="AV90" s="329">
        <v>9.8399000000000001</v>
      </c>
      <c r="AW90" s="337">
        <v>4.4632000000000005</v>
      </c>
      <c r="AX90" s="334"/>
      <c r="AY90" s="323">
        <v>7.7485000000000008</v>
      </c>
      <c r="AZ90" s="323">
        <v>7.7485000000000008</v>
      </c>
      <c r="BA90" s="323">
        <v>3.8318000000000008</v>
      </c>
      <c r="BB90" s="319"/>
      <c r="BC90" s="321">
        <f t="shared" si="6"/>
        <v>1.2699103052203651</v>
      </c>
      <c r="BD90" s="321">
        <f t="shared" si="7"/>
        <v>1.2699103052203651</v>
      </c>
      <c r="BE90" s="321">
        <f t="shared" si="8"/>
        <v>1.1647789550602849</v>
      </c>
      <c r="BG90" s="22">
        <f t="shared" si="9"/>
        <v>2.1649348980190553E-15</v>
      </c>
      <c r="BH90" s="22">
        <f t="shared" si="10"/>
        <v>4.4408920985006262E-16</v>
      </c>
      <c r="BI90" s="22">
        <f t="shared" si="11"/>
        <v>4.4408920985006262E-16</v>
      </c>
    </row>
    <row r="91" spans="2:61" x14ac:dyDescent="0.25">
      <c r="B91" s="312">
        <v>105</v>
      </c>
      <c r="C91" s="312" t="s">
        <v>670</v>
      </c>
      <c r="D91" s="312" t="s">
        <v>393</v>
      </c>
      <c r="E91" s="312">
        <v>5</v>
      </c>
      <c r="F91" s="312">
        <v>4</v>
      </c>
      <c r="G91" s="313" t="s">
        <v>93</v>
      </c>
      <c r="H91" s="313"/>
      <c r="I91" s="346">
        <v>2757.32</v>
      </c>
      <c r="J91" s="317">
        <v>2622.92</v>
      </c>
      <c r="K91" s="317">
        <v>0</v>
      </c>
      <c r="L91" s="317">
        <v>134.4</v>
      </c>
      <c r="M91" s="317"/>
      <c r="N91" s="319">
        <v>0.1641</v>
      </c>
      <c r="O91" s="319">
        <v>9.2399999999999996E-2</v>
      </c>
      <c r="P91" s="319">
        <v>0.32479999999999998</v>
      </c>
      <c r="Q91" s="319">
        <v>7.4099999999999999E-2</v>
      </c>
      <c r="R91" s="319">
        <v>2.9000000000000001E-2</v>
      </c>
      <c r="S91" s="319">
        <v>0.49890000000000001</v>
      </c>
      <c r="T91" s="319">
        <v>0</v>
      </c>
      <c r="U91" s="319">
        <v>0.63149999999999995</v>
      </c>
      <c r="V91" s="319">
        <v>0</v>
      </c>
      <c r="W91" s="319">
        <v>0</v>
      </c>
      <c r="X91" s="319">
        <v>0.1721</v>
      </c>
      <c r="Y91" s="319">
        <v>0</v>
      </c>
      <c r="Z91" s="319">
        <v>2.0924999999999998</v>
      </c>
      <c r="AA91" s="319">
        <v>0.2195</v>
      </c>
      <c r="AB91" s="319">
        <v>0.3276</v>
      </c>
      <c r="AC91" s="319">
        <v>8.7800000000000003E-2</v>
      </c>
      <c r="AD91" s="319">
        <v>0.1009</v>
      </c>
      <c r="AE91" s="319">
        <v>5.6399999999999999E-2</v>
      </c>
      <c r="AF91" s="319">
        <v>0.17199999999999999</v>
      </c>
      <c r="AG91" s="319">
        <v>3.3599999999999998E-2</v>
      </c>
      <c r="AH91" s="319">
        <v>0</v>
      </c>
      <c r="AI91" s="319">
        <v>2.3540000000000001</v>
      </c>
      <c r="AJ91" s="319">
        <v>1.1975</v>
      </c>
      <c r="AK91" s="319">
        <v>9.2200000000000004E-2</v>
      </c>
      <c r="AL91" s="319">
        <v>0.64570000000000005</v>
      </c>
      <c r="AM91" s="319">
        <v>5.8200000000000002E-2</v>
      </c>
      <c r="AN91" s="319">
        <v>9.4000000000000004E-3</v>
      </c>
      <c r="AO91" s="319">
        <v>0.2999</v>
      </c>
      <c r="AP91" s="319">
        <v>0</v>
      </c>
      <c r="AQ91" s="319">
        <v>0</v>
      </c>
      <c r="AR91" s="319">
        <v>0.48670000000000002</v>
      </c>
      <c r="AS91" s="319">
        <v>0.48670000000000002</v>
      </c>
      <c r="AT91" s="331">
        <v>0.26190000000000002</v>
      </c>
      <c r="AU91" s="336">
        <v>10.220799999999999</v>
      </c>
      <c r="AV91" s="329">
        <v>10.220799999999999</v>
      </c>
      <c r="AW91" s="337">
        <v>5.498899999999999</v>
      </c>
      <c r="AX91" s="334"/>
      <c r="AY91" s="323">
        <v>8.0484999999999989</v>
      </c>
      <c r="AZ91" s="323">
        <v>8.0484999999999989</v>
      </c>
      <c r="BA91" s="323">
        <v>4.6845999999999988</v>
      </c>
      <c r="BB91" s="319"/>
      <c r="BC91" s="321">
        <f t="shared" si="6"/>
        <v>1.2699012238305274</v>
      </c>
      <c r="BD91" s="321">
        <f t="shared" si="7"/>
        <v>1.2699012238305274</v>
      </c>
      <c r="BE91" s="321">
        <f t="shared" si="8"/>
        <v>1.1738248729880887</v>
      </c>
      <c r="BG91" s="22">
        <f t="shared" si="9"/>
        <v>-9.4368957093138306E-16</v>
      </c>
      <c r="BH91" s="22">
        <f t="shared" si="10"/>
        <v>8.6042284408449632E-16</v>
      </c>
      <c r="BI91" s="22">
        <f t="shared" si="11"/>
        <v>-9.1593399531575415E-16</v>
      </c>
    </row>
    <row r="92" spans="2:61" x14ac:dyDescent="0.25">
      <c r="B92" s="312">
        <v>106</v>
      </c>
      <c r="C92" s="312" t="s">
        <v>672</v>
      </c>
      <c r="D92" s="312" t="s">
        <v>393</v>
      </c>
      <c r="E92" s="312">
        <v>5</v>
      </c>
      <c r="F92" s="312">
        <v>8</v>
      </c>
      <c r="G92" s="313" t="s">
        <v>94</v>
      </c>
      <c r="H92" s="313"/>
      <c r="I92" s="346">
        <v>5758.96</v>
      </c>
      <c r="J92" s="317">
        <v>5650.36</v>
      </c>
      <c r="K92" s="317">
        <v>0</v>
      </c>
      <c r="L92" s="317">
        <v>108.6</v>
      </c>
      <c r="M92" s="317"/>
      <c r="N92" s="319">
        <v>0.14860000000000001</v>
      </c>
      <c r="O92" s="319">
        <v>9.4500000000000001E-2</v>
      </c>
      <c r="P92" s="319">
        <v>0.3327</v>
      </c>
      <c r="Q92" s="319">
        <v>7.4800000000000005E-2</v>
      </c>
      <c r="R92" s="319">
        <v>2.7799999999999998E-2</v>
      </c>
      <c r="S92" s="319">
        <v>0.65969999999999995</v>
      </c>
      <c r="T92" s="319">
        <v>0</v>
      </c>
      <c r="U92" s="319">
        <v>0.63149999999999995</v>
      </c>
      <c r="V92" s="319">
        <v>0</v>
      </c>
      <c r="W92" s="319">
        <v>0</v>
      </c>
      <c r="X92" s="319">
        <v>0.16339999999999999</v>
      </c>
      <c r="Y92" s="319">
        <v>0</v>
      </c>
      <c r="Z92" s="319">
        <v>2.1385999999999998</v>
      </c>
      <c r="AA92" s="319">
        <v>0.19400000000000001</v>
      </c>
      <c r="AB92" s="319">
        <v>0.32319999999999999</v>
      </c>
      <c r="AC92" s="319">
        <v>9.0800000000000006E-2</v>
      </c>
      <c r="AD92" s="319">
        <v>9.8599999999999993E-2</v>
      </c>
      <c r="AE92" s="319">
        <v>5.3999999999999999E-2</v>
      </c>
      <c r="AF92" s="319">
        <v>0.27310000000000001</v>
      </c>
      <c r="AG92" s="319">
        <v>3.2899999999999999E-2</v>
      </c>
      <c r="AH92" s="319">
        <v>0</v>
      </c>
      <c r="AI92" s="319">
        <v>1.9482999999999999</v>
      </c>
      <c r="AJ92" s="319">
        <v>1.1473</v>
      </c>
      <c r="AK92" s="319">
        <v>8.9800000000000005E-2</v>
      </c>
      <c r="AL92" s="319">
        <v>0.62609999999999999</v>
      </c>
      <c r="AM92" s="319">
        <v>5.8799999999999998E-2</v>
      </c>
      <c r="AN92" s="319">
        <v>9.4999999999999998E-3</v>
      </c>
      <c r="AO92" s="319">
        <v>0.19420000000000001</v>
      </c>
      <c r="AP92" s="319">
        <v>0</v>
      </c>
      <c r="AQ92" s="319">
        <v>0</v>
      </c>
      <c r="AR92" s="319">
        <v>0.47060000000000002</v>
      </c>
      <c r="AS92" s="319">
        <v>0.47060000000000002</v>
      </c>
      <c r="AT92" s="331">
        <v>0.27479999999999999</v>
      </c>
      <c r="AU92" s="336">
        <v>9.8827999999999978</v>
      </c>
      <c r="AV92" s="329">
        <v>9.8827999999999978</v>
      </c>
      <c r="AW92" s="337">
        <v>5.7710999999999997</v>
      </c>
      <c r="AX92" s="334"/>
      <c r="AY92" s="323">
        <v>7.7822000000000005</v>
      </c>
      <c r="AZ92" s="323">
        <v>7.7822000000000005</v>
      </c>
      <c r="BA92" s="323">
        <v>4.998800000000001</v>
      </c>
      <c r="BB92" s="319"/>
      <c r="BC92" s="321">
        <f t="shared" si="6"/>
        <v>1.2699236719693656</v>
      </c>
      <c r="BD92" s="321">
        <f t="shared" si="7"/>
        <v>1.2699236719693656</v>
      </c>
      <c r="BE92" s="321">
        <f t="shared" si="8"/>
        <v>1.1544970792990314</v>
      </c>
      <c r="BG92" s="22">
        <f t="shared" si="9"/>
        <v>-1.5543122344752192E-15</v>
      </c>
      <c r="BH92" s="22">
        <f t="shared" si="10"/>
        <v>5.2735593669694936E-16</v>
      </c>
      <c r="BI92" s="22">
        <f t="shared" si="11"/>
        <v>-3.6082248300317588E-16</v>
      </c>
    </row>
    <row r="93" spans="2:61" x14ac:dyDescent="0.25">
      <c r="B93" s="312">
        <v>107</v>
      </c>
      <c r="C93" s="312" t="s">
        <v>674</v>
      </c>
      <c r="D93" s="312" t="s">
        <v>393</v>
      </c>
      <c r="E93" s="312">
        <v>5</v>
      </c>
      <c r="F93" s="312">
        <v>4</v>
      </c>
      <c r="G93" s="313" t="s">
        <v>95</v>
      </c>
      <c r="H93" s="313"/>
      <c r="I93" s="346">
        <v>2747.42</v>
      </c>
      <c r="J93" s="317">
        <v>2747.42</v>
      </c>
      <c r="K93" s="317">
        <v>0</v>
      </c>
      <c r="L93" s="317">
        <v>0</v>
      </c>
      <c r="M93" s="317"/>
      <c r="N93" s="319">
        <v>0.16719999999999999</v>
      </c>
      <c r="O93" s="319">
        <v>9.2700000000000005E-2</v>
      </c>
      <c r="P93" s="319">
        <v>0.3221</v>
      </c>
      <c r="Q93" s="319">
        <v>7.3899999999999993E-2</v>
      </c>
      <c r="R93" s="319">
        <v>2.9100000000000001E-2</v>
      </c>
      <c r="S93" s="319">
        <v>0.50070000000000003</v>
      </c>
      <c r="T93" s="319">
        <v>0</v>
      </c>
      <c r="U93" s="319">
        <v>0.63149999999999995</v>
      </c>
      <c r="V93" s="319">
        <v>0</v>
      </c>
      <c r="W93" s="319">
        <v>0</v>
      </c>
      <c r="X93" s="319">
        <v>0.17269999999999999</v>
      </c>
      <c r="Y93" s="319">
        <v>0</v>
      </c>
      <c r="Z93" s="319">
        <v>2.0464000000000002</v>
      </c>
      <c r="AA93" s="319">
        <v>0.21190000000000001</v>
      </c>
      <c r="AB93" s="319">
        <v>0.32869999999999999</v>
      </c>
      <c r="AC93" s="319">
        <v>8.7599999999999997E-2</v>
      </c>
      <c r="AD93" s="319">
        <v>0.10340000000000001</v>
      </c>
      <c r="AE93" s="319">
        <v>5.6599999999999998E-2</v>
      </c>
      <c r="AF93" s="319">
        <v>0.1726</v>
      </c>
      <c r="AG93" s="319">
        <v>3.3599999999999998E-2</v>
      </c>
      <c r="AH93" s="319">
        <v>0</v>
      </c>
      <c r="AI93" s="319">
        <v>2.8561999999999999</v>
      </c>
      <c r="AJ93" s="319">
        <v>1.1524000000000001</v>
      </c>
      <c r="AK93" s="319">
        <v>9.2799999999999994E-2</v>
      </c>
      <c r="AL93" s="319">
        <v>0.63949999999999996</v>
      </c>
      <c r="AM93" s="319">
        <v>5.8599999999999999E-2</v>
      </c>
      <c r="AN93" s="319">
        <v>9.4999999999999998E-3</v>
      </c>
      <c r="AO93" s="319">
        <v>0.113</v>
      </c>
      <c r="AP93" s="319">
        <v>0</v>
      </c>
      <c r="AQ93" s="319">
        <v>0</v>
      </c>
      <c r="AR93" s="319">
        <v>0.49759999999999999</v>
      </c>
      <c r="AS93" s="319">
        <v>0.49759999999999999</v>
      </c>
      <c r="AT93" s="331">
        <v>0.2596</v>
      </c>
      <c r="AU93" s="336">
        <v>10.4503</v>
      </c>
      <c r="AV93" s="329">
        <v>10.4503</v>
      </c>
      <c r="AW93" s="337">
        <v>5.4512000000000009</v>
      </c>
      <c r="AX93" s="334"/>
      <c r="AY93" s="323">
        <v>8.229099999999999</v>
      </c>
      <c r="AZ93" s="323">
        <v>8.229099999999999</v>
      </c>
      <c r="BA93" s="323">
        <v>4.5980999999999996</v>
      </c>
      <c r="BB93" s="319"/>
      <c r="BC93" s="321">
        <f t="shared" si="6"/>
        <v>1.2699201613785227</v>
      </c>
      <c r="BD93" s="321">
        <f t="shared" si="7"/>
        <v>1.2699201613785227</v>
      </c>
      <c r="BE93" s="321">
        <f t="shared" si="8"/>
        <v>1.1855331549988042</v>
      </c>
      <c r="BG93" s="22">
        <f t="shared" si="9"/>
        <v>-1.609823385706477E-15</v>
      </c>
      <c r="BH93" s="22">
        <f t="shared" si="10"/>
        <v>4.163336342344337E-16</v>
      </c>
      <c r="BI93" s="22">
        <f t="shared" si="11"/>
        <v>4.163336342344337E-16</v>
      </c>
    </row>
    <row r="94" spans="2:61" x14ac:dyDescent="0.25">
      <c r="B94" s="312">
        <v>108</v>
      </c>
      <c r="C94" s="312" t="s">
        <v>676</v>
      </c>
      <c r="D94" s="312" t="s">
        <v>393</v>
      </c>
      <c r="E94" s="312">
        <v>5</v>
      </c>
      <c r="F94" s="312">
        <v>2</v>
      </c>
      <c r="G94" s="313" t="s">
        <v>96</v>
      </c>
      <c r="H94" s="313"/>
      <c r="I94" s="346">
        <v>1718.82</v>
      </c>
      <c r="J94" s="317">
        <v>1718.82</v>
      </c>
      <c r="K94" s="317">
        <v>0</v>
      </c>
      <c r="L94" s="317">
        <v>0</v>
      </c>
      <c r="M94" s="317"/>
      <c r="N94" s="319">
        <v>0.1764</v>
      </c>
      <c r="O94" s="319">
        <v>0.1002</v>
      </c>
      <c r="P94" s="319">
        <v>0.30590000000000001</v>
      </c>
      <c r="Q94" s="319">
        <v>7.2900000000000006E-2</v>
      </c>
      <c r="R94" s="319">
        <v>2.3300000000000001E-2</v>
      </c>
      <c r="S94" s="319">
        <v>0.33889999999999998</v>
      </c>
      <c r="T94" s="319">
        <v>0</v>
      </c>
      <c r="U94" s="319">
        <v>0.63149999999999995</v>
      </c>
      <c r="V94" s="319">
        <v>0</v>
      </c>
      <c r="W94" s="319">
        <v>0</v>
      </c>
      <c r="X94" s="319">
        <v>0.184</v>
      </c>
      <c r="Y94" s="319">
        <v>0</v>
      </c>
      <c r="Z94" s="319">
        <v>2.2964000000000002</v>
      </c>
      <c r="AA94" s="319">
        <v>0.23680000000000001</v>
      </c>
      <c r="AB94" s="319">
        <v>0.3553</v>
      </c>
      <c r="AC94" s="319">
        <v>7.5200000000000003E-2</v>
      </c>
      <c r="AD94" s="319">
        <v>0.1038</v>
      </c>
      <c r="AE94" s="319">
        <v>4.5199999999999997E-2</v>
      </c>
      <c r="AF94" s="319">
        <v>0.1134</v>
      </c>
      <c r="AG94" s="319">
        <v>3.1899999999999998E-2</v>
      </c>
      <c r="AH94" s="319">
        <v>0</v>
      </c>
      <c r="AI94" s="319">
        <v>2.6113</v>
      </c>
      <c r="AJ94" s="319">
        <v>0.8931</v>
      </c>
      <c r="AK94" s="319">
        <v>8.6199999999999999E-2</v>
      </c>
      <c r="AL94" s="319">
        <v>0.60540000000000005</v>
      </c>
      <c r="AM94" s="319">
        <v>5.7099999999999998E-2</v>
      </c>
      <c r="AN94" s="319">
        <v>9.2999999999999992E-3</v>
      </c>
      <c r="AO94" s="319">
        <v>0.19869999999999999</v>
      </c>
      <c r="AP94" s="319">
        <v>0</v>
      </c>
      <c r="AQ94" s="319">
        <v>0</v>
      </c>
      <c r="AR94" s="319">
        <v>0.47760000000000002</v>
      </c>
      <c r="AS94" s="319">
        <v>0.47760000000000002</v>
      </c>
      <c r="AT94" s="331">
        <v>0.26219999999999999</v>
      </c>
      <c r="AU94" s="336">
        <v>10.0298</v>
      </c>
      <c r="AV94" s="329">
        <v>10.0298</v>
      </c>
      <c r="AW94" s="337">
        <v>5.5058999999999987</v>
      </c>
      <c r="AX94" s="334"/>
      <c r="AY94" s="323">
        <v>7.8979000000000008</v>
      </c>
      <c r="AZ94" s="323">
        <v>7.8979000000000008</v>
      </c>
      <c r="BA94" s="323">
        <v>4.6758000000000006</v>
      </c>
      <c r="BB94" s="319"/>
      <c r="BC94" s="321">
        <f t="shared" si="6"/>
        <v>1.269932513706175</v>
      </c>
      <c r="BD94" s="321">
        <f t="shared" si="7"/>
        <v>1.269932513706175</v>
      </c>
      <c r="BE94" s="321">
        <f t="shared" si="8"/>
        <v>1.1775311176697032</v>
      </c>
      <c r="BG94" s="22">
        <f t="shared" si="9"/>
        <v>1.5543122344752192E-15</v>
      </c>
      <c r="BH94" s="22">
        <f t="shared" si="10"/>
        <v>-7.7715611723760958E-16</v>
      </c>
      <c r="BI94" s="22">
        <f t="shared" si="11"/>
        <v>-7.7715611723760958E-16</v>
      </c>
    </row>
    <row r="95" spans="2:61" x14ac:dyDescent="0.25">
      <c r="B95" s="312">
        <v>109</v>
      </c>
      <c r="C95" s="312" t="s">
        <v>678</v>
      </c>
      <c r="D95" s="312" t="s">
        <v>393</v>
      </c>
      <c r="E95" s="312">
        <v>5</v>
      </c>
      <c r="F95" s="312">
        <v>6</v>
      </c>
      <c r="G95" s="313" t="s">
        <v>97</v>
      </c>
      <c r="H95" s="313"/>
      <c r="I95" s="346">
        <v>4455.46</v>
      </c>
      <c r="J95" s="317">
        <v>4408.16</v>
      </c>
      <c r="K95" s="317">
        <v>0</v>
      </c>
      <c r="L95" s="317">
        <v>47.3</v>
      </c>
      <c r="M95" s="317"/>
      <c r="N95" s="319">
        <v>0.15579999999999999</v>
      </c>
      <c r="O95" s="319">
        <v>8.4900000000000003E-2</v>
      </c>
      <c r="P95" s="319">
        <v>0.32990000000000003</v>
      </c>
      <c r="Q95" s="319">
        <v>0</v>
      </c>
      <c r="R95" s="319">
        <v>3.1399999999999997E-2</v>
      </c>
      <c r="S95" s="319">
        <v>0.57689999999999997</v>
      </c>
      <c r="T95" s="319">
        <v>0</v>
      </c>
      <c r="U95" s="319">
        <v>0.62080000000000002</v>
      </c>
      <c r="V95" s="319">
        <v>0</v>
      </c>
      <c r="W95" s="319">
        <v>0</v>
      </c>
      <c r="X95" s="319">
        <v>0.28749999999999998</v>
      </c>
      <c r="Y95" s="319">
        <v>0</v>
      </c>
      <c r="Z95" s="319">
        <v>2.4771000000000001</v>
      </c>
      <c r="AA95" s="319">
        <v>0.20549999999999999</v>
      </c>
      <c r="AB95" s="319">
        <v>0.30120000000000002</v>
      </c>
      <c r="AC95" s="319">
        <v>9.1300000000000006E-2</v>
      </c>
      <c r="AD95" s="319">
        <v>0</v>
      </c>
      <c r="AE95" s="319">
        <v>6.0999999999999999E-2</v>
      </c>
      <c r="AF95" s="319">
        <v>0.20680000000000001</v>
      </c>
      <c r="AG95" s="319">
        <v>3.2300000000000002E-2</v>
      </c>
      <c r="AH95" s="319">
        <v>0</v>
      </c>
      <c r="AI95" s="319">
        <v>2.2275</v>
      </c>
      <c r="AJ95" s="319">
        <v>0.94889999999999997</v>
      </c>
      <c r="AK95" s="319">
        <v>8.6999999999999994E-2</v>
      </c>
      <c r="AL95" s="319">
        <v>0.61270000000000002</v>
      </c>
      <c r="AM95" s="319">
        <v>5.1200000000000002E-2</v>
      </c>
      <c r="AN95" s="319">
        <v>8.3000000000000001E-3</v>
      </c>
      <c r="AO95" s="319">
        <v>0.60229999999999995</v>
      </c>
      <c r="AP95" s="319">
        <v>0</v>
      </c>
      <c r="AQ95" s="319">
        <v>0</v>
      </c>
      <c r="AR95" s="319">
        <v>0.5</v>
      </c>
      <c r="AS95" s="319">
        <v>0.5</v>
      </c>
      <c r="AT95" s="331">
        <v>0.28039999999999998</v>
      </c>
      <c r="AU95" s="336">
        <v>10.500299999999999</v>
      </c>
      <c r="AV95" s="329">
        <v>10.500299999999999</v>
      </c>
      <c r="AW95" s="337">
        <v>5.8892999999999995</v>
      </c>
      <c r="AX95" s="334"/>
      <c r="AY95" s="323">
        <v>8.2684999999999995</v>
      </c>
      <c r="AZ95" s="323">
        <v>8.2684999999999995</v>
      </c>
      <c r="BA95" s="323">
        <v>4.9397999999999991</v>
      </c>
      <c r="BB95" s="319"/>
      <c r="BC95" s="321">
        <f t="shared" si="6"/>
        <v>1.2699159460603495</v>
      </c>
      <c r="BD95" s="321">
        <f t="shared" si="7"/>
        <v>1.2699159460603495</v>
      </c>
      <c r="BE95" s="321">
        <f t="shared" si="8"/>
        <v>1.1922142596866272</v>
      </c>
      <c r="BG95" s="22">
        <f t="shared" si="9"/>
        <v>1.4432899320127035E-15</v>
      </c>
      <c r="BH95" s="22">
        <f t="shared" si="10"/>
        <v>-8.0491169285323849E-16</v>
      </c>
      <c r="BI95" s="22">
        <f t="shared" si="11"/>
        <v>-8.0491169285323849E-16</v>
      </c>
    </row>
    <row r="96" spans="2:61" x14ac:dyDescent="0.25">
      <c r="B96" s="312">
        <v>110</v>
      </c>
      <c r="C96" s="312" t="s">
        <v>680</v>
      </c>
      <c r="D96" s="312" t="s">
        <v>393</v>
      </c>
      <c r="E96" s="312">
        <v>5</v>
      </c>
      <c r="F96" s="312">
        <v>2</v>
      </c>
      <c r="G96" s="313" t="s">
        <v>98</v>
      </c>
      <c r="H96" s="313"/>
      <c r="I96" s="346">
        <v>1723.42</v>
      </c>
      <c r="J96" s="317">
        <v>1723.42</v>
      </c>
      <c r="K96" s="317">
        <v>0</v>
      </c>
      <c r="L96" s="317">
        <v>0</v>
      </c>
      <c r="M96" s="317"/>
      <c r="N96" s="319">
        <v>0.1759</v>
      </c>
      <c r="O96" s="319">
        <v>9.9900000000000003E-2</v>
      </c>
      <c r="P96" s="319">
        <v>0.3115</v>
      </c>
      <c r="Q96" s="319">
        <v>0</v>
      </c>
      <c r="R96" s="319">
        <v>2.3199999999999998E-2</v>
      </c>
      <c r="S96" s="319">
        <v>0.33800000000000002</v>
      </c>
      <c r="T96" s="319">
        <v>0</v>
      </c>
      <c r="U96" s="319">
        <v>0.62080000000000002</v>
      </c>
      <c r="V96" s="319">
        <v>0</v>
      </c>
      <c r="W96" s="319">
        <v>0</v>
      </c>
      <c r="X96" s="319">
        <v>0.33040000000000003</v>
      </c>
      <c r="Y96" s="319">
        <v>0</v>
      </c>
      <c r="Z96" s="319">
        <v>2.2911999999999999</v>
      </c>
      <c r="AA96" s="319">
        <v>0.2361</v>
      </c>
      <c r="AB96" s="319">
        <v>0.35439999999999999</v>
      </c>
      <c r="AC96" s="319">
        <v>7.6999999999999999E-2</v>
      </c>
      <c r="AD96" s="319">
        <v>0</v>
      </c>
      <c r="AE96" s="319">
        <v>4.5100000000000001E-2</v>
      </c>
      <c r="AF96" s="319">
        <v>0.11310000000000001</v>
      </c>
      <c r="AG96" s="319">
        <v>3.1800000000000002E-2</v>
      </c>
      <c r="AH96" s="319">
        <v>0</v>
      </c>
      <c r="AI96" s="319">
        <v>2.573</v>
      </c>
      <c r="AJ96" s="319">
        <v>0.96870000000000001</v>
      </c>
      <c r="AK96" s="319">
        <v>9.06E-2</v>
      </c>
      <c r="AL96" s="319">
        <v>0.42499999999999999</v>
      </c>
      <c r="AM96" s="319">
        <v>5.7200000000000001E-2</v>
      </c>
      <c r="AN96" s="319">
        <v>9.2999999999999992E-3</v>
      </c>
      <c r="AO96" s="319">
        <v>0.21920000000000001</v>
      </c>
      <c r="AP96" s="319">
        <v>0</v>
      </c>
      <c r="AQ96" s="319">
        <v>0</v>
      </c>
      <c r="AR96" s="319">
        <v>0.46960000000000002</v>
      </c>
      <c r="AS96" s="319">
        <v>0.46960000000000002</v>
      </c>
      <c r="AT96" s="331">
        <v>0.26029999999999998</v>
      </c>
      <c r="AU96" s="336">
        <v>9.8610000000000007</v>
      </c>
      <c r="AV96" s="329">
        <v>9.8610000000000007</v>
      </c>
      <c r="AW96" s="337">
        <v>5.4657999999999989</v>
      </c>
      <c r="AX96" s="334"/>
      <c r="AY96" s="323">
        <v>7.764899999999999</v>
      </c>
      <c r="AZ96" s="323">
        <v>7.764899999999999</v>
      </c>
      <c r="BA96" s="323">
        <v>4.7858000000000001</v>
      </c>
      <c r="BB96" s="319"/>
      <c r="BC96" s="321">
        <f t="shared" si="6"/>
        <v>1.2699455240891708</v>
      </c>
      <c r="BD96" s="321">
        <f t="shared" si="7"/>
        <v>1.2699455240891708</v>
      </c>
      <c r="BE96" s="321">
        <f t="shared" si="8"/>
        <v>1.1420870073968823</v>
      </c>
      <c r="BG96" s="22">
        <f t="shared" si="9"/>
        <v>2.2759572004815709E-15</v>
      </c>
      <c r="BH96" s="22">
        <f t="shared" si="10"/>
        <v>-8.3266726846886741E-16</v>
      </c>
      <c r="BI96" s="22">
        <f t="shared" si="11"/>
        <v>-8.3266726846886741E-16</v>
      </c>
    </row>
    <row r="97" spans="2:61" x14ac:dyDescent="0.25">
      <c r="B97" s="312">
        <v>111</v>
      </c>
      <c r="C97" s="312" t="s">
        <v>682</v>
      </c>
      <c r="D97" s="312" t="s">
        <v>393</v>
      </c>
      <c r="E97" s="312">
        <v>5</v>
      </c>
      <c r="F97" s="312">
        <v>2</v>
      </c>
      <c r="G97" s="313" t="s">
        <v>99</v>
      </c>
      <c r="H97" s="313"/>
      <c r="I97" s="346">
        <v>4432.2299999999996</v>
      </c>
      <c r="J97" s="317">
        <v>4432.2299999999996</v>
      </c>
      <c r="K97" s="317">
        <v>0</v>
      </c>
      <c r="L97" s="317">
        <v>0</v>
      </c>
      <c r="M97" s="317"/>
      <c r="N97" s="319">
        <v>0.15529999999999999</v>
      </c>
      <c r="O97" s="319">
        <v>8.7499999999999994E-2</v>
      </c>
      <c r="P97" s="319">
        <v>0.34150000000000003</v>
      </c>
      <c r="Q97" s="319">
        <v>0</v>
      </c>
      <c r="R97" s="319">
        <v>0</v>
      </c>
      <c r="S97" s="319">
        <v>0.29959999999999998</v>
      </c>
      <c r="T97" s="319">
        <v>0</v>
      </c>
      <c r="U97" s="319">
        <v>0.62080000000000002</v>
      </c>
      <c r="V97" s="319">
        <v>0</v>
      </c>
      <c r="W97" s="319">
        <v>0</v>
      </c>
      <c r="X97" s="319">
        <v>0.85640000000000005</v>
      </c>
      <c r="Y97" s="319">
        <v>0</v>
      </c>
      <c r="Z97" s="319">
        <v>1.5920000000000001</v>
      </c>
      <c r="AA97" s="319">
        <v>0.21390000000000001</v>
      </c>
      <c r="AB97" s="319">
        <v>0.30120000000000002</v>
      </c>
      <c r="AC97" s="319">
        <v>9.0499999999999997E-2</v>
      </c>
      <c r="AD97" s="319">
        <v>0</v>
      </c>
      <c r="AE97" s="319">
        <v>0</v>
      </c>
      <c r="AF97" s="319">
        <v>0.11169999999999999</v>
      </c>
      <c r="AG97" s="319">
        <v>3.3399999999999999E-2</v>
      </c>
      <c r="AH97" s="319">
        <v>0</v>
      </c>
      <c r="AI97" s="319">
        <v>1.9689000000000001</v>
      </c>
      <c r="AJ97" s="319">
        <v>2.1063999999999998</v>
      </c>
      <c r="AK97" s="319">
        <v>9.9000000000000005E-2</v>
      </c>
      <c r="AL97" s="319">
        <v>0.43049999999999999</v>
      </c>
      <c r="AM97" s="319">
        <v>5.2999999999999999E-2</v>
      </c>
      <c r="AN97" s="319">
        <v>8.6E-3</v>
      </c>
      <c r="AO97" s="319">
        <v>0.4788</v>
      </c>
      <c r="AP97" s="319">
        <v>0</v>
      </c>
      <c r="AQ97" s="319">
        <v>0</v>
      </c>
      <c r="AR97" s="319">
        <v>0.49249999999999999</v>
      </c>
      <c r="AS97" s="319">
        <v>0.49249999999999999</v>
      </c>
      <c r="AT97" s="331">
        <v>0.2432</v>
      </c>
      <c r="AU97" s="336">
        <v>10.3415</v>
      </c>
      <c r="AV97" s="329">
        <v>10.3415</v>
      </c>
      <c r="AW97" s="337">
        <v>5.1075999999999997</v>
      </c>
      <c r="AX97" s="334"/>
      <c r="AY97" s="323">
        <v>8.2313000000000009</v>
      </c>
      <c r="AZ97" s="323">
        <v>8.2313000000000009</v>
      </c>
      <c r="BA97" s="323">
        <v>4.5436000000000005</v>
      </c>
      <c r="BB97" s="319"/>
      <c r="BC97" s="321">
        <f t="shared" si="6"/>
        <v>1.2563629074386791</v>
      </c>
      <c r="BD97" s="321">
        <f t="shared" si="7"/>
        <v>1.2563629074386791</v>
      </c>
      <c r="BE97" s="321">
        <f t="shared" si="8"/>
        <v>1.1241306453032835</v>
      </c>
      <c r="BG97" s="22">
        <f t="shared" si="9"/>
        <v>1.3877787807814457E-15</v>
      </c>
      <c r="BH97" s="22">
        <f t="shared" si="10"/>
        <v>-5.2735593669694936E-16</v>
      </c>
      <c r="BI97" s="22">
        <f t="shared" si="11"/>
        <v>-5.2735593669694936E-16</v>
      </c>
    </row>
    <row r="98" spans="2:61" x14ac:dyDescent="0.25">
      <c r="B98" s="312">
        <v>112</v>
      </c>
      <c r="C98" s="312" t="s">
        <v>684</v>
      </c>
      <c r="D98" s="312" t="s">
        <v>393</v>
      </c>
      <c r="E98" s="312">
        <v>5</v>
      </c>
      <c r="F98" s="312">
        <v>4</v>
      </c>
      <c r="G98" s="313" t="s">
        <v>100</v>
      </c>
      <c r="H98" s="313"/>
      <c r="I98" s="346">
        <v>2766.34</v>
      </c>
      <c r="J98" s="317">
        <v>2766.34</v>
      </c>
      <c r="K98" s="317">
        <v>0</v>
      </c>
      <c r="L98" s="317">
        <v>0</v>
      </c>
      <c r="M98" s="317"/>
      <c r="N98" s="319">
        <v>0.16589999999999999</v>
      </c>
      <c r="O98" s="319">
        <v>9.2100000000000001E-2</v>
      </c>
      <c r="P98" s="319">
        <v>0.32390000000000002</v>
      </c>
      <c r="Q98" s="319">
        <v>7.4300000000000005E-2</v>
      </c>
      <c r="R98" s="319">
        <v>2.8899999999999999E-2</v>
      </c>
      <c r="S98" s="319">
        <v>0.49719999999999998</v>
      </c>
      <c r="T98" s="319">
        <v>0</v>
      </c>
      <c r="U98" s="319">
        <v>0.63149999999999995</v>
      </c>
      <c r="V98" s="319">
        <v>0</v>
      </c>
      <c r="W98" s="319">
        <v>0</v>
      </c>
      <c r="X98" s="319">
        <v>0.1686</v>
      </c>
      <c r="Y98" s="319">
        <v>0</v>
      </c>
      <c r="Z98" s="319">
        <v>1.8734999999999999</v>
      </c>
      <c r="AA98" s="319">
        <v>0.21970000000000001</v>
      </c>
      <c r="AB98" s="319">
        <v>0.3266</v>
      </c>
      <c r="AC98" s="319">
        <v>8.8400000000000006E-2</v>
      </c>
      <c r="AD98" s="319">
        <v>0.10290000000000001</v>
      </c>
      <c r="AE98" s="319">
        <v>5.62E-2</v>
      </c>
      <c r="AF98" s="319">
        <v>0.1714</v>
      </c>
      <c r="AG98" s="319">
        <v>3.3500000000000002E-2</v>
      </c>
      <c r="AH98" s="319">
        <v>0</v>
      </c>
      <c r="AI98" s="319">
        <v>2.7823000000000002</v>
      </c>
      <c r="AJ98" s="319">
        <v>1.1402000000000001</v>
      </c>
      <c r="AK98" s="319">
        <v>8.8200000000000001E-2</v>
      </c>
      <c r="AL98" s="319">
        <v>0.64939999999999998</v>
      </c>
      <c r="AM98" s="319">
        <v>5.8000000000000003E-2</v>
      </c>
      <c r="AN98" s="319">
        <v>9.4000000000000004E-3</v>
      </c>
      <c r="AO98" s="319">
        <v>0.33489999999999998</v>
      </c>
      <c r="AP98" s="319">
        <v>0</v>
      </c>
      <c r="AQ98" s="319">
        <v>0</v>
      </c>
      <c r="AR98" s="319">
        <v>0.49590000000000001</v>
      </c>
      <c r="AS98" s="319">
        <v>0.49590000000000001</v>
      </c>
      <c r="AT98" s="331">
        <v>0.2505</v>
      </c>
      <c r="AU98" s="336">
        <v>10.4129</v>
      </c>
      <c r="AV98" s="329">
        <v>10.4129</v>
      </c>
      <c r="AW98" s="337">
        <v>5.2606999999999999</v>
      </c>
      <c r="AX98" s="334"/>
      <c r="AY98" s="323">
        <v>8.1997</v>
      </c>
      <c r="AZ98" s="323">
        <v>8.1997</v>
      </c>
      <c r="BA98" s="323">
        <v>4.6047999999999991</v>
      </c>
      <c r="BB98" s="319"/>
      <c r="BC98" s="321">
        <f t="shared" si="6"/>
        <v>1.2699123138651414</v>
      </c>
      <c r="BD98" s="321">
        <f t="shared" si="7"/>
        <v>1.2699123138651414</v>
      </c>
      <c r="BE98" s="321">
        <f t="shared" si="8"/>
        <v>1.1424383252258514</v>
      </c>
      <c r="BG98" s="22">
        <f t="shared" si="9"/>
        <v>5.5511151231257827E-16</v>
      </c>
      <c r="BH98" s="22">
        <f t="shared" si="10"/>
        <v>4.9960036108132044E-16</v>
      </c>
      <c r="BI98" s="22">
        <f t="shared" si="11"/>
        <v>4.9960036108132044E-16</v>
      </c>
    </row>
    <row r="99" spans="2:61" x14ac:dyDescent="0.25">
      <c r="B99" s="312">
        <v>113</v>
      </c>
      <c r="C99" s="312" t="s">
        <v>686</v>
      </c>
      <c r="D99" s="312" t="s">
        <v>393</v>
      </c>
      <c r="E99" s="312">
        <v>5</v>
      </c>
      <c r="F99" s="312">
        <v>6</v>
      </c>
      <c r="G99" s="313" t="s">
        <v>101</v>
      </c>
      <c r="H99" s="313"/>
      <c r="I99" s="346">
        <v>4477.1000000000004</v>
      </c>
      <c r="J99" s="317">
        <v>4477.1000000000004</v>
      </c>
      <c r="K99" s="317">
        <v>0</v>
      </c>
      <c r="L99" s="317">
        <v>0</v>
      </c>
      <c r="M99" s="317"/>
      <c r="N99" s="319">
        <v>0.15160000000000001</v>
      </c>
      <c r="O99" s="319">
        <v>8.4500000000000006E-2</v>
      </c>
      <c r="P99" s="319">
        <v>0.33179999999999998</v>
      </c>
      <c r="Q99" s="319">
        <v>7.2800000000000004E-2</v>
      </c>
      <c r="R99" s="319">
        <v>4.02E-2</v>
      </c>
      <c r="S99" s="319">
        <v>0.58509999999999995</v>
      </c>
      <c r="T99" s="319">
        <v>0</v>
      </c>
      <c r="U99" s="319">
        <v>0.63149999999999995</v>
      </c>
      <c r="V99" s="319">
        <v>0</v>
      </c>
      <c r="W99" s="319">
        <v>0</v>
      </c>
      <c r="X99" s="319">
        <v>0.159</v>
      </c>
      <c r="Y99" s="319">
        <v>0</v>
      </c>
      <c r="Z99" s="319">
        <v>1.9968999999999999</v>
      </c>
      <c r="AA99" s="319">
        <v>0.20480000000000001</v>
      </c>
      <c r="AB99" s="319">
        <v>0.29970000000000002</v>
      </c>
      <c r="AC99" s="319">
        <v>9.0700000000000003E-2</v>
      </c>
      <c r="AD99" s="319">
        <v>8.2299999999999998E-2</v>
      </c>
      <c r="AE99" s="319">
        <v>7.8100000000000003E-2</v>
      </c>
      <c r="AF99" s="319">
        <v>0.2205</v>
      </c>
      <c r="AG99" s="319">
        <v>3.2199999999999999E-2</v>
      </c>
      <c r="AH99" s="319">
        <v>0</v>
      </c>
      <c r="AI99" s="319">
        <v>2.7185999999999999</v>
      </c>
      <c r="AJ99" s="319">
        <v>1.024</v>
      </c>
      <c r="AK99" s="319">
        <v>9.11E-2</v>
      </c>
      <c r="AL99" s="319">
        <v>0.59040000000000004</v>
      </c>
      <c r="AM99" s="319">
        <v>5.7500000000000002E-2</v>
      </c>
      <c r="AN99" s="319">
        <v>9.2999999999999992E-3</v>
      </c>
      <c r="AO99" s="319">
        <v>0.3468</v>
      </c>
      <c r="AP99" s="319">
        <v>0</v>
      </c>
      <c r="AQ99" s="319">
        <v>0</v>
      </c>
      <c r="AR99" s="319">
        <v>0.495</v>
      </c>
      <c r="AS99" s="319">
        <v>0.495</v>
      </c>
      <c r="AT99" s="331">
        <v>0.26100000000000001</v>
      </c>
      <c r="AU99" s="336">
        <v>10.394399999999997</v>
      </c>
      <c r="AV99" s="329">
        <v>10.394399999999997</v>
      </c>
      <c r="AW99" s="337">
        <v>5.4805999999999981</v>
      </c>
      <c r="AX99" s="334"/>
      <c r="AY99" s="323">
        <v>8.184899999999999</v>
      </c>
      <c r="AZ99" s="323">
        <v>8.184899999999999</v>
      </c>
      <c r="BA99" s="323">
        <v>4.7876999999999992</v>
      </c>
      <c r="BB99" s="319"/>
      <c r="BC99" s="321">
        <f t="shared" si="6"/>
        <v>1.2699483194663341</v>
      </c>
      <c r="BD99" s="321">
        <f t="shared" si="7"/>
        <v>1.2699483194663341</v>
      </c>
      <c r="BE99" s="321">
        <f t="shared" si="8"/>
        <v>1.1447250245420555</v>
      </c>
      <c r="BG99" s="22">
        <f t="shared" si="9"/>
        <v>-3.4416913763379853E-15</v>
      </c>
      <c r="BH99" s="22">
        <f t="shared" si="10"/>
        <v>-1.0547118733938987E-15</v>
      </c>
      <c r="BI99" s="22">
        <f t="shared" si="11"/>
        <v>-1.0547118733938987E-15</v>
      </c>
    </row>
    <row r="100" spans="2:61" x14ac:dyDescent="0.25">
      <c r="B100" s="312">
        <v>114</v>
      </c>
      <c r="C100" s="312" t="s">
        <v>688</v>
      </c>
      <c r="D100" s="312" t="s">
        <v>393</v>
      </c>
      <c r="E100" s="312">
        <v>5</v>
      </c>
      <c r="F100" s="312">
        <v>4</v>
      </c>
      <c r="G100" s="313" t="s">
        <v>102</v>
      </c>
      <c r="H100" s="313"/>
      <c r="I100" s="346">
        <v>2752.74</v>
      </c>
      <c r="J100" s="317">
        <v>2752.74</v>
      </c>
      <c r="K100" s="317">
        <v>0</v>
      </c>
      <c r="L100" s="317">
        <v>0</v>
      </c>
      <c r="M100" s="317"/>
      <c r="N100" s="319">
        <v>0.16689999999999999</v>
      </c>
      <c r="O100" s="319">
        <v>9.2499999999999999E-2</v>
      </c>
      <c r="P100" s="319">
        <v>0.32490000000000002</v>
      </c>
      <c r="Q100" s="319">
        <v>7.4200000000000002E-2</v>
      </c>
      <c r="R100" s="319">
        <v>2.9000000000000001E-2</v>
      </c>
      <c r="S100" s="319">
        <v>0.49969999999999998</v>
      </c>
      <c r="T100" s="319">
        <v>0</v>
      </c>
      <c r="U100" s="319">
        <v>0.63149999999999995</v>
      </c>
      <c r="V100" s="319">
        <v>0</v>
      </c>
      <c r="W100" s="319">
        <v>0</v>
      </c>
      <c r="X100" s="319">
        <v>0.1724</v>
      </c>
      <c r="Y100" s="319">
        <v>0</v>
      </c>
      <c r="Z100" s="319">
        <v>2.6328</v>
      </c>
      <c r="AA100" s="319">
        <v>0.2213</v>
      </c>
      <c r="AB100" s="319">
        <v>0.32819999999999999</v>
      </c>
      <c r="AC100" s="319">
        <v>8.7900000000000006E-2</v>
      </c>
      <c r="AD100" s="319">
        <v>0.1028</v>
      </c>
      <c r="AE100" s="319">
        <v>5.6500000000000002E-2</v>
      </c>
      <c r="AF100" s="319">
        <v>0.17230000000000001</v>
      </c>
      <c r="AG100" s="319">
        <v>3.3599999999999998E-2</v>
      </c>
      <c r="AH100" s="319">
        <v>0</v>
      </c>
      <c r="AI100" s="319">
        <v>1.3677999999999999</v>
      </c>
      <c r="AJ100" s="319">
        <v>1.1383000000000001</v>
      </c>
      <c r="AK100" s="319">
        <v>8.6099999999999996E-2</v>
      </c>
      <c r="AL100" s="319">
        <v>0.63629999999999998</v>
      </c>
      <c r="AM100" s="319">
        <v>5.8299999999999998E-2</v>
      </c>
      <c r="AN100" s="319">
        <v>9.4999999999999998E-3</v>
      </c>
      <c r="AO100" s="319">
        <v>0.4889</v>
      </c>
      <c r="AP100" s="319">
        <v>0</v>
      </c>
      <c r="AQ100" s="319">
        <v>0</v>
      </c>
      <c r="AR100" s="319">
        <v>0.47060000000000002</v>
      </c>
      <c r="AS100" s="319">
        <v>0.47060000000000002</v>
      </c>
      <c r="AT100" s="331">
        <v>0.28899999999999998</v>
      </c>
      <c r="AU100" s="336">
        <v>9.8822999999999972</v>
      </c>
      <c r="AV100" s="329">
        <v>9.8822999999999972</v>
      </c>
      <c r="AW100" s="337">
        <v>6.0693999999999981</v>
      </c>
      <c r="AX100" s="334"/>
      <c r="AY100" s="323">
        <v>7.7818000000000005</v>
      </c>
      <c r="AZ100" s="323">
        <v>7.7818000000000005</v>
      </c>
      <c r="BA100" s="323">
        <v>4.9481000000000002</v>
      </c>
      <c r="BB100" s="319"/>
      <c r="BC100" s="321">
        <f t="shared" si="6"/>
        <v>1.269924696085738</v>
      </c>
      <c r="BD100" s="321">
        <f t="shared" si="7"/>
        <v>1.269924696085738</v>
      </c>
      <c r="BE100" s="321">
        <f t="shared" si="8"/>
        <v>1.2266122349992923</v>
      </c>
      <c r="BG100" s="22">
        <f t="shared" si="9"/>
        <v>-1.8873791418627661E-15</v>
      </c>
      <c r="BH100" s="22">
        <f t="shared" si="10"/>
        <v>-3.0531133177191805E-16</v>
      </c>
      <c r="BI100" s="22">
        <f t="shared" si="11"/>
        <v>-2.0816681711721685E-15</v>
      </c>
    </row>
    <row r="101" spans="2:61" x14ac:dyDescent="0.25">
      <c r="B101" s="312">
        <v>116</v>
      </c>
      <c r="C101" s="312" t="s">
        <v>692</v>
      </c>
      <c r="D101" s="312" t="s">
        <v>393</v>
      </c>
      <c r="E101" s="312">
        <v>5</v>
      </c>
      <c r="F101" s="312">
        <v>2</v>
      </c>
      <c r="G101" s="313" t="s">
        <v>103</v>
      </c>
      <c r="H101" s="313"/>
      <c r="I101" s="346">
        <v>1942.7</v>
      </c>
      <c r="J101" s="317">
        <v>1942.7</v>
      </c>
      <c r="K101" s="317">
        <v>0</v>
      </c>
      <c r="L101" s="317">
        <v>0</v>
      </c>
      <c r="M101" s="317"/>
      <c r="N101" s="319">
        <v>0.23649999999999999</v>
      </c>
      <c r="O101" s="319">
        <v>0.13489999999999999</v>
      </c>
      <c r="P101" s="319">
        <v>0.34210000000000002</v>
      </c>
      <c r="Q101" s="319">
        <v>8.3799999999999999E-2</v>
      </c>
      <c r="R101" s="319">
        <v>2.06E-2</v>
      </c>
      <c r="S101" s="319">
        <v>0.2545</v>
      </c>
      <c r="T101" s="319">
        <v>0</v>
      </c>
      <c r="U101" s="319">
        <v>0.63149999999999995</v>
      </c>
      <c r="V101" s="319">
        <v>0</v>
      </c>
      <c r="W101" s="319">
        <v>0</v>
      </c>
      <c r="X101" s="319">
        <v>0.2442</v>
      </c>
      <c r="Y101" s="319">
        <v>0</v>
      </c>
      <c r="Z101" s="319">
        <v>1.3822000000000001</v>
      </c>
      <c r="AA101" s="319">
        <v>0.35670000000000002</v>
      </c>
      <c r="AB101" s="319">
        <v>0.53169999999999995</v>
      </c>
      <c r="AC101" s="319">
        <v>0.1114</v>
      </c>
      <c r="AD101" s="319">
        <v>6.5199999999999994E-2</v>
      </c>
      <c r="AE101" s="319">
        <v>0.04</v>
      </c>
      <c r="AF101" s="319">
        <v>0.12</v>
      </c>
      <c r="AG101" s="319">
        <v>5.57E-2</v>
      </c>
      <c r="AH101" s="319">
        <v>0</v>
      </c>
      <c r="AI101" s="319">
        <v>2.6692999999999998</v>
      </c>
      <c r="AJ101" s="319">
        <v>1.1025</v>
      </c>
      <c r="AK101" s="319">
        <v>0.1002</v>
      </c>
      <c r="AL101" s="319">
        <v>0.56020000000000003</v>
      </c>
      <c r="AM101" s="319">
        <v>6.0100000000000001E-2</v>
      </c>
      <c r="AN101" s="319">
        <v>9.7000000000000003E-3</v>
      </c>
      <c r="AO101" s="319">
        <v>1.1936</v>
      </c>
      <c r="AP101" s="319">
        <v>0</v>
      </c>
      <c r="AQ101" s="319">
        <v>0</v>
      </c>
      <c r="AR101" s="319">
        <v>0.51529999999999998</v>
      </c>
      <c r="AS101" s="319">
        <v>0.51529999999999998</v>
      </c>
      <c r="AT101" s="331">
        <v>0.23910000000000001</v>
      </c>
      <c r="AU101" s="336">
        <v>10.821899999999999</v>
      </c>
      <c r="AV101" s="329">
        <v>10.821899999999999</v>
      </c>
      <c r="AW101" s="337">
        <v>5.0200999999999993</v>
      </c>
      <c r="AX101" s="334"/>
      <c r="AY101" s="323">
        <v>8.5216999999999992</v>
      </c>
      <c r="AZ101" s="323">
        <v>8.5216999999999992</v>
      </c>
      <c r="BA101" s="323">
        <v>4.7466999999999997</v>
      </c>
      <c r="BB101" s="319"/>
      <c r="BC101" s="321">
        <f t="shared" si="6"/>
        <v>1.2699226680122511</v>
      </c>
      <c r="BD101" s="321">
        <f t="shared" si="7"/>
        <v>1.2699226680122511</v>
      </c>
      <c r="BE101" s="321">
        <f t="shared" si="8"/>
        <v>1.0575979101270356</v>
      </c>
      <c r="BG101" s="22">
        <f t="shared" si="9"/>
        <v>0</v>
      </c>
      <c r="BH101" s="22">
        <f t="shared" si="10"/>
        <v>3.6082248300317588E-16</v>
      </c>
      <c r="BI101" s="22">
        <f t="shared" si="11"/>
        <v>3.6082248300317588E-16</v>
      </c>
    </row>
    <row r="102" spans="2:61" x14ac:dyDescent="0.25">
      <c r="B102" s="312">
        <v>117</v>
      </c>
      <c r="C102" s="312" t="s">
        <v>694</v>
      </c>
      <c r="D102" s="312" t="s">
        <v>393</v>
      </c>
      <c r="E102" s="312">
        <v>5</v>
      </c>
      <c r="F102" s="312">
        <v>4</v>
      </c>
      <c r="G102" s="313" t="s">
        <v>104</v>
      </c>
      <c r="H102" s="313"/>
      <c r="I102" s="346">
        <v>2736.54</v>
      </c>
      <c r="J102" s="317">
        <v>2736.54</v>
      </c>
      <c r="K102" s="317">
        <v>0</v>
      </c>
      <c r="L102" s="317">
        <v>0</v>
      </c>
      <c r="M102" s="317"/>
      <c r="N102" s="319">
        <v>0.1678</v>
      </c>
      <c r="O102" s="319">
        <v>9.2999999999999999E-2</v>
      </c>
      <c r="P102" s="319">
        <v>0.32429999999999998</v>
      </c>
      <c r="Q102" s="319">
        <v>7.4399999999999994E-2</v>
      </c>
      <c r="R102" s="319">
        <v>2.92E-2</v>
      </c>
      <c r="S102" s="319">
        <v>0.50270000000000004</v>
      </c>
      <c r="T102" s="319">
        <v>0</v>
      </c>
      <c r="U102" s="319">
        <v>0.63149999999999995</v>
      </c>
      <c r="V102" s="319">
        <v>0</v>
      </c>
      <c r="W102" s="319">
        <v>0</v>
      </c>
      <c r="X102" s="319">
        <v>0.1734</v>
      </c>
      <c r="Y102" s="319">
        <v>0</v>
      </c>
      <c r="Z102" s="319">
        <v>1.883</v>
      </c>
      <c r="AA102" s="319">
        <v>0.22239999999999999</v>
      </c>
      <c r="AB102" s="319">
        <v>0.33</v>
      </c>
      <c r="AC102" s="319">
        <v>8.7900000000000006E-2</v>
      </c>
      <c r="AD102" s="319">
        <v>0.10440000000000001</v>
      </c>
      <c r="AE102" s="319">
        <v>5.6800000000000003E-2</v>
      </c>
      <c r="AF102" s="319">
        <v>0.17330000000000001</v>
      </c>
      <c r="AG102" s="319">
        <v>3.3700000000000001E-2</v>
      </c>
      <c r="AH102" s="319">
        <v>0</v>
      </c>
      <c r="AI102" s="319">
        <v>2.2711999999999999</v>
      </c>
      <c r="AJ102" s="319">
        <v>1.1431</v>
      </c>
      <c r="AK102" s="319">
        <v>9.2799999999999994E-2</v>
      </c>
      <c r="AL102" s="319">
        <v>0.64080000000000004</v>
      </c>
      <c r="AM102" s="319">
        <v>5.8599999999999999E-2</v>
      </c>
      <c r="AN102" s="319">
        <v>9.4999999999999998E-3</v>
      </c>
      <c r="AO102" s="319">
        <v>0.58250000000000002</v>
      </c>
      <c r="AP102" s="319">
        <v>0</v>
      </c>
      <c r="AQ102" s="319">
        <v>0</v>
      </c>
      <c r="AR102" s="319">
        <v>0.48430000000000001</v>
      </c>
      <c r="AS102" s="319">
        <v>0.48430000000000001</v>
      </c>
      <c r="AT102" s="331">
        <v>0.25240000000000001</v>
      </c>
      <c r="AU102" s="336">
        <v>10.1706</v>
      </c>
      <c r="AV102" s="329">
        <v>10.1706</v>
      </c>
      <c r="AW102" s="337">
        <v>5.3010999999999999</v>
      </c>
      <c r="AX102" s="334"/>
      <c r="AY102" s="323">
        <v>8.008799999999999</v>
      </c>
      <c r="AZ102" s="323">
        <v>8.008799999999999</v>
      </c>
      <c r="BA102" s="323">
        <v>4.6524000000000001</v>
      </c>
      <c r="BB102" s="319"/>
      <c r="BC102" s="321">
        <f t="shared" si="6"/>
        <v>1.2699280791129759</v>
      </c>
      <c r="BD102" s="321">
        <f t="shared" si="7"/>
        <v>1.2699280791129759</v>
      </c>
      <c r="BE102" s="321">
        <f t="shared" si="8"/>
        <v>1.1394334107127504</v>
      </c>
      <c r="BG102" s="22">
        <f t="shared" si="9"/>
        <v>-1.8318679906315083E-15</v>
      </c>
      <c r="BH102" s="22">
        <f t="shared" si="10"/>
        <v>0</v>
      </c>
      <c r="BI102" s="22">
        <f t="shared" si="11"/>
        <v>0</v>
      </c>
    </row>
    <row r="103" spans="2:61" x14ac:dyDescent="0.25">
      <c r="B103" s="312">
        <v>118</v>
      </c>
      <c r="C103" s="312" t="s">
        <v>696</v>
      </c>
      <c r="D103" s="312"/>
      <c r="E103" s="312">
        <v>5</v>
      </c>
      <c r="F103" s="312">
        <v>6</v>
      </c>
      <c r="G103" s="313" t="s">
        <v>105</v>
      </c>
      <c r="H103" s="313"/>
      <c r="I103" s="346">
        <v>4438.1000000000004</v>
      </c>
      <c r="J103" s="317">
        <v>4408.6000000000004</v>
      </c>
      <c r="K103" s="317">
        <v>0</v>
      </c>
      <c r="L103" s="317">
        <v>29.5</v>
      </c>
      <c r="M103" s="317"/>
      <c r="N103" s="319">
        <v>0.1527</v>
      </c>
      <c r="O103" s="319">
        <v>8.5300000000000001E-2</v>
      </c>
      <c r="P103" s="319">
        <v>0.33250000000000002</v>
      </c>
      <c r="Q103" s="319">
        <v>7.4800000000000005E-2</v>
      </c>
      <c r="R103" s="319">
        <v>3.5999999999999997E-2</v>
      </c>
      <c r="S103" s="319">
        <v>0.5847</v>
      </c>
      <c r="T103" s="319">
        <v>0</v>
      </c>
      <c r="U103" s="319">
        <v>0.63149999999999995</v>
      </c>
      <c r="V103" s="319">
        <v>0</v>
      </c>
      <c r="W103" s="319">
        <v>0</v>
      </c>
      <c r="X103" s="319">
        <v>0.16039999999999999</v>
      </c>
      <c r="Y103" s="319">
        <v>0</v>
      </c>
      <c r="Z103" s="319">
        <v>2.2827000000000002</v>
      </c>
      <c r="AA103" s="319">
        <v>0.20630000000000001</v>
      </c>
      <c r="AB103" s="319">
        <v>0.30709999999999998</v>
      </c>
      <c r="AC103" s="319">
        <v>9.0999999999999998E-2</v>
      </c>
      <c r="AD103" s="319">
        <v>0.1021</v>
      </c>
      <c r="AE103" s="319">
        <v>7.0000000000000007E-2</v>
      </c>
      <c r="AF103" s="319">
        <v>0.215</v>
      </c>
      <c r="AG103" s="319">
        <v>3.2300000000000002E-2</v>
      </c>
      <c r="AH103" s="319">
        <v>0</v>
      </c>
      <c r="AI103" s="319">
        <v>2.4348999999999998</v>
      </c>
      <c r="AJ103" s="319">
        <v>1.0692999999999999</v>
      </c>
      <c r="AK103" s="319">
        <v>8.8200000000000001E-2</v>
      </c>
      <c r="AL103" s="319">
        <v>0.42570000000000002</v>
      </c>
      <c r="AM103" s="319">
        <v>5.0799999999999998E-2</v>
      </c>
      <c r="AN103" s="319">
        <v>8.2000000000000007E-3</v>
      </c>
      <c r="AO103" s="319">
        <v>0.2465</v>
      </c>
      <c r="AP103" s="319">
        <v>0</v>
      </c>
      <c r="AQ103" s="319">
        <v>0</v>
      </c>
      <c r="AR103" s="319">
        <v>0.4844</v>
      </c>
      <c r="AS103" s="319">
        <v>0.4844</v>
      </c>
      <c r="AT103" s="331">
        <v>0.27560000000000001</v>
      </c>
      <c r="AU103" s="336">
        <v>10.172400000000003</v>
      </c>
      <c r="AV103" s="329">
        <v>10.172400000000003</v>
      </c>
      <c r="AW103" s="337">
        <v>5.7872000000000021</v>
      </c>
      <c r="AX103" s="334"/>
      <c r="AY103" s="323">
        <v>8.0101999999999993</v>
      </c>
      <c r="AZ103" s="323">
        <v>8.0101999999999993</v>
      </c>
      <c r="BA103" s="323">
        <v>4.9372999999999996</v>
      </c>
      <c r="BB103" s="319"/>
      <c r="BC103" s="321">
        <f t="shared" si="6"/>
        <v>1.2699308381813192</v>
      </c>
      <c r="BD103" s="321">
        <f t="shared" si="7"/>
        <v>1.2699308381813192</v>
      </c>
      <c r="BE103" s="321">
        <f t="shared" si="8"/>
        <v>1.1721386182731457</v>
      </c>
      <c r="BG103" s="22">
        <f t="shared" si="9"/>
        <v>6.3282712403633923E-15</v>
      </c>
      <c r="BH103" s="22">
        <f t="shared" si="10"/>
        <v>0</v>
      </c>
      <c r="BI103" s="22">
        <f t="shared" si="11"/>
        <v>1.7763568394002505E-15</v>
      </c>
    </row>
    <row r="104" spans="2:61" x14ac:dyDescent="0.25">
      <c r="B104" s="312">
        <v>119</v>
      </c>
      <c r="C104" s="312" t="s">
        <v>698</v>
      </c>
      <c r="D104" s="312"/>
      <c r="E104" s="312">
        <v>5</v>
      </c>
      <c r="F104" s="312">
        <v>2</v>
      </c>
      <c r="G104" s="313" t="s">
        <v>106</v>
      </c>
      <c r="H104" s="313"/>
      <c r="I104" s="346">
        <v>4429.8999999999996</v>
      </c>
      <c r="J104" s="317">
        <v>4429.8999999999996</v>
      </c>
      <c r="K104" s="317">
        <v>0</v>
      </c>
      <c r="L104" s="317">
        <v>0</v>
      </c>
      <c r="M104" s="317"/>
      <c r="N104" s="319">
        <v>0.15620000000000001</v>
      </c>
      <c r="O104" s="319">
        <v>8.7599999999999997E-2</v>
      </c>
      <c r="P104" s="319">
        <v>0.33229999999999998</v>
      </c>
      <c r="Q104" s="319">
        <v>7.2999999999999995E-2</v>
      </c>
      <c r="R104" s="319">
        <v>0</v>
      </c>
      <c r="S104" s="319">
        <v>0.29980000000000001</v>
      </c>
      <c r="T104" s="319">
        <v>0</v>
      </c>
      <c r="U104" s="319">
        <v>0.63149999999999995</v>
      </c>
      <c r="V104" s="319">
        <v>0</v>
      </c>
      <c r="W104" s="319">
        <v>0</v>
      </c>
      <c r="X104" s="319">
        <v>0.28560000000000002</v>
      </c>
      <c r="Y104" s="319">
        <v>0</v>
      </c>
      <c r="Z104" s="319">
        <v>1.2329000000000001</v>
      </c>
      <c r="AA104" s="319">
        <v>0.21659999999999999</v>
      </c>
      <c r="AB104" s="319">
        <v>0.3105</v>
      </c>
      <c r="AC104" s="319">
        <v>8.2699999999999996E-2</v>
      </c>
      <c r="AD104" s="319">
        <v>8.7599999999999997E-2</v>
      </c>
      <c r="AE104" s="319">
        <v>0</v>
      </c>
      <c r="AF104" s="319">
        <v>0.11169999999999999</v>
      </c>
      <c r="AG104" s="319">
        <v>3.3700000000000001E-2</v>
      </c>
      <c r="AH104" s="319">
        <v>0</v>
      </c>
      <c r="AI104" s="319">
        <v>2.5726</v>
      </c>
      <c r="AJ104" s="319">
        <v>2.3233999999999999</v>
      </c>
      <c r="AK104" s="319">
        <v>9.9699999999999997E-2</v>
      </c>
      <c r="AL104" s="319">
        <v>0.57040000000000002</v>
      </c>
      <c r="AM104" s="319">
        <v>5.8200000000000002E-2</v>
      </c>
      <c r="AN104" s="319">
        <v>9.4000000000000004E-3</v>
      </c>
      <c r="AO104" s="319">
        <v>0.30609999999999998</v>
      </c>
      <c r="AP104" s="319">
        <v>0</v>
      </c>
      <c r="AQ104" s="319">
        <v>0</v>
      </c>
      <c r="AR104" s="319">
        <v>0.49409999999999998</v>
      </c>
      <c r="AS104" s="319">
        <v>0.49409999999999998</v>
      </c>
      <c r="AT104" s="331">
        <v>0.20549999999999999</v>
      </c>
      <c r="AU104" s="336">
        <v>10.375599999999999</v>
      </c>
      <c r="AV104" s="329">
        <v>10.375599999999999</v>
      </c>
      <c r="AW104" s="337">
        <v>4.3144999999999998</v>
      </c>
      <c r="AX104" s="334"/>
      <c r="AY104" s="323">
        <v>8.1702000000000012</v>
      </c>
      <c r="AZ104" s="323">
        <v>8.1702000000000012</v>
      </c>
      <c r="BA104" s="323">
        <v>3.8537000000000012</v>
      </c>
      <c r="BB104" s="319"/>
      <c r="BC104" s="321">
        <f t="shared" si="6"/>
        <v>1.2699321926023839</v>
      </c>
      <c r="BD104" s="321">
        <f t="shared" si="7"/>
        <v>1.2699321926023839</v>
      </c>
      <c r="BE104" s="321">
        <f t="shared" si="8"/>
        <v>1.1195733969950952</v>
      </c>
      <c r="BG104" s="22">
        <f t="shared" si="9"/>
        <v>-2.0539125955565396E-15</v>
      </c>
      <c r="BH104" s="22">
        <f t="shared" si="10"/>
        <v>0</v>
      </c>
      <c r="BI104" s="22">
        <f t="shared" si="11"/>
        <v>-1.0547118733938987E-15</v>
      </c>
    </row>
    <row r="105" spans="2:61" x14ac:dyDescent="0.25">
      <c r="B105" s="312">
        <v>120</v>
      </c>
      <c r="C105" s="312" t="s">
        <v>700</v>
      </c>
      <c r="D105" s="312"/>
      <c r="E105" s="312">
        <v>5</v>
      </c>
      <c r="F105" s="312">
        <v>2</v>
      </c>
      <c r="G105" s="313" t="s">
        <v>107</v>
      </c>
      <c r="H105" s="313"/>
      <c r="I105" s="346">
        <v>4382.8999999999996</v>
      </c>
      <c r="J105" s="317">
        <v>4382.8999999999996</v>
      </c>
      <c r="K105" s="317">
        <v>0</v>
      </c>
      <c r="L105" s="317">
        <v>0</v>
      </c>
      <c r="M105" s="317"/>
      <c r="N105" s="319">
        <v>0.1578</v>
      </c>
      <c r="O105" s="319">
        <v>8.8499999999999995E-2</v>
      </c>
      <c r="P105" s="319">
        <v>0.33139999999999997</v>
      </c>
      <c r="Q105" s="319">
        <v>7.3200000000000001E-2</v>
      </c>
      <c r="R105" s="319">
        <v>0</v>
      </c>
      <c r="S105" s="319">
        <v>0.30299999999999999</v>
      </c>
      <c r="T105" s="319">
        <v>0</v>
      </c>
      <c r="U105" s="319">
        <v>0.63149999999999995</v>
      </c>
      <c r="V105" s="319">
        <v>0</v>
      </c>
      <c r="W105" s="319">
        <v>0</v>
      </c>
      <c r="X105" s="319">
        <v>0.28870000000000001</v>
      </c>
      <c r="Y105" s="319">
        <v>0</v>
      </c>
      <c r="Z105" s="319">
        <v>1.6358999999999999</v>
      </c>
      <c r="AA105" s="319">
        <v>0.21890000000000001</v>
      </c>
      <c r="AB105" s="319">
        <v>0.31390000000000001</v>
      </c>
      <c r="AC105" s="319">
        <v>8.2299999999999998E-2</v>
      </c>
      <c r="AD105" s="319">
        <v>8.9399999999999993E-2</v>
      </c>
      <c r="AE105" s="319">
        <v>0</v>
      </c>
      <c r="AF105" s="319">
        <v>0.1129</v>
      </c>
      <c r="AG105" s="319">
        <v>3.4000000000000002E-2</v>
      </c>
      <c r="AH105" s="319">
        <v>0</v>
      </c>
      <c r="AI105" s="319">
        <v>2.3492999999999999</v>
      </c>
      <c r="AJ105" s="319">
        <v>1.2828999999999999</v>
      </c>
      <c r="AK105" s="319">
        <v>0.1119</v>
      </c>
      <c r="AL105" s="319">
        <v>0.4572</v>
      </c>
      <c r="AM105" s="319">
        <v>5.7500000000000002E-2</v>
      </c>
      <c r="AN105" s="319">
        <v>9.2999999999999992E-3</v>
      </c>
      <c r="AO105" s="319">
        <v>0.50780000000000003</v>
      </c>
      <c r="AP105" s="319">
        <v>0</v>
      </c>
      <c r="AQ105" s="319">
        <v>0</v>
      </c>
      <c r="AR105" s="319">
        <v>0.45689999999999997</v>
      </c>
      <c r="AS105" s="319">
        <v>0.45689999999999997</v>
      </c>
      <c r="AT105" s="331">
        <v>0.22700000000000001</v>
      </c>
      <c r="AU105" s="336">
        <v>9.5941999999999972</v>
      </c>
      <c r="AV105" s="329">
        <v>9.5941999999999972</v>
      </c>
      <c r="AW105" s="337">
        <v>4.7670999999999992</v>
      </c>
      <c r="AX105" s="334"/>
      <c r="AY105" s="323">
        <v>7.5549999999999997</v>
      </c>
      <c r="AZ105" s="323">
        <v>7.5549999999999997</v>
      </c>
      <c r="BA105" s="323">
        <v>3.9611000000000001</v>
      </c>
      <c r="BB105" s="319"/>
      <c r="BC105" s="321">
        <f t="shared" si="6"/>
        <v>1.2699139642620778</v>
      </c>
      <c r="BD105" s="321">
        <f t="shared" si="7"/>
        <v>1.2699139642620778</v>
      </c>
      <c r="BE105" s="321">
        <f t="shared" si="8"/>
        <v>1.2034788316376761</v>
      </c>
      <c r="BG105" s="22">
        <f t="shared" si="9"/>
        <v>-2.55351295663786E-15</v>
      </c>
      <c r="BH105" s="22">
        <f t="shared" si="10"/>
        <v>0</v>
      </c>
      <c r="BI105" s="22">
        <f t="shared" si="11"/>
        <v>-8.6042284408449632E-16</v>
      </c>
    </row>
    <row r="106" spans="2:61" x14ac:dyDescent="0.25">
      <c r="B106" s="312">
        <v>121</v>
      </c>
      <c r="C106" s="312" t="s">
        <v>702</v>
      </c>
      <c r="D106" s="312"/>
      <c r="E106" s="312">
        <v>5</v>
      </c>
      <c r="F106" s="312">
        <v>4</v>
      </c>
      <c r="G106" s="313" t="s">
        <v>108</v>
      </c>
      <c r="H106" s="313"/>
      <c r="I106" s="346">
        <v>2753</v>
      </c>
      <c r="J106" s="317">
        <v>2753</v>
      </c>
      <c r="K106" s="317">
        <v>0</v>
      </c>
      <c r="L106" s="317">
        <v>0</v>
      </c>
      <c r="M106" s="317"/>
      <c r="N106" s="319">
        <v>0.16689999999999999</v>
      </c>
      <c r="O106" s="319">
        <v>9.2499999999999999E-2</v>
      </c>
      <c r="P106" s="319">
        <v>0.3246</v>
      </c>
      <c r="Q106" s="319">
        <v>7.4200000000000002E-2</v>
      </c>
      <c r="R106" s="319">
        <v>2.9000000000000001E-2</v>
      </c>
      <c r="S106" s="319">
        <v>0.49959999999999999</v>
      </c>
      <c r="T106" s="319">
        <v>0</v>
      </c>
      <c r="U106" s="319">
        <v>0.63149999999999995</v>
      </c>
      <c r="V106" s="319">
        <v>0</v>
      </c>
      <c r="W106" s="319">
        <v>0</v>
      </c>
      <c r="X106" s="319">
        <v>0.17230000000000001</v>
      </c>
      <c r="Y106" s="319">
        <v>0</v>
      </c>
      <c r="Z106" s="319">
        <v>1.2352000000000001</v>
      </c>
      <c r="AA106" s="319">
        <v>0.22120000000000001</v>
      </c>
      <c r="AB106" s="319">
        <v>0.3281</v>
      </c>
      <c r="AC106" s="319">
        <v>8.7900000000000006E-2</v>
      </c>
      <c r="AD106" s="319">
        <v>0.1027</v>
      </c>
      <c r="AE106" s="319">
        <v>5.6500000000000002E-2</v>
      </c>
      <c r="AF106" s="319">
        <v>0.17219999999999999</v>
      </c>
      <c r="AG106" s="319">
        <v>3.3599999999999998E-2</v>
      </c>
      <c r="AH106" s="319">
        <v>0</v>
      </c>
      <c r="AI106" s="319">
        <v>3.4823</v>
      </c>
      <c r="AJ106" s="319">
        <v>1.127</v>
      </c>
      <c r="AK106" s="319">
        <v>8.8499999999999995E-2</v>
      </c>
      <c r="AL106" s="319">
        <v>0.76139999999999997</v>
      </c>
      <c r="AM106" s="319">
        <v>5.1400000000000001E-2</v>
      </c>
      <c r="AN106" s="319">
        <v>8.3000000000000001E-3</v>
      </c>
      <c r="AO106" s="319">
        <v>0.2331</v>
      </c>
      <c r="AP106" s="319">
        <v>0</v>
      </c>
      <c r="AQ106" s="319">
        <v>0</v>
      </c>
      <c r="AR106" s="319">
        <v>0.499</v>
      </c>
      <c r="AS106" s="319">
        <v>0.499</v>
      </c>
      <c r="AT106" s="331">
        <v>0.21879999999999999</v>
      </c>
      <c r="AU106" s="336">
        <v>10.479000000000001</v>
      </c>
      <c r="AV106" s="329">
        <v>10.479000000000001</v>
      </c>
      <c r="AW106" s="337">
        <v>4.5950000000000006</v>
      </c>
      <c r="AX106" s="334"/>
      <c r="AY106" s="323">
        <v>8.2516999999999996</v>
      </c>
      <c r="AZ106" s="323">
        <v>8.2516999999999996</v>
      </c>
      <c r="BA106" s="323">
        <v>4.2091000000000012</v>
      </c>
      <c r="BB106" s="319"/>
      <c r="BC106" s="321">
        <f t="shared" si="6"/>
        <v>1.2699201376686018</v>
      </c>
      <c r="BD106" s="321">
        <f t="shared" si="7"/>
        <v>1.2699201376686018</v>
      </c>
      <c r="BE106" s="321">
        <f t="shared" si="8"/>
        <v>1.0916823073816253</v>
      </c>
      <c r="BG106" s="22">
        <f t="shared" si="9"/>
        <v>3.1086244689504383E-15</v>
      </c>
      <c r="BH106" s="22">
        <f t="shared" si="10"/>
        <v>1.0824674490095276E-15</v>
      </c>
      <c r="BI106" s="22">
        <f t="shared" si="11"/>
        <v>0</v>
      </c>
    </row>
    <row r="107" spans="2:61" x14ac:dyDescent="0.25">
      <c r="B107" s="312">
        <v>122</v>
      </c>
      <c r="C107" s="312" t="s">
        <v>704</v>
      </c>
      <c r="D107" s="312"/>
      <c r="E107" s="312">
        <v>5</v>
      </c>
      <c r="F107" s="312">
        <v>4</v>
      </c>
      <c r="G107" s="313" t="s">
        <v>109</v>
      </c>
      <c r="H107" s="313"/>
      <c r="I107" s="346">
        <v>2775.3</v>
      </c>
      <c r="J107" s="317">
        <v>2775.3</v>
      </c>
      <c r="K107" s="317">
        <v>0</v>
      </c>
      <c r="L107" s="317">
        <v>0</v>
      </c>
      <c r="M107" s="317"/>
      <c r="N107" s="319">
        <v>0.1656</v>
      </c>
      <c r="O107" s="319">
        <v>9.1800000000000007E-2</v>
      </c>
      <c r="P107" s="319">
        <v>0.32469999999999999</v>
      </c>
      <c r="Q107" s="319">
        <v>7.3999999999999996E-2</v>
      </c>
      <c r="R107" s="319">
        <v>2.8799999999999999E-2</v>
      </c>
      <c r="S107" s="319">
        <v>0.49559999999999998</v>
      </c>
      <c r="T107" s="319">
        <v>0</v>
      </c>
      <c r="U107" s="319">
        <v>0.63149999999999995</v>
      </c>
      <c r="V107" s="319">
        <v>0</v>
      </c>
      <c r="W107" s="319">
        <v>0</v>
      </c>
      <c r="X107" s="319">
        <v>0.17100000000000001</v>
      </c>
      <c r="Y107" s="319">
        <v>0</v>
      </c>
      <c r="Z107" s="319">
        <v>1.4713000000000001</v>
      </c>
      <c r="AA107" s="319">
        <v>0.2195</v>
      </c>
      <c r="AB107" s="319">
        <v>0.32550000000000001</v>
      </c>
      <c r="AC107" s="319">
        <v>8.7800000000000003E-2</v>
      </c>
      <c r="AD107" s="319">
        <v>0.1014</v>
      </c>
      <c r="AE107" s="319">
        <v>5.6000000000000001E-2</v>
      </c>
      <c r="AF107" s="319">
        <v>0.1709</v>
      </c>
      <c r="AG107" s="319">
        <v>3.3399999999999999E-2</v>
      </c>
      <c r="AH107" s="319">
        <v>0</v>
      </c>
      <c r="AI107" s="319">
        <v>3.3380000000000001</v>
      </c>
      <c r="AJ107" s="319">
        <v>1.1065</v>
      </c>
      <c r="AK107" s="319">
        <v>8.7800000000000003E-2</v>
      </c>
      <c r="AL107" s="319">
        <v>0.66200000000000003</v>
      </c>
      <c r="AM107" s="319">
        <v>5.0999999999999997E-2</v>
      </c>
      <c r="AN107" s="319">
        <v>8.3000000000000001E-3</v>
      </c>
      <c r="AO107" s="319">
        <v>0.1958</v>
      </c>
      <c r="AP107" s="319">
        <v>0</v>
      </c>
      <c r="AQ107" s="319">
        <v>0</v>
      </c>
      <c r="AR107" s="319">
        <v>0.49490000000000001</v>
      </c>
      <c r="AS107" s="319">
        <v>0.49490000000000001</v>
      </c>
      <c r="AT107" s="331">
        <v>0.2298</v>
      </c>
      <c r="AU107" s="336">
        <v>10.3931</v>
      </c>
      <c r="AV107" s="329">
        <v>10.3931</v>
      </c>
      <c r="AW107" s="337">
        <v>4.8256999999999994</v>
      </c>
      <c r="AX107" s="334"/>
      <c r="AY107" s="323">
        <v>8.1838999999999995</v>
      </c>
      <c r="AZ107" s="323">
        <v>8.1838999999999995</v>
      </c>
      <c r="BA107" s="323">
        <v>4.4140000000000006</v>
      </c>
      <c r="BB107" s="319"/>
      <c r="BC107" s="321">
        <f t="shared" si="6"/>
        <v>1.2699446474174905</v>
      </c>
      <c r="BD107" s="321">
        <f t="shared" si="7"/>
        <v>1.2699446474174905</v>
      </c>
      <c r="BE107" s="321">
        <f t="shared" si="8"/>
        <v>1.0932714091526956</v>
      </c>
      <c r="BG107" s="22">
        <f t="shared" si="9"/>
        <v>3.4416913763379853E-15</v>
      </c>
      <c r="BH107" s="22">
        <f t="shared" si="10"/>
        <v>-5.8286708792820718E-16</v>
      </c>
      <c r="BI107" s="22">
        <f t="shared" si="11"/>
        <v>-5.8286708792820718E-16</v>
      </c>
    </row>
    <row r="108" spans="2:61" x14ac:dyDescent="0.25">
      <c r="B108" s="312">
        <v>123</v>
      </c>
      <c r="C108" s="312" t="s">
        <v>706</v>
      </c>
      <c r="D108" s="312"/>
      <c r="E108" s="312">
        <v>5</v>
      </c>
      <c r="F108" s="312">
        <v>6</v>
      </c>
      <c r="G108" s="313" t="s">
        <v>110</v>
      </c>
      <c r="H108" s="313"/>
      <c r="I108" s="346">
        <v>4439.83</v>
      </c>
      <c r="J108" s="317">
        <v>4373.63</v>
      </c>
      <c r="K108" s="317">
        <v>0</v>
      </c>
      <c r="L108" s="317">
        <v>66.2</v>
      </c>
      <c r="M108" s="317"/>
      <c r="N108" s="319">
        <v>0.15629999999999999</v>
      </c>
      <c r="O108" s="319">
        <v>0.10349999999999999</v>
      </c>
      <c r="P108" s="319">
        <v>0.33229999999999998</v>
      </c>
      <c r="Q108" s="319">
        <v>7.46E-2</v>
      </c>
      <c r="R108" s="319">
        <v>0</v>
      </c>
      <c r="S108" s="319">
        <v>0.59989999999999999</v>
      </c>
      <c r="T108" s="319">
        <v>0</v>
      </c>
      <c r="U108" s="319">
        <v>0.63149999999999995</v>
      </c>
      <c r="V108" s="319">
        <v>0</v>
      </c>
      <c r="W108" s="319">
        <v>0</v>
      </c>
      <c r="X108" s="319">
        <v>0.16739999999999999</v>
      </c>
      <c r="Y108" s="319">
        <v>0</v>
      </c>
      <c r="Z108" s="319">
        <v>1.3461000000000001</v>
      </c>
      <c r="AA108" s="319">
        <v>0.2152</v>
      </c>
      <c r="AB108" s="319">
        <v>0.36699999999999999</v>
      </c>
      <c r="AC108" s="319">
        <v>9.0300000000000005E-2</v>
      </c>
      <c r="AD108" s="319">
        <v>0.1013</v>
      </c>
      <c r="AE108" s="319">
        <v>0</v>
      </c>
      <c r="AF108" s="319">
        <v>0.21740000000000001</v>
      </c>
      <c r="AG108" s="319">
        <v>3.3500000000000002E-2</v>
      </c>
      <c r="AH108" s="319">
        <v>0</v>
      </c>
      <c r="AI108" s="319">
        <v>2.2534999999999998</v>
      </c>
      <c r="AJ108" s="319">
        <v>1.0321</v>
      </c>
      <c r="AK108" s="319">
        <v>9.1200000000000003E-2</v>
      </c>
      <c r="AL108" s="319">
        <v>0.43080000000000002</v>
      </c>
      <c r="AM108" s="319">
        <v>5.3699999999999998E-2</v>
      </c>
      <c r="AN108" s="319">
        <v>8.6999999999999994E-3</v>
      </c>
      <c r="AO108" s="319">
        <v>0.29349999999999998</v>
      </c>
      <c r="AP108" s="319">
        <v>0</v>
      </c>
      <c r="AQ108" s="319">
        <v>0</v>
      </c>
      <c r="AR108" s="319">
        <v>0.43</v>
      </c>
      <c r="AS108" s="319">
        <v>0.43</v>
      </c>
      <c r="AT108" s="331">
        <v>0.22950000000000001</v>
      </c>
      <c r="AU108" s="336">
        <v>9.0297999999999963</v>
      </c>
      <c r="AV108" s="329">
        <v>9.0297999999999963</v>
      </c>
      <c r="AW108" s="337">
        <v>4.8193999999999972</v>
      </c>
      <c r="AX108" s="334"/>
      <c r="AY108" s="323">
        <v>7.1104000000000003</v>
      </c>
      <c r="AZ108" s="323">
        <v>7.1104000000000003</v>
      </c>
      <c r="BA108" s="323">
        <v>3.8765000000000005</v>
      </c>
      <c r="BB108" s="319"/>
      <c r="BC108" s="321">
        <f t="shared" si="6"/>
        <v>1.2699426192619256</v>
      </c>
      <c r="BD108" s="321">
        <f t="shared" si="7"/>
        <v>1.2699426192619256</v>
      </c>
      <c r="BE108" s="321">
        <f t="shared" si="8"/>
        <v>1.2432348768218746</v>
      </c>
      <c r="BG108" s="22">
        <f t="shared" si="9"/>
        <v>-3.7192471324942744E-15</v>
      </c>
      <c r="BH108" s="22">
        <f t="shared" si="10"/>
        <v>-6.6613381477509392E-16</v>
      </c>
      <c r="BI108" s="22">
        <f t="shared" si="11"/>
        <v>-2.4424906541753444E-15</v>
      </c>
    </row>
    <row r="109" spans="2:61" x14ac:dyDescent="0.25">
      <c r="B109" s="312">
        <v>124</v>
      </c>
      <c r="C109" s="312" t="s">
        <v>708</v>
      </c>
      <c r="D109" s="312"/>
      <c r="E109" s="312">
        <v>5</v>
      </c>
      <c r="F109" s="312">
        <v>2</v>
      </c>
      <c r="G109" s="313" t="s">
        <v>111</v>
      </c>
      <c r="H109" s="313"/>
      <c r="I109" s="346">
        <v>3357.89</v>
      </c>
      <c r="J109" s="317">
        <v>3357.89</v>
      </c>
      <c r="K109" s="317">
        <v>0</v>
      </c>
      <c r="L109" s="317">
        <v>0</v>
      </c>
      <c r="M109" s="317"/>
      <c r="N109" s="319">
        <v>0.18429999999999999</v>
      </c>
      <c r="O109" s="319">
        <v>0.11360000000000001</v>
      </c>
      <c r="P109" s="319">
        <v>0.32740000000000002</v>
      </c>
      <c r="Q109" s="319">
        <v>7.4499999999999997E-2</v>
      </c>
      <c r="R109" s="319">
        <v>0</v>
      </c>
      <c r="S109" s="319">
        <v>0.3649</v>
      </c>
      <c r="T109" s="319">
        <v>0</v>
      </c>
      <c r="U109" s="319">
        <v>0.63149999999999995</v>
      </c>
      <c r="V109" s="319">
        <v>0</v>
      </c>
      <c r="W109" s="319">
        <v>0</v>
      </c>
      <c r="X109" s="319">
        <v>0.28260000000000002</v>
      </c>
      <c r="Y109" s="319">
        <v>0</v>
      </c>
      <c r="Z109" s="319">
        <v>1.6414</v>
      </c>
      <c r="AA109" s="319">
        <v>0.25240000000000001</v>
      </c>
      <c r="AB109" s="319">
        <v>0.40279999999999999</v>
      </c>
      <c r="AC109" s="319">
        <v>8.2600000000000007E-2</v>
      </c>
      <c r="AD109" s="319">
        <v>0.1074</v>
      </c>
      <c r="AE109" s="319">
        <v>0</v>
      </c>
      <c r="AF109" s="319">
        <v>0.12870000000000001</v>
      </c>
      <c r="AG109" s="319">
        <v>3.2800000000000003E-2</v>
      </c>
      <c r="AH109" s="319">
        <v>0</v>
      </c>
      <c r="AI109" s="319">
        <v>2.1581999999999999</v>
      </c>
      <c r="AJ109" s="319">
        <v>0.53039999999999998</v>
      </c>
      <c r="AK109" s="319">
        <v>9.7900000000000001E-2</v>
      </c>
      <c r="AL109" s="319">
        <v>0.50160000000000005</v>
      </c>
      <c r="AM109" s="319">
        <v>5.4300000000000001E-2</v>
      </c>
      <c r="AN109" s="319">
        <v>8.8000000000000005E-3</v>
      </c>
      <c r="AO109" s="319">
        <v>0.62119999999999997</v>
      </c>
      <c r="AP109" s="319">
        <v>0</v>
      </c>
      <c r="AQ109" s="319">
        <v>0</v>
      </c>
      <c r="AR109" s="319">
        <v>0.43</v>
      </c>
      <c r="AS109" s="319">
        <v>0.43</v>
      </c>
      <c r="AT109" s="331">
        <v>0.2394</v>
      </c>
      <c r="AU109" s="336">
        <v>9.0292999999999992</v>
      </c>
      <c r="AV109" s="329">
        <v>9.0292999999999992</v>
      </c>
      <c r="AW109" s="337">
        <v>5.0272999999999994</v>
      </c>
      <c r="AX109" s="334"/>
      <c r="AY109" s="323">
        <v>7.5390999999999995</v>
      </c>
      <c r="AZ109" s="323">
        <v>7.5390999999999995</v>
      </c>
      <c r="BA109" s="323">
        <v>4.264899999999999</v>
      </c>
      <c r="BB109" s="319"/>
      <c r="BC109" s="321">
        <f t="shared" si="6"/>
        <v>1.1976628510034355</v>
      </c>
      <c r="BD109" s="321">
        <f t="shared" si="7"/>
        <v>1.1976628510034355</v>
      </c>
      <c r="BE109" s="321">
        <f t="shared" si="8"/>
        <v>1.1787615184412297</v>
      </c>
      <c r="BG109" s="22">
        <f t="shared" si="9"/>
        <v>-3.3861802251067274E-15</v>
      </c>
      <c r="BH109" s="22">
        <f t="shared" si="10"/>
        <v>-7.2164496600635175E-16</v>
      </c>
      <c r="BI109" s="22">
        <f t="shared" si="11"/>
        <v>-7.2164496600635175E-16</v>
      </c>
    </row>
    <row r="110" spans="2:61" x14ac:dyDescent="0.25">
      <c r="B110" s="312">
        <v>125</v>
      </c>
      <c r="C110" s="312" t="s">
        <v>710</v>
      </c>
      <c r="D110" s="312"/>
      <c r="E110" s="312">
        <v>5</v>
      </c>
      <c r="F110" s="312">
        <v>2</v>
      </c>
      <c r="G110" s="313" t="s">
        <v>112</v>
      </c>
      <c r="H110" s="313"/>
      <c r="I110" s="346">
        <v>3343.62</v>
      </c>
      <c r="J110" s="317">
        <v>3343.62</v>
      </c>
      <c r="K110" s="317">
        <v>0</v>
      </c>
      <c r="L110" s="317">
        <v>0</v>
      </c>
      <c r="M110" s="317"/>
      <c r="N110" s="319">
        <v>0.18509999999999999</v>
      </c>
      <c r="O110" s="319">
        <v>0.11409999999999999</v>
      </c>
      <c r="P110" s="319">
        <v>0.32879999999999998</v>
      </c>
      <c r="Q110" s="319">
        <v>7.4800000000000005E-2</v>
      </c>
      <c r="R110" s="319">
        <v>0</v>
      </c>
      <c r="S110" s="319">
        <v>0.3664</v>
      </c>
      <c r="T110" s="319">
        <v>0</v>
      </c>
      <c r="U110" s="319">
        <v>0.63149999999999995</v>
      </c>
      <c r="V110" s="319">
        <v>0</v>
      </c>
      <c r="W110" s="319">
        <v>0</v>
      </c>
      <c r="X110" s="319">
        <v>0.2838</v>
      </c>
      <c r="Y110" s="319">
        <v>0</v>
      </c>
      <c r="Z110" s="319">
        <v>1.6257999999999999</v>
      </c>
      <c r="AA110" s="319">
        <v>0.2535</v>
      </c>
      <c r="AB110" s="319">
        <v>0.40450000000000003</v>
      </c>
      <c r="AC110" s="319">
        <v>8.2900000000000001E-2</v>
      </c>
      <c r="AD110" s="319">
        <v>0.1079</v>
      </c>
      <c r="AE110" s="319">
        <v>0</v>
      </c>
      <c r="AF110" s="319">
        <v>0.1293</v>
      </c>
      <c r="AG110" s="319">
        <v>3.2899999999999999E-2</v>
      </c>
      <c r="AH110" s="319">
        <v>0</v>
      </c>
      <c r="AI110" s="319">
        <v>2.5457000000000001</v>
      </c>
      <c r="AJ110" s="319">
        <v>0.56410000000000005</v>
      </c>
      <c r="AK110" s="319">
        <v>9.8000000000000004E-2</v>
      </c>
      <c r="AL110" s="319">
        <v>0.40289999999999998</v>
      </c>
      <c r="AM110" s="319">
        <v>5.45E-2</v>
      </c>
      <c r="AN110" s="319">
        <v>8.8000000000000005E-3</v>
      </c>
      <c r="AO110" s="319">
        <v>0.62380000000000002</v>
      </c>
      <c r="AP110" s="319">
        <v>0</v>
      </c>
      <c r="AQ110" s="319">
        <v>0</v>
      </c>
      <c r="AR110" s="319">
        <v>0.44600000000000001</v>
      </c>
      <c r="AS110" s="319">
        <v>0.44600000000000001</v>
      </c>
      <c r="AT110" s="331">
        <v>0.23910000000000001</v>
      </c>
      <c r="AU110" s="336">
        <v>9.3651</v>
      </c>
      <c r="AV110" s="329">
        <v>9.3651</v>
      </c>
      <c r="AW110" s="337">
        <v>5.0217000000000009</v>
      </c>
      <c r="AX110" s="334"/>
      <c r="AY110" s="323">
        <v>7.6428000000000003</v>
      </c>
      <c r="AZ110" s="323">
        <v>7.6428000000000003</v>
      </c>
      <c r="BA110" s="323">
        <v>4.1860000000000008</v>
      </c>
      <c r="BB110" s="319"/>
      <c r="BC110" s="321">
        <f t="shared" si="6"/>
        <v>1.2253493484063431</v>
      </c>
      <c r="BD110" s="321">
        <f t="shared" si="7"/>
        <v>1.2253493484063431</v>
      </c>
      <c r="BE110" s="321">
        <f t="shared" si="8"/>
        <v>1.1996416626851409</v>
      </c>
      <c r="BG110" s="22">
        <f t="shared" si="9"/>
        <v>0</v>
      </c>
      <c r="BH110" s="22">
        <f t="shared" si="10"/>
        <v>0</v>
      </c>
      <c r="BI110" s="22">
        <f t="shared" si="11"/>
        <v>1.9428902930940239E-15</v>
      </c>
    </row>
    <row r="111" spans="2:61" x14ac:dyDescent="0.25">
      <c r="B111" s="312">
        <v>126</v>
      </c>
      <c r="C111" s="312" t="s">
        <v>712</v>
      </c>
      <c r="D111" s="312"/>
      <c r="E111" s="312">
        <v>5</v>
      </c>
      <c r="F111" s="312">
        <v>6</v>
      </c>
      <c r="G111" s="313" t="s">
        <v>113</v>
      </c>
      <c r="H111" s="313"/>
      <c r="I111" s="346">
        <v>4481.1000000000004</v>
      </c>
      <c r="J111" s="317">
        <v>4481.1000000000004</v>
      </c>
      <c r="K111" s="317">
        <v>0</v>
      </c>
      <c r="L111" s="317">
        <v>0</v>
      </c>
      <c r="M111" s="317"/>
      <c r="N111" s="319">
        <v>0.15640000000000001</v>
      </c>
      <c r="O111" s="319">
        <v>8.4400000000000003E-2</v>
      </c>
      <c r="P111" s="319">
        <v>0.33200000000000002</v>
      </c>
      <c r="Q111" s="319">
        <v>7.46E-2</v>
      </c>
      <c r="R111" s="319">
        <v>4.0099999999999997E-2</v>
      </c>
      <c r="S111" s="319">
        <v>0.58460000000000001</v>
      </c>
      <c r="T111" s="319">
        <v>0</v>
      </c>
      <c r="U111" s="319">
        <v>0.63149999999999995</v>
      </c>
      <c r="V111" s="319">
        <v>0</v>
      </c>
      <c r="W111" s="319">
        <v>0</v>
      </c>
      <c r="X111" s="319">
        <v>0.1588</v>
      </c>
      <c r="Y111" s="319">
        <v>0</v>
      </c>
      <c r="Z111" s="319">
        <v>2.1364999999999998</v>
      </c>
      <c r="AA111" s="319">
        <v>0.20860000000000001</v>
      </c>
      <c r="AB111" s="319">
        <v>0.30809999999999998</v>
      </c>
      <c r="AC111" s="319">
        <v>9.0899999999999995E-2</v>
      </c>
      <c r="AD111" s="319">
        <v>9.8500000000000004E-2</v>
      </c>
      <c r="AE111" s="319">
        <v>7.8E-2</v>
      </c>
      <c r="AF111" s="319">
        <v>0.2203</v>
      </c>
      <c r="AG111" s="319">
        <v>3.2199999999999999E-2</v>
      </c>
      <c r="AH111" s="319">
        <v>0</v>
      </c>
      <c r="AI111" s="319">
        <v>2.4205999999999999</v>
      </c>
      <c r="AJ111" s="319">
        <v>1.0169999999999999</v>
      </c>
      <c r="AK111" s="319">
        <v>8.77E-2</v>
      </c>
      <c r="AL111" s="319">
        <v>0.40629999999999999</v>
      </c>
      <c r="AM111" s="319">
        <v>5.7500000000000002E-2</v>
      </c>
      <c r="AN111" s="319">
        <v>9.2999999999999992E-3</v>
      </c>
      <c r="AO111" s="319">
        <v>0.19059999999999999</v>
      </c>
      <c r="AP111" s="319">
        <v>0</v>
      </c>
      <c r="AQ111" s="319">
        <v>0</v>
      </c>
      <c r="AR111" s="319">
        <v>0.47120000000000001</v>
      </c>
      <c r="AS111" s="319">
        <v>0.47120000000000001</v>
      </c>
      <c r="AT111" s="331">
        <v>0.26950000000000002</v>
      </c>
      <c r="AU111" s="336">
        <v>9.8956999999999962</v>
      </c>
      <c r="AV111" s="329">
        <v>9.8956999999999962</v>
      </c>
      <c r="AW111" s="337">
        <v>5.6594999999999969</v>
      </c>
      <c r="AX111" s="334"/>
      <c r="AY111" s="323">
        <v>7.7923999999999989</v>
      </c>
      <c r="AZ111" s="323">
        <v>7.7923999999999989</v>
      </c>
      <c r="BA111" s="323">
        <v>4.7945999999999982</v>
      </c>
      <c r="BB111" s="319"/>
      <c r="BC111" s="321">
        <f t="shared" si="6"/>
        <v>1.269916842051229</v>
      </c>
      <c r="BD111" s="321">
        <f t="shared" si="7"/>
        <v>1.269916842051229</v>
      </c>
      <c r="BE111" s="321">
        <f t="shared" si="8"/>
        <v>1.1803904392441495</v>
      </c>
      <c r="BG111" s="22">
        <f t="shared" si="9"/>
        <v>-4.3853809472693683E-15</v>
      </c>
      <c r="BH111" s="22">
        <f t="shared" si="10"/>
        <v>-7.2164496600635175E-16</v>
      </c>
      <c r="BI111" s="22">
        <f t="shared" si="11"/>
        <v>-1.609823385706477E-15</v>
      </c>
    </row>
    <row r="112" spans="2:61" x14ac:dyDescent="0.25">
      <c r="B112" s="312">
        <v>127</v>
      </c>
      <c r="C112" s="312" t="s">
        <v>714</v>
      </c>
      <c r="D112" s="312"/>
      <c r="E112" s="312">
        <v>5</v>
      </c>
      <c r="F112" s="312">
        <v>4</v>
      </c>
      <c r="G112" s="313" t="s">
        <v>114</v>
      </c>
      <c r="H112" s="313"/>
      <c r="I112" s="346">
        <v>2759.6</v>
      </c>
      <c r="J112" s="317">
        <v>2759.6</v>
      </c>
      <c r="K112" s="317">
        <v>0</v>
      </c>
      <c r="L112" s="317">
        <v>0</v>
      </c>
      <c r="M112" s="317"/>
      <c r="N112" s="319">
        <v>0.16650000000000001</v>
      </c>
      <c r="O112" s="319">
        <v>9.2299999999999993E-2</v>
      </c>
      <c r="P112" s="319">
        <v>0.32419999999999999</v>
      </c>
      <c r="Q112" s="319">
        <v>7.4300000000000005E-2</v>
      </c>
      <c r="R112" s="319">
        <v>0</v>
      </c>
      <c r="S112" s="319">
        <v>0.4985</v>
      </c>
      <c r="T112" s="319">
        <v>0</v>
      </c>
      <c r="U112" s="319">
        <v>0.63149999999999995</v>
      </c>
      <c r="V112" s="319">
        <v>0</v>
      </c>
      <c r="W112" s="319">
        <v>0</v>
      </c>
      <c r="X112" s="319">
        <v>0.1719</v>
      </c>
      <c r="Y112" s="319">
        <v>0</v>
      </c>
      <c r="Z112" s="319">
        <v>1.5190999999999999</v>
      </c>
      <c r="AA112" s="319">
        <v>0.23810000000000001</v>
      </c>
      <c r="AB112" s="319">
        <v>0.33650000000000002</v>
      </c>
      <c r="AC112" s="319">
        <v>8.7900000000000006E-2</v>
      </c>
      <c r="AD112" s="319">
        <v>0.1037</v>
      </c>
      <c r="AE112" s="319">
        <v>0</v>
      </c>
      <c r="AF112" s="319">
        <v>0.17180000000000001</v>
      </c>
      <c r="AG112" s="319">
        <v>3.3500000000000002E-2</v>
      </c>
      <c r="AH112" s="319">
        <v>0</v>
      </c>
      <c r="AI112" s="319">
        <v>2.7115</v>
      </c>
      <c r="AJ112" s="319">
        <v>1.1344000000000001</v>
      </c>
      <c r="AK112" s="319">
        <v>3.7400000000000003E-2</v>
      </c>
      <c r="AL112" s="319">
        <v>0.49330000000000002</v>
      </c>
      <c r="AM112" s="319">
        <v>5.1299999999999998E-2</v>
      </c>
      <c r="AN112" s="319">
        <v>8.3000000000000001E-3</v>
      </c>
      <c r="AO112" s="319">
        <v>0.27200000000000002</v>
      </c>
      <c r="AP112" s="319">
        <v>0</v>
      </c>
      <c r="AQ112" s="319">
        <v>0</v>
      </c>
      <c r="AR112" s="319">
        <v>0.45789999999999997</v>
      </c>
      <c r="AS112" s="319">
        <v>0.45789999999999997</v>
      </c>
      <c r="AT112" s="331">
        <v>0.2273</v>
      </c>
      <c r="AU112" s="336">
        <v>9.6158999999999999</v>
      </c>
      <c r="AV112" s="329">
        <v>9.6158999999999999</v>
      </c>
      <c r="AW112" s="337">
        <v>4.7740999999999989</v>
      </c>
      <c r="AX112" s="334"/>
      <c r="AY112" s="323">
        <v>7.5719999999999992</v>
      </c>
      <c r="AZ112" s="323">
        <v>7.5719999999999992</v>
      </c>
      <c r="BA112" s="323">
        <v>4.2518999999999991</v>
      </c>
      <c r="BB112" s="319"/>
      <c r="BC112" s="321">
        <f t="shared" si="6"/>
        <v>1.2699286846275755</v>
      </c>
      <c r="BD112" s="321">
        <f t="shared" si="7"/>
        <v>1.2699286846275755</v>
      </c>
      <c r="BE112" s="321">
        <f t="shared" si="8"/>
        <v>1.1228156824008091</v>
      </c>
      <c r="BG112" s="22">
        <f t="shared" si="9"/>
        <v>1.6653345369377348E-15</v>
      </c>
      <c r="BH112" s="22">
        <f t="shared" si="10"/>
        <v>-6.9388939039072284E-16</v>
      </c>
      <c r="BI112" s="22">
        <f t="shared" si="11"/>
        <v>-1.5820678100908481E-15</v>
      </c>
    </row>
    <row r="113" spans="2:61" x14ac:dyDescent="0.25">
      <c r="B113" s="312">
        <v>128</v>
      </c>
      <c r="C113" s="312" t="s">
        <v>716</v>
      </c>
      <c r="D113" s="312"/>
      <c r="E113" s="312">
        <v>5</v>
      </c>
      <c r="F113" s="312">
        <v>4</v>
      </c>
      <c r="G113" s="313" t="s">
        <v>115</v>
      </c>
      <c r="H113" s="313"/>
      <c r="I113" s="346">
        <v>2767.3</v>
      </c>
      <c r="J113" s="317">
        <v>2767.3</v>
      </c>
      <c r="K113" s="317">
        <v>0</v>
      </c>
      <c r="L113" s="317">
        <v>0</v>
      </c>
      <c r="M113" s="317"/>
      <c r="N113" s="319">
        <v>0.16600000000000001</v>
      </c>
      <c r="O113" s="319">
        <v>9.2100000000000001E-2</v>
      </c>
      <c r="P113" s="319">
        <v>0.32450000000000001</v>
      </c>
      <c r="Q113" s="319">
        <v>7.4200000000000002E-2</v>
      </c>
      <c r="R113" s="319">
        <v>2.8899999999999999E-2</v>
      </c>
      <c r="S113" s="319">
        <v>0.49709999999999999</v>
      </c>
      <c r="T113" s="319">
        <v>0</v>
      </c>
      <c r="U113" s="319">
        <v>0.63149999999999995</v>
      </c>
      <c r="V113" s="319">
        <v>0</v>
      </c>
      <c r="W113" s="319">
        <v>0</v>
      </c>
      <c r="X113" s="319">
        <v>0.1714</v>
      </c>
      <c r="Y113" s="319">
        <v>0</v>
      </c>
      <c r="Z113" s="319">
        <v>1.8016000000000001</v>
      </c>
      <c r="AA113" s="319">
        <v>0.22009999999999999</v>
      </c>
      <c r="AB113" s="319">
        <v>0.32640000000000002</v>
      </c>
      <c r="AC113" s="319">
        <v>8.8300000000000003E-2</v>
      </c>
      <c r="AD113" s="319">
        <v>0.1028</v>
      </c>
      <c r="AE113" s="319">
        <v>5.62E-2</v>
      </c>
      <c r="AF113" s="319">
        <v>0.1714</v>
      </c>
      <c r="AG113" s="319">
        <v>3.1699999999999999E-2</v>
      </c>
      <c r="AH113" s="319">
        <v>0</v>
      </c>
      <c r="AI113" s="319">
        <v>2.798</v>
      </c>
      <c r="AJ113" s="319">
        <v>1.1385000000000001</v>
      </c>
      <c r="AK113" s="319">
        <v>8.9399999999999993E-2</v>
      </c>
      <c r="AL113" s="319">
        <v>0.52139999999999997</v>
      </c>
      <c r="AM113" s="319">
        <v>5.2900000000000003E-2</v>
      </c>
      <c r="AN113" s="319">
        <v>8.6E-3</v>
      </c>
      <c r="AO113" s="319">
        <v>0.33479999999999999</v>
      </c>
      <c r="AP113" s="319">
        <v>0</v>
      </c>
      <c r="AQ113" s="319">
        <v>0</v>
      </c>
      <c r="AR113" s="319">
        <v>0.4864</v>
      </c>
      <c r="AS113" s="319">
        <v>0.4864</v>
      </c>
      <c r="AT113" s="331">
        <v>0.24679999999999999</v>
      </c>
      <c r="AU113" s="336">
        <v>10.214199999999998</v>
      </c>
      <c r="AV113" s="329">
        <v>10.214199999999998</v>
      </c>
      <c r="AW113" s="337">
        <v>5.1818999999999988</v>
      </c>
      <c r="AX113" s="334"/>
      <c r="AY113" s="323">
        <v>8.0433000000000003</v>
      </c>
      <c r="AZ113" s="323">
        <v>8.0433000000000003</v>
      </c>
      <c r="BA113" s="323">
        <v>4.610100000000001</v>
      </c>
      <c r="BB113" s="319"/>
      <c r="BC113" s="321">
        <f t="shared" si="6"/>
        <v>1.269901657279972</v>
      </c>
      <c r="BD113" s="321">
        <f t="shared" si="7"/>
        <v>1.269901657279972</v>
      </c>
      <c r="BE113" s="321">
        <f t="shared" si="8"/>
        <v>1.124032016659074</v>
      </c>
      <c r="BG113" s="22">
        <f t="shared" si="9"/>
        <v>-2.1649348980190553E-15</v>
      </c>
      <c r="BH113" s="22">
        <f t="shared" si="10"/>
        <v>4.163336342344337E-16</v>
      </c>
      <c r="BI113" s="22">
        <f t="shared" si="11"/>
        <v>-3.1363800445660672E-15</v>
      </c>
    </row>
    <row r="114" spans="2:61" x14ac:dyDescent="0.25">
      <c r="B114" s="312">
        <v>129</v>
      </c>
      <c r="C114" s="312" t="s">
        <v>718</v>
      </c>
      <c r="D114" s="312"/>
      <c r="E114" s="312">
        <v>5</v>
      </c>
      <c r="F114" s="312">
        <v>4</v>
      </c>
      <c r="G114" s="313" t="s">
        <v>116</v>
      </c>
      <c r="H114" s="313"/>
      <c r="I114" s="346">
        <v>3198.27</v>
      </c>
      <c r="J114" s="317">
        <v>3198.27</v>
      </c>
      <c r="K114" s="317">
        <v>0</v>
      </c>
      <c r="L114" s="317">
        <v>0</v>
      </c>
      <c r="M114" s="317"/>
      <c r="N114" s="319">
        <v>0.16520000000000001</v>
      </c>
      <c r="O114" s="319">
        <v>0.10639999999999999</v>
      </c>
      <c r="P114" s="319">
        <v>0.32800000000000001</v>
      </c>
      <c r="Q114" s="319">
        <v>7.3300000000000004E-2</v>
      </c>
      <c r="R114" s="319">
        <v>0</v>
      </c>
      <c r="S114" s="319">
        <v>0.45689999999999997</v>
      </c>
      <c r="T114" s="319">
        <v>0</v>
      </c>
      <c r="U114" s="319">
        <v>0.63149999999999995</v>
      </c>
      <c r="V114" s="319">
        <v>0</v>
      </c>
      <c r="W114" s="319">
        <v>0</v>
      </c>
      <c r="X114" s="319">
        <v>0.16320000000000001</v>
      </c>
      <c r="Y114" s="319">
        <v>0</v>
      </c>
      <c r="Z114" s="319">
        <v>1.268</v>
      </c>
      <c r="AA114" s="319">
        <v>0.22040000000000001</v>
      </c>
      <c r="AB114" s="319">
        <v>0.37719999999999998</v>
      </c>
      <c r="AC114" s="319">
        <v>9.0700000000000003E-2</v>
      </c>
      <c r="AD114" s="319">
        <v>0.1041</v>
      </c>
      <c r="AE114" s="319">
        <v>0</v>
      </c>
      <c r="AF114" s="319">
        <v>0.16170000000000001</v>
      </c>
      <c r="AG114" s="319">
        <v>3.27E-2</v>
      </c>
      <c r="AH114" s="319">
        <v>0</v>
      </c>
      <c r="AI114" s="319">
        <v>2.1878000000000002</v>
      </c>
      <c r="AJ114" s="319">
        <v>1.1134999999999999</v>
      </c>
      <c r="AK114" s="319">
        <v>9.4100000000000003E-2</v>
      </c>
      <c r="AL114" s="319">
        <v>0.48359999999999997</v>
      </c>
      <c r="AM114" s="319">
        <v>5.0599999999999999E-2</v>
      </c>
      <c r="AN114" s="319">
        <v>8.2000000000000007E-3</v>
      </c>
      <c r="AO114" s="319">
        <v>0.33979999999999999</v>
      </c>
      <c r="AP114" s="319">
        <v>0</v>
      </c>
      <c r="AQ114" s="319">
        <v>0</v>
      </c>
      <c r="AR114" s="319">
        <v>0.42280000000000001</v>
      </c>
      <c r="AS114" s="319">
        <v>0.42280000000000001</v>
      </c>
      <c r="AT114" s="331">
        <v>0.21659999999999999</v>
      </c>
      <c r="AU114" s="336">
        <v>8.8796999999999997</v>
      </c>
      <c r="AV114" s="329">
        <v>8.8796999999999997</v>
      </c>
      <c r="AW114" s="337">
        <v>4.5487999999999982</v>
      </c>
      <c r="AX114" s="334"/>
      <c r="AY114" s="323">
        <v>6.9923000000000011</v>
      </c>
      <c r="AZ114" s="323">
        <v>6.9923000000000011</v>
      </c>
      <c r="BA114" s="323">
        <v>3.9189000000000007</v>
      </c>
      <c r="BB114" s="319"/>
      <c r="BC114" s="321">
        <f t="shared" si="6"/>
        <v>1.2699254894669849</v>
      </c>
      <c r="BD114" s="321">
        <f t="shared" si="7"/>
        <v>1.2699254894669849</v>
      </c>
      <c r="BE114" s="321">
        <f t="shared" si="8"/>
        <v>1.1607338794049344</v>
      </c>
      <c r="BG114" s="22">
        <f t="shared" si="9"/>
        <v>0</v>
      </c>
      <c r="BH114" s="22">
        <f t="shared" si="10"/>
        <v>-1.4432899320127035E-15</v>
      </c>
      <c r="BI114" s="22">
        <f t="shared" si="11"/>
        <v>-2.3314683517128287E-15</v>
      </c>
    </row>
    <row r="115" spans="2:61" x14ac:dyDescent="0.25">
      <c r="B115" s="312">
        <v>130</v>
      </c>
      <c r="C115" s="312" t="s">
        <v>720</v>
      </c>
      <c r="D115" s="312"/>
      <c r="E115" s="312">
        <v>5</v>
      </c>
      <c r="F115" s="312">
        <v>2</v>
      </c>
      <c r="G115" s="313" t="s">
        <v>117</v>
      </c>
      <c r="H115" s="313"/>
      <c r="I115" s="346">
        <v>3356.3</v>
      </c>
      <c r="J115" s="317">
        <v>3356.3</v>
      </c>
      <c r="K115" s="317">
        <v>0</v>
      </c>
      <c r="L115" s="317">
        <v>0</v>
      </c>
      <c r="M115" s="317"/>
      <c r="N115" s="319">
        <v>0.18190000000000001</v>
      </c>
      <c r="O115" s="319">
        <v>0.1168</v>
      </c>
      <c r="P115" s="319">
        <v>0.32790000000000002</v>
      </c>
      <c r="Q115" s="319">
        <v>7.46E-2</v>
      </c>
      <c r="R115" s="319">
        <v>0</v>
      </c>
      <c r="S115" s="319">
        <v>0.36509999999999998</v>
      </c>
      <c r="T115" s="319">
        <v>0</v>
      </c>
      <c r="U115" s="319">
        <v>0.63149999999999995</v>
      </c>
      <c r="V115" s="319">
        <v>0</v>
      </c>
      <c r="W115" s="319">
        <v>0</v>
      </c>
      <c r="X115" s="319">
        <v>0.28270000000000001</v>
      </c>
      <c r="Y115" s="319">
        <v>0</v>
      </c>
      <c r="Z115" s="319">
        <v>1.6345000000000001</v>
      </c>
      <c r="AA115" s="319">
        <v>0.2495</v>
      </c>
      <c r="AB115" s="319">
        <v>0.40550000000000003</v>
      </c>
      <c r="AC115" s="319">
        <v>8.5000000000000006E-2</v>
      </c>
      <c r="AD115" s="319">
        <v>0.1013</v>
      </c>
      <c r="AE115" s="319">
        <v>0</v>
      </c>
      <c r="AF115" s="319">
        <v>0.1288</v>
      </c>
      <c r="AG115" s="319">
        <v>3.1600000000000003E-2</v>
      </c>
      <c r="AH115" s="319">
        <v>0</v>
      </c>
      <c r="AI115" s="319">
        <v>2.2599999999999998</v>
      </c>
      <c r="AJ115" s="319">
        <v>0.56340000000000001</v>
      </c>
      <c r="AK115" s="319">
        <v>9.69E-2</v>
      </c>
      <c r="AL115" s="319">
        <v>0.39050000000000001</v>
      </c>
      <c r="AM115" s="319">
        <v>5.4899999999999997E-2</v>
      </c>
      <c r="AN115" s="319">
        <v>8.8999999999999999E-3</v>
      </c>
      <c r="AO115" s="319">
        <v>0.98229999999999995</v>
      </c>
      <c r="AP115" s="319">
        <v>0</v>
      </c>
      <c r="AQ115" s="319">
        <v>0</v>
      </c>
      <c r="AR115" s="319">
        <v>0.44869999999999999</v>
      </c>
      <c r="AS115" s="319">
        <v>0.44869999999999999</v>
      </c>
      <c r="AT115" s="331">
        <v>0.2389</v>
      </c>
      <c r="AU115" s="336">
        <v>9.4222999999999999</v>
      </c>
      <c r="AV115" s="329">
        <v>9.4222999999999999</v>
      </c>
      <c r="AW115" s="337">
        <v>5.0162999999999993</v>
      </c>
      <c r="AX115" s="334"/>
      <c r="AY115" s="323">
        <v>7.7753999999999994</v>
      </c>
      <c r="AZ115" s="323">
        <v>7.7753999999999994</v>
      </c>
      <c r="BA115" s="323">
        <v>4.2526999999999999</v>
      </c>
      <c r="BB115" s="319"/>
      <c r="BC115" s="321">
        <f t="shared" si="6"/>
        <v>1.2118090387632792</v>
      </c>
      <c r="BD115" s="321">
        <f t="shared" si="7"/>
        <v>1.2118090387632792</v>
      </c>
      <c r="BE115" s="321">
        <f t="shared" si="8"/>
        <v>1.1795565170362357</v>
      </c>
      <c r="BG115" s="22">
        <f t="shared" si="9"/>
        <v>-5.5511151231257827E-16</v>
      </c>
      <c r="BH115" s="22">
        <f t="shared" si="10"/>
        <v>-2.2204460492503131E-16</v>
      </c>
      <c r="BI115" s="22">
        <f t="shared" si="11"/>
        <v>-2.2204460492503131E-16</v>
      </c>
    </row>
    <row r="116" spans="2:61" x14ac:dyDescent="0.25">
      <c r="B116" s="312">
        <v>133</v>
      </c>
      <c r="C116" s="312" t="s">
        <v>726</v>
      </c>
      <c r="D116" s="312"/>
      <c r="E116" s="312">
        <v>5</v>
      </c>
      <c r="F116" s="312">
        <v>4</v>
      </c>
      <c r="G116" s="313" t="s">
        <v>118</v>
      </c>
      <c r="H116" s="313"/>
      <c r="I116" s="346">
        <v>2743.8</v>
      </c>
      <c r="J116" s="317">
        <v>2743.8</v>
      </c>
      <c r="K116" s="317">
        <v>0</v>
      </c>
      <c r="L116" s="317">
        <v>0</v>
      </c>
      <c r="M116" s="317"/>
      <c r="N116" s="319">
        <v>0.1673</v>
      </c>
      <c r="O116" s="319">
        <v>9.2799999999999994E-2</v>
      </c>
      <c r="P116" s="319">
        <v>0.32440000000000002</v>
      </c>
      <c r="Q116" s="319">
        <v>7.3999999999999996E-2</v>
      </c>
      <c r="R116" s="319">
        <v>3.1300000000000001E-2</v>
      </c>
      <c r="S116" s="319">
        <v>0.50129999999999997</v>
      </c>
      <c r="T116" s="319">
        <v>0</v>
      </c>
      <c r="U116" s="319">
        <v>0.63149999999999995</v>
      </c>
      <c r="V116" s="319">
        <v>0</v>
      </c>
      <c r="W116" s="319">
        <v>0</v>
      </c>
      <c r="X116" s="319">
        <v>0.1729</v>
      </c>
      <c r="Y116" s="319">
        <v>0</v>
      </c>
      <c r="Z116" s="319">
        <v>1.8543000000000001</v>
      </c>
      <c r="AA116" s="319">
        <v>0.2218</v>
      </c>
      <c r="AB116" s="319">
        <v>0.3291</v>
      </c>
      <c r="AC116" s="319">
        <v>8.7599999999999997E-2</v>
      </c>
      <c r="AD116" s="319">
        <v>0.1013</v>
      </c>
      <c r="AE116" s="319">
        <v>6.0900000000000003E-2</v>
      </c>
      <c r="AF116" s="319">
        <v>0.17280000000000001</v>
      </c>
      <c r="AG116" s="319">
        <v>3.3700000000000001E-2</v>
      </c>
      <c r="AH116" s="319">
        <v>0</v>
      </c>
      <c r="AI116" s="319">
        <v>3.125</v>
      </c>
      <c r="AJ116" s="319">
        <v>1.1395999999999999</v>
      </c>
      <c r="AK116" s="319">
        <v>8.7499999999999994E-2</v>
      </c>
      <c r="AL116" s="319">
        <v>0.35539999999999999</v>
      </c>
      <c r="AM116" s="319">
        <v>5.1499999999999997E-2</v>
      </c>
      <c r="AN116" s="319">
        <v>8.3999999999999995E-3</v>
      </c>
      <c r="AO116" s="319">
        <v>0.4037</v>
      </c>
      <c r="AP116" s="319">
        <v>0</v>
      </c>
      <c r="AQ116" s="319">
        <v>0</v>
      </c>
      <c r="AR116" s="319">
        <v>0.50139999999999996</v>
      </c>
      <c r="AS116" s="319">
        <v>0.50139999999999996</v>
      </c>
      <c r="AT116" s="331">
        <v>0.25019999999999998</v>
      </c>
      <c r="AU116" s="336">
        <v>10.529500000000002</v>
      </c>
      <c r="AV116" s="329">
        <v>10.529500000000002</v>
      </c>
      <c r="AW116" s="337">
        <v>5.2546000000000017</v>
      </c>
      <c r="AX116" s="334"/>
      <c r="AY116" s="323">
        <v>8.2914999999999992</v>
      </c>
      <c r="AZ116" s="323">
        <v>8.2914999999999992</v>
      </c>
      <c r="BA116" s="323">
        <v>4.7485999999999997</v>
      </c>
      <c r="BB116" s="319"/>
      <c r="BC116" s="321">
        <f t="shared" si="6"/>
        <v>1.2699149731652901</v>
      </c>
      <c r="BD116" s="321">
        <f t="shared" si="7"/>
        <v>1.2699149731652901</v>
      </c>
      <c r="BE116" s="321">
        <f t="shared" si="8"/>
        <v>1.1065577222760397</v>
      </c>
      <c r="BG116" s="22">
        <f t="shared" si="9"/>
        <v>0</v>
      </c>
      <c r="BH116" s="22">
        <f t="shared" si="10"/>
        <v>9.9920072216264089E-16</v>
      </c>
      <c r="BI116" s="22">
        <f t="shared" si="11"/>
        <v>1.8873791418627661E-15</v>
      </c>
    </row>
    <row r="117" spans="2:61" x14ac:dyDescent="0.25">
      <c r="B117" s="312">
        <v>134</v>
      </c>
      <c r="C117" s="312" t="s">
        <v>728</v>
      </c>
      <c r="D117" s="312"/>
      <c r="E117" s="312">
        <v>5</v>
      </c>
      <c r="F117" s="312">
        <v>4</v>
      </c>
      <c r="G117" s="313" t="s">
        <v>119</v>
      </c>
      <c r="H117" s="313"/>
      <c r="I117" s="346">
        <v>2758.8</v>
      </c>
      <c r="J117" s="317">
        <v>2758.8</v>
      </c>
      <c r="K117" s="317">
        <v>0</v>
      </c>
      <c r="L117" s="317">
        <v>0</v>
      </c>
      <c r="M117" s="317"/>
      <c r="N117" s="319">
        <v>0.16650000000000001</v>
      </c>
      <c r="O117" s="319">
        <v>9.2299999999999993E-2</v>
      </c>
      <c r="P117" s="319">
        <v>0.32469999999999999</v>
      </c>
      <c r="Q117" s="319">
        <v>7.4300000000000005E-2</v>
      </c>
      <c r="R117" s="319">
        <v>2.9000000000000001E-2</v>
      </c>
      <c r="S117" s="319">
        <v>0.49859999999999999</v>
      </c>
      <c r="T117" s="319">
        <v>0</v>
      </c>
      <c r="U117" s="319">
        <v>0.63149999999999995</v>
      </c>
      <c r="V117" s="319">
        <v>0</v>
      </c>
      <c r="W117" s="319">
        <v>0</v>
      </c>
      <c r="X117" s="319">
        <v>0.17199999999999999</v>
      </c>
      <c r="Y117" s="319">
        <v>0</v>
      </c>
      <c r="Z117" s="319">
        <v>1.3815</v>
      </c>
      <c r="AA117" s="319">
        <v>0.2208</v>
      </c>
      <c r="AB117" s="319">
        <v>0.32740000000000002</v>
      </c>
      <c r="AC117" s="319">
        <v>8.8099999999999998E-2</v>
      </c>
      <c r="AD117" s="319">
        <v>0.1037</v>
      </c>
      <c r="AE117" s="319">
        <v>5.6300000000000003E-2</v>
      </c>
      <c r="AF117" s="319">
        <v>0.1719</v>
      </c>
      <c r="AG117" s="319">
        <v>3.3599999999999998E-2</v>
      </c>
      <c r="AH117" s="319">
        <v>0</v>
      </c>
      <c r="AI117" s="319">
        <v>3.2749999999999999</v>
      </c>
      <c r="AJ117" s="319">
        <v>1.1584000000000001</v>
      </c>
      <c r="AK117" s="319">
        <v>8.8499999999999995E-2</v>
      </c>
      <c r="AL117" s="319">
        <v>0.63580000000000003</v>
      </c>
      <c r="AM117" s="319">
        <v>5.1499999999999997E-2</v>
      </c>
      <c r="AN117" s="319">
        <v>8.3999999999999995E-3</v>
      </c>
      <c r="AO117" s="319">
        <v>0.439</v>
      </c>
      <c r="AP117" s="319">
        <v>0</v>
      </c>
      <c r="AQ117" s="319">
        <v>0</v>
      </c>
      <c r="AR117" s="319">
        <v>0.50139999999999996</v>
      </c>
      <c r="AS117" s="319">
        <v>0.50139999999999996</v>
      </c>
      <c r="AT117" s="331">
        <v>0.22600000000000001</v>
      </c>
      <c r="AU117" s="336">
        <v>10.530200000000001</v>
      </c>
      <c r="AV117" s="329">
        <v>10.530200000000001</v>
      </c>
      <c r="AW117" s="337">
        <v>4.7465999999999999</v>
      </c>
      <c r="AX117" s="334"/>
      <c r="AY117" s="323">
        <v>8.2920000000000016</v>
      </c>
      <c r="AZ117" s="323">
        <v>8.2920000000000016</v>
      </c>
      <c r="BA117" s="323">
        <v>4.2364000000000006</v>
      </c>
      <c r="BB117" s="319"/>
      <c r="BC117" s="321">
        <f t="shared" si="6"/>
        <v>1.2699228171731789</v>
      </c>
      <c r="BD117" s="321">
        <f t="shared" si="7"/>
        <v>1.2699228171731789</v>
      </c>
      <c r="BE117" s="321">
        <f t="shared" si="8"/>
        <v>1.1204324426399772</v>
      </c>
      <c r="BG117" s="22">
        <f t="shared" si="9"/>
        <v>3.8857805861880479E-15</v>
      </c>
      <c r="BH117" s="22">
        <f t="shared" si="10"/>
        <v>0</v>
      </c>
      <c r="BI117" s="22">
        <f t="shared" si="11"/>
        <v>6.9388939039072284E-16</v>
      </c>
    </row>
    <row r="118" spans="2:61" x14ac:dyDescent="0.25">
      <c r="B118" s="312">
        <v>135</v>
      </c>
      <c r="C118" s="312" t="s">
        <v>730</v>
      </c>
      <c r="D118" s="312"/>
      <c r="E118" s="312">
        <v>5</v>
      </c>
      <c r="F118" s="312">
        <v>8</v>
      </c>
      <c r="G118" s="313" t="s">
        <v>120</v>
      </c>
      <c r="H118" s="313"/>
      <c r="I118" s="346">
        <v>5857</v>
      </c>
      <c r="J118" s="317">
        <v>5841.86</v>
      </c>
      <c r="K118" s="317">
        <v>0</v>
      </c>
      <c r="L118" s="317">
        <v>15.14</v>
      </c>
      <c r="M118" s="317"/>
      <c r="N118" s="319">
        <v>0.15310000000000001</v>
      </c>
      <c r="O118" s="319">
        <v>9.2899999999999996E-2</v>
      </c>
      <c r="P118" s="319">
        <v>0.33289999999999997</v>
      </c>
      <c r="Q118" s="319">
        <v>7.4499999999999997E-2</v>
      </c>
      <c r="R118" s="319">
        <v>3.7499999999999999E-2</v>
      </c>
      <c r="S118" s="319">
        <v>0.7127</v>
      </c>
      <c r="T118" s="319">
        <v>0</v>
      </c>
      <c r="U118" s="319">
        <v>0.63149999999999995</v>
      </c>
      <c r="V118" s="319">
        <v>0</v>
      </c>
      <c r="W118" s="319">
        <v>0</v>
      </c>
      <c r="X118" s="319">
        <v>0.16070000000000001</v>
      </c>
      <c r="Y118" s="319">
        <v>0</v>
      </c>
      <c r="Z118" s="319">
        <v>2.23</v>
      </c>
      <c r="AA118" s="319">
        <v>0.20319999999999999</v>
      </c>
      <c r="AB118" s="319">
        <v>0.30969999999999998</v>
      </c>
      <c r="AC118" s="319">
        <v>9.11E-2</v>
      </c>
      <c r="AD118" s="319">
        <v>9.6299999999999997E-2</v>
      </c>
      <c r="AE118" s="319">
        <v>7.2999999999999995E-2</v>
      </c>
      <c r="AF118" s="319">
        <v>0.27389999999999998</v>
      </c>
      <c r="AG118" s="319">
        <v>3.2599999999999997E-2</v>
      </c>
      <c r="AH118" s="319">
        <v>0</v>
      </c>
      <c r="AI118" s="319">
        <v>2.1309</v>
      </c>
      <c r="AJ118" s="319">
        <v>1.0883</v>
      </c>
      <c r="AK118" s="319">
        <v>9.1200000000000003E-2</v>
      </c>
      <c r="AL118" s="319">
        <v>0.35460000000000003</v>
      </c>
      <c r="AM118" s="319">
        <v>5.16E-2</v>
      </c>
      <c r="AN118" s="319">
        <v>8.3999999999999995E-3</v>
      </c>
      <c r="AO118" s="319">
        <v>0.28170000000000001</v>
      </c>
      <c r="AP118" s="319">
        <v>0</v>
      </c>
      <c r="AQ118" s="319">
        <v>0</v>
      </c>
      <c r="AR118" s="319">
        <v>0.47560000000000002</v>
      </c>
      <c r="AS118" s="319">
        <v>0.47560000000000002</v>
      </c>
      <c r="AT118" s="331">
        <v>0.2828</v>
      </c>
      <c r="AU118" s="336">
        <v>9.9879000000000033</v>
      </c>
      <c r="AV118" s="329">
        <v>9.9879000000000033</v>
      </c>
      <c r="AW118" s="337">
        <v>5.9396000000000022</v>
      </c>
      <c r="AX118" s="334"/>
      <c r="AY118" s="323">
        <v>7.8648999999999996</v>
      </c>
      <c r="AZ118" s="323">
        <v>7.8648999999999996</v>
      </c>
      <c r="BA118" s="323">
        <v>5.0134999999999987</v>
      </c>
      <c r="BB118" s="319"/>
      <c r="BC118" s="321">
        <f t="shared" si="6"/>
        <v>1.2699335020152835</v>
      </c>
      <c r="BD118" s="321">
        <f t="shared" si="7"/>
        <v>1.2699335020152835</v>
      </c>
      <c r="BE118" s="321">
        <f t="shared" si="8"/>
        <v>1.1847212526179323</v>
      </c>
      <c r="BG118" s="22">
        <f t="shared" si="9"/>
        <v>1.27675647831893E-15</v>
      </c>
      <c r="BH118" s="22">
        <f t="shared" si="10"/>
        <v>0</v>
      </c>
      <c r="BI118" s="22">
        <f t="shared" si="11"/>
        <v>1.7763568394002505E-15</v>
      </c>
    </row>
    <row r="119" spans="2:61" x14ac:dyDescent="0.25">
      <c r="B119" s="312">
        <v>136</v>
      </c>
      <c r="C119" s="312" t="s">
        <v>732</v>
      </c>
      <c r="D119" s="312"/>
      <c r="E119" s="312">
        <v>5</v>
      </c>
      <c r="F119" s="312">
        <v>6</v>
      </c>
      <c r="G119" s="313" t="s">
        <v>121</v>
      </c>
      <c r="H119" s="313"/>
      <c r="I119" s="346">
        <v>4509.8</v>
      </c>
      <c r="J119" s="317">
        <v>4448.3</v>
      </c>
      <c r="K119" s="317">
        <v>0</v>
      </c>
      <c r="L119" s="317">
        <v>61.5</v>
      </c>
      <c r="M119" s="317"/>
      <c r="N119" s="319">
        <v>0.15390000000000001</v>
      </c>
      <c r="O119" s="319">
        <v>0.1021</v>
      </c>
      <c r="P119" s="319">
        <v>0.3337</v>
      </c>
      <c r="Q119" s="319">
        <v>7.4700000000000003E-2</v>
      </c>
      <c r="R119" s="319">
        <v>0</v>
      </c>
      <c r="S119" s="319">
        <v>0.59399999999999997</v>
      </c>
      <c r="T119" s="319">
        <v>0</v>
      </c>
      <c r="U119" s="319">
        <v>0.63149999999999995</v>
      </c>
      <c r="V119" s="319">
        <v>0</v>
      </c>
      <c r="W119" s="319">
        <v>0</v>
      </c>
      <c r="X119" s="319">
        <v>0.16830000000000001</v>
      </c>
      <c r="Y119" s="319">
        <v>0</v>
      </c>
      <c r="Z119" s="319">
        <v>1.0736000000000001</v>
      </c>
      <c r="AA119" s="319">
        <v>0.2051</v>
      </c>
      <c r="AB119" s="319">
        <v>0.36199999999999999</v>
      </c>
      <c r="AC119" s="319">
        <v>9.0499999999999997E-2</v>
      </c>
      <c r="AD119" s="319">
        <v>9.9599999999999994E-2</v>
      </c>
      <c r="AE119" s="319">
        <v>0</v>
      </c>
      <c r="AF119" s="319">
        <v>0.2157</v>
      </c>
      <c r="AG119" s="319">
        <v>3.3300000000000003E-2</v>
      </c>
      <c r="AH119" s="319">
        <v>0</v>
      </c>
      <c r="AI119" s="319">
        <v>2.6497999999999999</v>
      </c>
      <c r="AJ119" s="319">
        <v>1.1890000000000001</v>
      </c>
      <c r="AK119" s="319">
        <v>0.104</v>
      </c>
      <c r="AL119" s="319">
        <v>0.47799999999999998</v>
      </c>
      <c r="AM119" s="319">
        <v>5.0799999999999998E-2</v>
      </c>
      <c r="AN119" s="319">
        <v>8.2000000000000007E-3</v>
      </c>
      <c r="AO119" s="319">
        <v>0.37</v>
      </c>
      <c r="AP119" s="319">
        <v>0</v>
      </c>
      <c r="AQ119" s="319">
        <v>0</v>
      </c>
      <c r="AR119" s="319">
        <v>0.44940000000000002</v>
      </c>
      <c r="AS119" s="319">
        <v>0.44940000000000002</v>
      </c>
      <c r="AT119" s="331">
        <v>0.21510000000000001</v>
      </c>
      <c r="AU119" s="336">
        <v>9.4372000000000007</v>
      </c>
      <c r="AV119" s="329">
        <v>9.4372000000000007</v>
      </c>
      <c r="AW119" s="337">
        <v>4.5161000000000007</v>
      </c>
      <c r="AX119" s="334"/>
      <c r="AY119" s="323">
        <v>7.4313000000000011</v>
      </c>
      <c r="AZ119" s="323">
        <v>7.4313000000000011</v>
      </c>
      <c r="BA119" s="323">
        <v>3.9356000000000009</v>
      </c>
      <c r="BB119" s="319"/>
      <c r="BC119" s="321">
        <f t="shared" si="6"/>
        <v>1.2699258541574152</v>
      </c>
      <c r="BD119" s="321">
        <f t="shared" si="7"/>
        <v>1.2699258541574152</v>
      </c>
      <c r="BE119" s="321">
        <f t="shared" si="8"/>
        <v>1.1474997459091369</v>
      </c>
      <c r="BG119" s="22">
        <f t="shared" si="9"/>
        <v>1.6653345369377348E-15</v>
      </c>
      <c r="BH119" s="22">
        <f t="shared" si="10"/>
        <v>4.4408920985006262E-16</v>
      </c>
      <c r="BI119" s="22">
        <f t="shared" si="11"/>
        <v>1.3322676295501878E-15</v>
      </c>
    </row>
    <row r="120" spans="2:61" x14ac:dyDescent="0.25">
      <c r="B120" s="312">
        <v>137</v>
      </c>
      <c r="C120" s="312" t="s">
        <v>734</v>
      </c>
      <c r="D120" s="312"/>
      <c r="E120" s="312">
        <v>5</v>
      </c>
      <c r="F120" s="312">
        <v>4</v>
      </c>
      <c r="G120" s="313" t="s">
        <v>122</v>
      </c>
      <c r="H120" s="313"/>
      <c r="I120" s="346">
        <v>2756.7</v>
      </c>
      <c r="J120" s="317">
        <v>2756.7</v>
      </c>
      <c r="K120" s="317">
        <v>0</v>
      </c>
      <c r="L120" s="317">
        <v>0</v>
      </c>
      <c r="M120" s="317"/>
      <c r="N120" s="319">
        <v>0.16669999999999999</v>
      </c>
      <c r="O120" s="319">
        <v>9.2399999999999996E-2</v>
      </c>
      <c r="P120" s="319">
        <v>0.32450000000000001</v>
      </c>
      <c r="Q120" s="319">
        <v>7.4200000000000002E-2</v>
      </c>
      <c r="R120" s="319">
        <v>2.9000000000000001E-2</v>
      </c>
      <c r="S120" s="319">
        <v>0.499</v>
      </c>
      <c r="T120" s="319">
        <v>0</v>
      </c>
      <c r="U120" s="319">
        <v>0.63149999999999995</v>
      </c>
      <c r="V120" s="319">
        <v>0</v>
      </c>
      <c r="W120" s="319">
        <v>0</v>
      </c>
      <c r="X120" s="319">
        <v>0.1721</v>
      </c>
      <c r="Y120" s="319">
        <v>0</v>
      </c>
      <c r="Z120" s="319">
        <v>1.6919999999999999</v>
      </c>
      <c r="AA120" s="319">
        <v>0.221</v>
      </c>
      <c r="AB120" s="319">
        <v>0.32769999999999999</v>
      </c>
      <c r="AC120" s="319">
        <v>8.7999999999999995E-2</v>
      </c>
      <c r="AD120" s="319">
        <v>0.1032</v>
      </c>
      <c r="AE120" s="319">
        <v>5.6399999999999999E-2</v>
      </c>
      <c r="AF120" s="319">
        <v>0.17199999999999999</v>
      </c>
      <c r="AG120" s="319">
        <v>3.3599999999999998E-2</v>
      </c>
      <c r="AH120" s="319">
        <v>0</v>
      </c>
      <c r="AI120" s="319">
        <v>2.5146000000000002</v>
      </c>
      <c r="AJ120" s="319">
        <v>1.1267</v>
      </c>
      <c r="AK120" s="319">
        <v>8.8300000000000003E-2</v>
      </c>
      <c r="AL120" s="319">
        <v>0.88390000000000002</v>
      </c>
      <c r="AM120" s="319">
        <v>5.11E-2</v>
      </c>
      <c r="AN120" s="319">
        <v>8.3000000000000001E-3</v>
      </c>
      <c r="AO120" s="319">
        <v>0.25530000000000003</v>
      </c>
      <c r="AP120" s="319">
        <v>0</v>
      </c>
      <c r="AQ120" s="319">
        <v>0</v>
      </c>
      <c r="AR120" s="319">
        <v>0.48060000000000003</v>
      </c>
      <c r="AS120" s="319">
        <v>0.48060000000000003</v>
      </c>
      <c r="AT120" s="331">
        <v>0.24160000000000001</v>
      </c>
      <c r="AU120" s="336">
        <v>10.092100000000002</v>
      </c>
      <c r="AV120" s="329">
        <v>10.092100000000002</v>
      </c>
      <c r="AW120" s="337">
        <v>5.0726000000000013</v>
      </c>
      <c r="AX120" s="334"/>
      <c r="AY120" s="323">
        <v>7.9469000000000003</v>
      </c>
      <c r="AZ120" s="323">
        <v>7.9469000000000003</v>
      </c>
      <c r="BA120" s="323">
        <v>4.3937999999999997</v>
      </c>
      <c r="BB120" s="319"/>
      <c r="BC120" s="321">
        <f t="shared" si="6"/>
        <v>1.2699417382878861</v>
      </c>
      <c r="BD120" s="321">
        <f t="shared" si="7"/>
        <v>1.2699417382878861</v>
      </c>
      <c r="BE120" s="321">
        <f t="shared" si="8"/>
        <v>1.1544904183167195</v>
      </c>
      <c r="BG120" s="22">
        <f t="shared" si="9"/>
        <v>1.7208456881689926E-15</v>
      </c>
      <c r="BH120" s="22">
        <f t="shared" si="10"/>
        <v>1.0269562977782698E-15</v>
      </c>
      <c r="BI120" s="22">
        <f t="shared" si="11"/>
        <v>1.0269562977782698E-15</v>
      </c>
    </row>
    <row r="121" spans="2:61" x14ac:dyDescent="0.25">
      <c r="B121" s="312">
        <v>138</v>
      </c>
      <c r="C121" s="312" t="s">
        <v>736</v>
      </c>
      <c r="D121" s="312"/>
      <c r="E121" s="312">
        <v>5</v>
      </c>
      <c r="F121" s="312">
        <v>2</v>
      </c>
      <c r="G121" s="313" t="s">
        <v>123</v>
      </c>
      <c r="H121" s="313"/>
      <c r="I121" s="346">
        <v>3206.5</v>
      </c>
      <c r="J121" s="317">
        <v>3206.5</v>
      </c>
      <c r="K121" s="317">
        <v>0</v>
      </c>
      <c r="L121" s="317">
        <v>0</v>
      </c>
      <c r="M121" s="317"/>
      <c r="N121" s="319">
        <v>0.14330000000000001</v>
      </c>
      <c r="O121" s="319">
        <v>0.1051</v>
      </c>
      <c r="P121" s="319">
        <v>0.3281</v>
      </c>
      <c r="Q121" s="319">
        <v>7.3200000000000001E-2</v>
      </c>
      <c r="R121" s="319">
        <v>1.2500000000000001E-2</v>
      </c>
      <c r="S121" s="319">
        <v>0.17050000000000001</v>
      </c>
      <c r="T121" s="319">
        <v>0</v>
      </c>
      <c r="U121" s="319">
        <v>0.63149999999999995</v>
      </c>
      <c r="V121" s="319">
        <v>0</v>
      </c>
      <c r="W121" s="319">
        <v>0</v>
      </c>
      <c r="X121" s="319">
        <v>0.1973</v>
      </c>
      <c r="Y121" s="319">
        <v>0</v>
      </c>
      <c r="Z121" s="319">
        <v>1.4831000000000001</v>
      </c>
      <c r="AA121" s="319">
        <v>0.2419</v>
      </c>
      <c r="AB121" s="319">
        <v>0.33350000000000002</v>
      </c>
      <c r="AC121" s="319">
        <v>8.6499999999999994E-2</v>
      </c>
      <c r="AD121" s="319">
        <v>9.0399999999999994E-2</v>
      </c>
      <c r="AE121" s="319">
        <v>2.4199999999999999E-2</v>
      </c>
      <c r="AF121" s="319">
        <v>9.7000000000000003E-2</v>
      </c>
      <c r="AG121" s="319">
        <v>3.2199999999999999E-2</v>
      </c>
      <c r="AH121" s="319">
        <v>0</v>
      </c>
      <c r="AI121" s="319">
        <v>3.5874000000000001</v>
      </c>
      <c r="AJ121" s="319">
        <v>1.3654999999999999</v>
      </c>
      <c r="AK121" s="319">
        <v>0.107</v>
      </c>
      <c r="AL121" s="319">
        <v>0.37509999999999999</v>
      </c>
      <c r="AM121" s="319">
        <v>5.9200000000000003E-2</v>
      </c>
      <c r="AN121" s="319">
        <v>9.5999999999999992E-3</v>
      </c>
      <c r="AO121" s="319">
        <v>1.2105999999999999</v>
      </c>
      <c r="AP121" s="319">
        <v>0</v>
      </c>
      <c r="AQ121" s="319">
        <v>0</v>
      </c>
      <c r="AR121" s="319">
        <v>0.53820000000000001</v>
      </c>
      <c r="AS121" s="319">
        <v>0.53820000000000001</v>
      </c>
      <c r="AT121" s="331">
        <v>0.21129999999999999</v>
      </c>
      <c r="AU121" s="336">
        <v>11.302899999999999</v>
      </c>
      <c r="AV121" s="329">
        <v>11.302899999999999</v>
      </c>
      <c r="AW121" s="337">
        <v>4.4374000000000002</v>
      </c>
      <c r="AX121" s="334"/>
      <c r="AY121" s="323">
        <v>8.900500000000001</v>
      </c>
      <c r="AZ121" s="323">
        <v>8.900500000000001</v>
      </c>
      <c r="BA121" s="323">
        <v>3.7586000000000013</v>
      </c>
      <c r="BB121" s="319"/>
      <c r="BC121" s="321">
        <f t="shared" si="6"/>
        <v>1.2699174203696419</v>
      </c>
      <c r="BD121" s="321">
        <f t="shared" si="7"/>
        <v>1.2699174203696419</v>
      </c>
      <c r="BE121" s="321">
        <f t="shared" si="8"/>
        <v>1.1805991592614269</v>
      </c>
      <c r="BG121" s="22">
        <f t="shared" si="9"/>
        <v>-1.7763568394002505E-15</v>
      </c>
      <c r="BH121" s="22">
        <f t="shared" si="10"/>
        <v>4.4408920985006262E-16</v>
      </c>
      <c r="BI121" s="22">
        <f t="shared" si="11"/>
        <v>1.3322676295501878E-15</v>
      </c>
    </row>
    <row r="122" spans="2:61" x14ac:dyDescent="0.25">
      <c r="B122" s="312">
        <v>166</v>
      </c>
      <c r="C122" s="312" t="s">
        <v>795</v>
      </c>
      <c r="D122" s="312"/>
      <c r="E122" s="312">
        <v>5</v>
      </c>
      <c r="F122" s="312">
        <v>6</v>
      </c>
      <c r="G122" s="313" t="s">
        <v>124</v>
      </c>
      <c r="H122" s="313"/>
      <c r="I122" s="346">
        <v>4607.3</v>
      </c>
      <c r="J122" s="317">
        <v>4607.3</v>
      </c>
      <c r="K122" s="317">
        <v>0</v>
      </c>
      <c r="L122" s="317">
        <v>0</v>
      </c>
      <c r="M122" s="317"/>
      <c r="N122" s="319">
        <v>0.159</v>
      </c>
      <c r="O122" s="319">
        <v>8.2100000000000006E-2</v>
      </c>
      <c r="P122" s="319">
        <v>0.33360000000000001</v>
      </c>
      <c r="Q122" s="319">
        <v>7.3999999999999996E-2</v>
      </c>
      <c r="R122" s="319">
        <v>3.9E-2</v>
      </c>
      <c r="S122" s="319">
        <v>0.57010000000000005</v>
      </c>
      <c r="T122" s="319">
        <v>0</v>
      </c>
      <c r="U122" s="319">
        <v>0.63149999999999995</v>
      </c>
      <c r="V122" s="319">
        <v>0</v>
      </c>
      <c r="W122" s="319">
        <v>0</v>
      </c>
      <c r="X122" s="319">
        <v>0.1545</v>
      </c>
      <c r="Y122" s="319">
        <v>0</v>
      </c>
      <c r="Z122" s="319">
        <v>2.1886999999999999</v>
      </c>
      <c r="AA122" s="319">
        <v>0.21079999999999999</v>
      </c>
      <c r="AB122" s="319">
        <v>0.2969</v>
      </c>
      <c r="AC122" s="319">
        <v>9.1399999999999995E-2</v>
      </c>
      <c r="AD122" s="319">
        <v>9.2499999999999999E-2</v>
      </c>
      <c r="AE122" s="319">
        <v>7.5899999999999995E-2</v>
      </c>
      <c r="AF122" s="319">
        <v>0.2142</v>
      </c>
      <c r="AG122" s="319">
        <v>3.1699999999999999E-2</v>
      </c>
      <c r="AH122" s="319">
        <v>0</v>
      </c>
      <c r="AI122" s="319">
        <v>2.2553000000000001</v>
      </c>
      <c r="AJ122" s="319">
        <v>1.0099</v>
      </c>
      <c r="AK122" s="319">
        <v>8.9800000000000005E-2</v>
      </c>
      <c r="AL122" s="319">
        <v>0.5696</v>
      </c>
      <c r="AM122" s="319">
        <v>5.67E-2</v>
      </c>
      <c r="AN122" s="319">
        <v>9.1999999999999998E-3</v>
      </c>
      <c r="AO122" s="319">
        <v>0.19769999999999999</v>
      </c>
      <c r="AP122" s="319">
        <v>0</v>
      </c>
      <c r="AQ122" s="319">
        <v>0</v>
      </c>
      <c r="AR122" s="319">
        <v>0.47170000000000001</v>
      </c>
      <c r="AS122" s="319">
        <v>0.47170000000000001</v>
      </c>
      <c r="AT122" s="331">
        <v>0.27010000000000001</v>
      </c>
      <c r="AU122" s="336">
        <v>9.9057999999999975</v>
      </c>
      <c r="AV122" s="329">
        <v>9.9057999999999975</v>
      </c>
      <c r="AW122" s="337">
        <v>5.6716999999999986</v>
      </c>
      <c r="AX122" s="334"/>
      <c r="AY122" s="323">
        <v>7.800200000000002</v>
      </c>
      <c r="AZ122" s="323">
        <v>7.800200000000002</v>
      </c>
      <c r="BA122" s="323">
        <v>4.8743000000000007</v>
      </c>
      <c r="BB122" s="319"/>
      <c r="BC122" s="321">
        <f t="shared" si="6"/>
        <v>1.2699417963641952</v>
      </c>
      <c r="BD122" s="321">
        <f t="shared" si="7"/>
        <v>1.2699417963641952</v>
      </c>
      <c r="BE122" s="321">
        <f t="shared" si="8"/>
        <v>1.1635927210060928</v>
      </c>
      <c r="BG122" s="22">
        <f t="shared" si="9"/>
        <v>-2.4424906541753444E-15</v>
      </c>
      <c r="BH122" s="22">
        <f t="shared" si="10"/>
        <v>-9.1593399531575415E-16</v>
      </c>
      <c r="BI122" s="22">
        <f t="shared" si="11"/>
        <v>-1.8041124150158794E-15</v>
      </c>
    </row>
    <row r="123" spans="2:61" x14ac:dyDescent="0.25">
      <c r="B123" s="312">
        <v>167</v>
      </c>
      <c r="C123" s="312" t="s">
        <v>797</v>
      </c>
      <c r="D123" s="312"/>
      <c r="E123" s="312">
        <v>5</v>
      </c>
      <c r="F123" s="312">
        <v>4</v>
      </c>
      <c r="G123" s="313" t="s">
        <v>125</v>
      </c>
      <c r="H123" s="313"/>
      <c r="I123" s="346">
        <v>2742.1</v>
      </c>
      <c r="J123" s="317">
        <v>2742.1</v>
      </c>
      <c r="K123" s="317">
        <v>0</v>
      </c>
      <c r="L123" s="317">
        <v>0</v>
      </c>
      <c r="M123" s="317"/>
      <c r="N123" s="319">
        <v>0.16739999999999999</v>
      </c>
      <c r="O123" s="319">
        <v>9.2899999999999996E-2</v>
      </c>
      <c r="P123" s="319">
        <v>0.3246</v>
      </c>
      <c r="Q123" s="319">
        <v>7.3800000000000004E-2</v>
      </c>
      <c r="R123" s="319">
        <v>2.9100000000000001E-2</v>
      </c>
      <c r="S123" s="319">
        <v>0.50160000000000005</v>
      </c>
      <c r="T123" s="319">
        <v>0</v>
      </c>
      <c r="U123" s="319">
        <v>0.63149999999999995</v>
      </c>
      <c r="V123" s="319">
        <v>0</v>
      </c>
      <c r="W123" s="319">
        <v>0</v>
      </c>
      <c r="X123" s="319">
        <v>0.17299999999999999</v>
      </c>
      <c r="Y123" s="319">
        <v>0</v>
      </c>
      <c r="Z123" s="319">
        <v>2.0701000000000001</v>
      </c>
      <c r="AA123" s="319">
        <v>0.22189999999999999</v>
      </c>
      <c r="AB123" s="319">
        <v>0.32929999999999998</v>
      </c>
      <c r="AC123" s="319">
        <v>8.7599999999999997E-2</v>
      </c>
      <c r="AD123" s="319">
        <v>0.1002</v>
      </c>
      <c r="AE123" s="319">
        <v>5.67E-2</v>
      </c>
      <c r="AF123" s="319">
        <v>0.1729</v>
      </c>
      <c r="AG123" s="319">
        <v>3.3700000000000001E-2</v>
      </c>
      <c r="AH123" s="319">
        <v>0</v>
      </c>
      <c r="AI123" s="319">
        <v>2.4535999999999998</v>
      </c>
      <c r="AJ123" s="319">
        <v>1.1333</v>
      </c>
      <c r="AK123" s="319">
        <v>9.2999999999999999E-2</v>
      </c>
      <c r="AL123" s="319">
        <v>0.60719999999999996</v>
      </c>
      <c r="AM123" s="319">
        <v>5.8700000000000002E-2</v>
      </c>
      <c r="AN123" s="319">
        <v>9.4999999999999998E-3</v>
      </c>
      <c r="AO123" s="319">
        <v>0.1699</v>
      </c>
      <c r="AP123" s="319">
        <v>0</v>
      </c>
      <c r="AQ123" s="319">
        <v>0</v>
      </c>
      <c r="AR123" s="319">
        <v>0.47960000000000003</v>
      </c>
      <c r="AS123" s="319">
        <v>0.47960000000000003</v>
      </c>
      <c r="AT123" s="331">
        <v>0.26140000000000002</v>
      </c>
      <c r="AU123" s="336">
        <v>10.071099999999999</v>
      </c>
      <c r="AV123" s="329">
        <v>10.071099999999999</v>
      </c>
      <c r="AW123" s="337">
        <v>5.4888999999999992</v>
      </c>
      <c r="AX123" s="334"/>
      <c r="AY123" s="323">
        <v>7.9304000000000006</v>
      </c>
      <c r="AZ123" s="323">
        <v>7.9304000000000006</v>
      </c>
      <c r="BA123" s="323">
        <v>4.7047000000000008</v>
      </c>
      <c r="BB123" s="319"/>
      <c r="BC123" s="321">
        <f t="shared" si="6"/>
        <v>1.2699359427015029</v>
      </c>
      <c r="BD123" s="321">
        <f t="shared" si="7"/>
        <v>1.2699359427015029</v>
      </c>
      <c r="BE123" s="321">
        <f t="shared" si="8"/>
        <v>1.1666843794503365</v>
      </c>
      <c r="BG123" s="22">
        <f t="shared" si="9"/>
        <v>0</v>
      </c>
      <c r="BH123" s="22">
        <f t="shared" si="10"/>
        <v>0</v>
      </c>
      <c r="BI123" s="22">
        <f t="shared" si="11"/>
        <v>-8.8817841970012523E-16</v>
      </c>
    </row>
    <row r="124" spans="2:61" x14ac:dyDescent="0.25">
      <c r="B124" s="312">
        <v>168</v>
      </c>
      <c r="C124" s="312" t="s">
        <v>799</v>
      </c>
      <c r="D124" s="312"/>
      <c r="E124" s="312">
        <v>5</v>
      </c>
      <c r="F124" s="312">
        <v>4</v>
      </c>
      <c r="G124" s="313" t="s">
        <v>126</v>
      </c>
      <c r="H124" s="313"/>
      <c r="I124" s="346">
        <v>2750.9</v>
      </c>
      <c r="J124" s="317">
        <v>2750.9</v>
      </c>
      <c r="K124" s="317">
        <v>0</v>
      </c>
      <c r="L124" s="317">
        <v>0</v>
      </c>
      <c r="M124" s="317"/>
      <c r="N124" s="319">
        <v>0.16619999999999999</v>
      </c>
      <c r="O124" s="319">
        <v>9.2600000000000002E-2</v>
      </c>
      <c r="P124" s="319">
        <v>0.32519999999999999</v>
      </c>
      <c r="Q124" s="319">
        <v>7.4099999999999999E-2</v>
      </c>
      <c r="R124" s="319">
        <v>2.9100000000000001E-2</v>
      </c>
      <c r="S124" s="319">
        <v>0.5</v>
      </c>
      <c r="T124" s="319">
        <v>0</v>
      </c>
      <c r="U124" s="319">
        <v>0.63149999999999995</v>
      </c>
      <c r="V124" s="319">
        <v>0</v>
      </c>
      <c r="W124" s="319">
        <v>0</v>
      </c>
      <c r="X124" s="319">
        <v>0.1696</v>
      </c>
      <c r="Y124" s="319">
        <v>0</v>
      </c>
      <c r="Z124" s="319">
        <v>2.194</v>
      </c>
      <c r="AA124" s="319">
        <v>0.21890000000000001</v>
      </c>
      <c r="AB124" s="319">
        <v>0.32840000000000003</v>
      </c>
      <c r="AC124" s="319">
        <v>8.7800000000000003E-2</v>
      </c>
      <c r="AD124" s="319">
        <v>0.1022</v>
      </c>
      <c r="AE124" s="319">
        <v>5.6500000000000002E-2</v>
      </c>
      <c r="AF124" s="319">
        <v>0.1724</v>
      </c>
      <c r="AG124" s="319">
        <v>3.3599999999999998E-2</v>
      </c>
      <c r="AH124" s="319">
        <v>0</v>
      </c>
      <c r="AI124" s="319">
        <v>2.0933999999999999</v>
      </c>
      <c r="AJ124" s="319">
        <v>1.1993</v>
      </c>
      <c r="AK124" s="319">
        <v>9.2299999999999993E-2</v>
      </c>
      <c r="AL124" s="319">
        <v>0.61460000000000004</v>
      </c>
      <c r="AM124" s="319">
        <v>5.8299999999999998E-2</v>
      </c>
      <c r="AN124" s="319">
        <v>9.4999999999999998E-3</v>
      </c>
      <c r="AO124" s="319">
        <v>0.25209999999999999</v>
      </c>
      <c r="AP124" s="319">
        <v>0</v>
      </c>
      <c r="AQ124" s="319">
        <v>0</v>
      </c>
      <c r="AR124" s="319">
        <v>0.47510000000000002</v>
      </c>
      <c r="AS124" s="319">
        <v>0.47510000000000002</v>
      </c>
      <c r="AT124" s="331">
        <v>0.2671</v>
      </c>
      <c r="AU124" s="336">
        <v>9.9766999999999957</v>
      </c>
      <c r="AV124" s="329">
        <v>9.9766999999999957</v>
      </c>
      <c r="AW124" s="337">
        <v>5.6092999999999966</v>
      </c>
      <c r="AX124" s="334"/>
      <c r="AY124" s="323">
        <v>7.8561999999999994</v>
      </c>
      <c r="AZ124" s="323">
        <v>7.8561999999999994</v>
      </c>
      <c r="BA124" s="323">
        <v>4.8033999999999999</v>
      </c>
      <c r="BB124" s="319"/>
      <c r="BC124" s="321">
        <f t="shared" si="6"/>
        <v>1.2699142078867642</v>
      </c>
      <c r="BD124" s="321">
        <f t="shared" si="7"/>
        <v>1.2699142078867642</v>
      </c>
      <c r="BE124" s="321">
        <f t="shared" si="8"/>
        <v>1.16777699129783</v>
      </c>
      <c r="BG124" s="22">
        <f t="shared" si="9"/>
        <v>-9.4368957093138306E-16</v>
      </c>
      <c r="BH124" s="22">
        <f t="shared" si="10"/>
        <v>0</v>
      </c>
      <c r="BI124" s="22">
        <f t="shared" si="11"/>
        <v>-1.915134717478395E-15</v>
      </c>
    </row>
    <row r="125" spans="2:61" x14ac:dyDescent="0.25">
      <c r="B125" s="312">
        <v>169</v>
      </c>
      <c r="C125" s="312" t="s">
        <v>801</v>
      </c>
      <c r="D125" s="312"/>
      <c r="E125" s="312">
        <v>5</v>
      </c>
      <c r="F125" s="312">
        <v>6</v>
      </c>
      <c r="G125" s="313" t="s">
        <v>127</v>
      </c>
      <c r="H125" s="313"/>
      <c r="I125" s="346">
        <v>4498.8</v>
      </c>
      <c r="J125" s="317">
        <v>4498.8</v>
      </c>
      <c r="K125" s="317">
        <v>0</v>
      </c>
      <c r="L125" s="317">
        <v>0</v>
      </c>
      <c r="M125" s="317"/>
      <c r="N125" s="319">
        <v>0.15079999999999999</v>
      </c>
      <c r="O125" s="319">
        <v>8.4099999999999994E-2</v>
      </c>
      <c r="P125" s="319">
        <v>0.33339999999999997</v>
      </c>
      <c r="Q125" s="319">
        <v>7.4700000000000003E-2</v>
      </c>
      <c r="R125" s="319">
        <v>0.04</v>
      </c>
      <c r="S125" s="319">
        <v>0.58230000000000004</v>
      </c>
      <c r="T125" s="319">
        <v>0</v>
      </c>
      <c r="U125" s="319">
        <v>0.63149999999999995</v>
      </c>
      <c r="V125" s="319">
        <v>0</v>
      </c>
      <c r="W125" s="319">
        <v>0</v>
      </c>
      <c r="X125" s="319">
        <v>0.15820000000000001</v>
      </c>
      <c r="Y125" s="319">
        <v>0</v>
      </c>
      <c r="Z125" s="319">
        <v>2.1291000000000002</v>
      </c>
      <c r="AA125" s="319">
        <v>0.20380000000000001</v>
      </c>
      <c r="AB125" s="319">
        <v>0.29809999999999998</v>
      </c>
      <c r="AC125" s="319">
        <v>9.06E-2</v>
      </c>
      <c r="AD125" s="319">
        <v>0.1008</v>
      </c>
      <c r="AE125" s="319">
        <v>7.7700000000000005E-2</v>
      </c>
      <c r="AF125" s="319">
        <v>0.21940000000000001</v>
      </c>
      <c r="AG125" s="319">
        <v>3.2099999999999997E-2</v>
      </c>
      <c r="AH125" s="319">
        <v>0</v>
      </c>
      <c r="AI125" s="319">
        <v>2.2202999999999999</v>
      </c>
      <c r="AJ125" s="319">
        <v>1.0488999999999999</v>
      </c>
      <c r="AK125" s="319">
        <v>8.14E-2</v>
      </c>
      <c r="AL125" s="319">
        <v>0.61850000000000005</v>
      </c>
      <c r="AM125" s="319">
        <v>5.7200000000000001E-2</v>
      </c>
      <c r="AN125" s="319">
        <v>9.2999999999999992E-3</v>
      </c>
      <c r="AO125" s="319">
        <v>0.1726</v>
      </c>
      <c r="AP125" s="319">
        <v>0</v>
      </c>
      <c r="AQ125" s="319">
        <v>0</v>
      </c>
      <c r="AR125" s="319">
        <v>0.47070000000000001</v>
      </c>
      <c r="AS125" s="319">
        <v>0.47070000000000001</v>
      </c>
      <c r="AT125" s="331">
        <v>0.26769999999999999</v>
      </c>
      <c r="AU125" s="336">
        <v>9.8855000000000022</v>
      </c>
      <c r="AV125" s="329">
        <v>9.8855000000000022</v>
      </c>
      <c r="AW125" s="337">
        <v>5.622200000000003</v>
      </c>
      <c r="AX125" s="334"/>
      <c r="AY125" s="323">
        <v>7.7843</v>
      </c>
      <c r="AZ125" s="323">
        <v>7.7843</v>
      </c>
      <c r="BA125" s="323">
        <v>4.9257999999999997</v>
      </c>
      <c r="BB125" s="319"/>
      <c r="BC125" s="321">
        <f t="shared" si="6"/>
        <v>1.2699279318628525</v>
      </c>
      <c r="BD125" s="321">
        <f t="shared" si="7"/>
        <v>1.2699279318628525</v>
      </c>
      <c r="BE125" s="321">
        <f t="shared" si="8"/>
        <v>1.1413780502659474</v>
      </c>
      <c r="BG125" s="22">
        <f t="shared" si="9"/>
        <v>4.2188474935755949E-15</v>
      </c>
      <c r="BH125" s="22">
        <f t="shared" si="10"/>
        <v>1.609823385706477E-15</v>
      </c>
      <c r="BI125" s="22">
        <f t="shared" si="11"/>
        <v>3.3861802251067274E-15</v>
      </c>
    </row>
    <row r="126" spans="2:61" x14ac:dyDescent="0.25">
      <c r="B126" s="312">
        <v>170</v>
      </c>
      <c r="C126" s="312" t="s">
        <v>803</v>
      </c>
      <c r="D126" s="312"/>
      <c r="E126" s="312">
        <v>5</v>
      </c>
      <c r="F126" s="312">
        <v>4</v>
      </c>
      <c r="G126" s="313" t="s">
        <v>128</v>
      </c>
      <c r="H126" s="313"/>
      <c r="I126" s="346">
        <v>2772.7</v>
      </c>
      <c r="J126" s="317">
        <v>2772.7</v>
      </c>
      <c r="K126" s="317">
        <v>0</v>
      </c>
      <c r="L126" s="317">
        <v>0</v>
      </c>
      <c r="M126" s="317"/>
      <c r="N126" s="319">
        <v>0.16569999999999999</v>
      </c>
      <c r="O126" s="319">
        <v>9.1899999999999996E-2</v>
      </c>
      <c r="P126" s="319">
        <v>0.32569999999999999</v>
      </c>
      <c r="Q126" s="319">
        <v>7.4700000000000003E-2</v>
      </c>
      <c r="R126" s="319">
        <v>2.8799999999999999E-2</v>
      </c>
      <c r="S126" s="319">
        <v>0.49609999999999999</v>
      </c>
      <c r="T126" s="319">
        <v>0</v>
      </c>
      <c r="U126" s="319">
        <v>0.63149999999999995</v>
      </c>
      <c r="V126" s="319">
        <v>0</v>
      </c>
      <c r="W126" s="319">
        <v>0</v>
      </c>
      <c r="X126" s="319">
        <v>0.1711</v>
      </c>
      <c r="Y126" s="319">
        <v>0</v>
      </c>
      <c r="Z126" s="319">
        <v>1.7269000000000001</v>
      </c>
      <c r="AA126" s="319">
        <v>0.21970000000000001</v>
      </c>
      <c r="AB126" s="319">
        <v>0.32579999999999998</v>
      </c>
      <c r="AC126" s="319">
        <v>8.7999999999999995E-2</v>
      </c>
      <c r="AD126" s="319">
        <v>0.1061</v>
      </c>
      <c r="AE126" s="319">
        <v>5.6099999999999997E-2</v>
      </c>
      <c r="AF126" s="319">
        <v>0.17100000000000001</v>
      </c>
      <c r="AG126" s="319">
        <v>3.3500000000000002E-2</v>
      </c>
      <c r="AH126" s="319">
        <v>0</v>
      </c>
      <c r="AI126" s="319">
        <v>2.9397000000000002</v>
      </c>
      <c r="AJ126" s="319">
        <v>1.1155999999999999</v>
      </c>
      <c r="AK126" s="319">
        <v>9.3100000000000002E-2</v>
      </c>
      <c r="AL126" s="319">
        <v>0.61499999999999999</v>
      </c>
      <c r="AM126" s="319">
        <v>5.7799999999999997E-2</v>
      </c>
      <c r="AN126" s="319">
        <v>9.4000000000000004E-3</v>
      </c>
      <c r="AO126" s="319">
        <v>0.4032</v>
      </c>
      <c r="AP126" s="319">
        <v>0</v>
      </c>
      <c r="AQ126" s="319">
        <v>0</v>
      </c>
      <c r="AR126" s="319">
        <v>0.49730000000000002</v>
      </c>
      <c r="AS126" s="319">
        <v>0.49730000000000002</v>
      </c>
      <c r="AT126" s="331">
        <v>0.24360000000000001</v>
      </c>
      <c r="AU126" s="336">
        <v>10.4437</v>
      </c>
      <c r="AV126" s="329">
        <v>10.4437</v>
      </c>
      <c r="AW126" s="337">
        <v>5.1165000000000003</v>
      </c>
      <c r="AX126" s="334"/>
      <c r="AY126" s="323">
        <v>8.224000000000002</v>
      </c>
      <c r="AZ126" s="323">
        <v>8.224000000000002</v>
      </c>
      <c r="BA126" s="323">
        <v>4.4653000000000009</v>
      </c>
      <c r="BB126" s="319"/>
      <c r="BC126" s="321">
        <f t="shared" si="6"/>
        <v>1.2699051556420231</v>
      </c>
      <c r="BD126" s="321">
        <f t="shared" si="7"/>
        <v>1.2699051556420231</v>
      </c>
      <c r="BE126" s="321">
        <f t="shared" si="8"/>
        <v>1.1458356661366536</v>
      </c>
      <c r="BG126" s="22">
        <f t="shared" si="9"/>
        <v>1.3877787807814457E-15</v>
      </c>
      <c r="BH126" s="22">
        <f t="shared" si="10"/>
        <v>9.7144514654701197E-16</v>
      </c>
      <c r="BI126" s="22">
        <f t="shared" si="11"/>
        <v>0</v>
      </c>
    </row>
    <row r="127" spans="2:61" x14ac:dyDescent="0.25">
      <c r="B127" s="312">
        <v>171</v>
      </c>
      <c r="C127" s="312" t="s">
        <v>805</v>
      </c>
      <c r="D127" s="312"/>
      <c r="E127" s="312">
        <v>5</v>
      </c>
      <c r="F127" s="312">
        <v>4</v>
      </c>
      <c r="G127" s="313" t="s">
        <v>129</v>
      </c>
      <c r="H127" s="313"/>
      <c r="I127" s="346">
        <v>2930.5</v>
      </c>
      <c r="J127" s="317">
        <v>2930.5</v>
      </c>
      <c r="K127" s="317">
        <v>0</v>
      </c>
      <c r="L127" s="317">
        <v>0</v>
      </c>
      <c r="M127" s="317"/>
      <c r="N127" s="319">
        <v>0.16489999999999999</v>
      </c>
      <c r="O127" s="319">
        <v>9.4500000000000001E-2</v>
      </c>
      <c r="P127" s="319">
        <v>0.3276</v>
      </c>
      <c r="Q127" s="319">
        <v>7.4300000000000005E-2</v>
      </c>
      <c r="R127" s="319">
        <v>3.0700000000000002E-2</v>
      </c>
      <c r="S127" s="319">
        <v>0.46329999999999999</v>
      </c>
      <c r="T127" s="319">
        <v>0</v>
      </c>
      <c r="U127" s="319">
        <v>0.63149999999999995</v>
      </c>
      <c r="V127" s="319">
        <v>0</v>
      </c>
      <c r="W127" s="319">
        <v>0</v>
      </c>
      <c r="X127" s="319">
        <v>0.16189999999999999</v>
      </c>
      <c r="Y127" s="319">
        <v>0</v>
      </c>
      <c r="Z127" s="319">
        <v>2.1120999999999999</v>
      </c>
      <c r="AA127" s="319">
        <v>0.2208</v>
      </c>
      <c r="AB127" s="319">
        <v>0.33510000000000001</v>
      </c>
      <c r="AC127" s="319">
        <v>8.8900000000000007E-2</v>
      </c>
      <c r="AD127" s="319">
        <v>0.10199999999999999</v>
      </c>
      <c r="AE127" s="319">
        <v>5.9700000000000003E-2</v>
      </c>
      <c r="AF127" s="319">
        <v>0.1618</v>
      </c>
      <c r="AG127" s="319">
        <v>3.2399999999999998E-2</v>
      </c>
      <c r="AH127" s="319">
        <v>0</v>
      </c>
      <c r="AI127" s="319">
        <v>2.1305000000000001</v>
      </c>
      <c r="AJ127" s="319">
        <v>1.0723</v>
      </c>
      <c r="AK127" s="319">
        <v>8.8200000000000001E-2</v>
      </c>
      <c r="AL127" s="319">
        <v>0.58479999999999999</v>
      </c>
      <c r="AM127" s="319">
        <v>5.8400000000000001E-2</v>
      </c>
      <c r="AN127" s="319">
        <v>9.4999999999999998E-3</v>
      </c>
      <c r="AO127" s="319">
        <v>0.27200000000000002</v>
      </c>
      <c r="AP127" s="319">
        <v>0</v>
      </c>
      <c r="AQ127" s="319">
        <v>0</v>
      </c>
      <c r="AR127" s="319">
        <v>0.46389999999999998</v>
      </c>
      <c r="AS127" s="319">
        <v>0.46389999999999998</v>
      </c>
      <c r="AT127" s="331">
        <v>0.26090000000000002</v>
      </c>
      <c r="AU127" s="336">
        <v>9.7411000000000012</v>
      </c>
      <c r="AV127" s="329">
        <v>9.7411000000000012</v>
      </c>
      <c r="AW127" s="337">
        <v>5.4785000000000013</v>
      </c>
      <c r="AX127" s="334"/>
      <c r="AY127" s="323">
        <v>7.6706000000000003</v>
      </c>
      <c r="AZ127" s="323">
        <v>7.6706000000000003</v>
      </c>
      <c r="BA127" s="323">
        <v>4.7416</v>
      </c>
      <c r="BB127" s="319"/>
      <c r="BC127" s="321">
        <f t="shared" si="6"/>
        <v>1.2699267332412068</v>
      </c>
      <c r="BD127" s="321">
        <f t="shared" si="7"/>
        <v>1.2699267332412068</v>
      </c>
      <c r="BE127" s="321">
        <f t="shared" si="8"/>
        <v>1.155411675383837</v>
      </c>
      <c r="BG127" s="22">
        <f t="shared" si="9"/>
        <v>2.3314683517128287E-15</v>
      </c>
      <c r="BH127" s="22">
        <f t="shared" si="10"/>
        <v>6.3837823915946501E-16</v>
      </c>
      <c r="BI127" s="22">
        <f t="shared" si="11"/>
        <v>1.5265566588595902E-15</v>
      </c>
    </row>
    <row r="128" spans="2:61" x14ac:dyDescent="0.25">
      <c r="B128" s="312">
        <v>172</v>
      </c>
      <c r="C128" s="312" t="s">
        <v>807</v>
      </c>
      <c r="D128" s="312"/>
      <c r="E128" s="312">
        <v>5</v>
      </c>
      <c r="F128" s="312">
        <v>6</v>
      </c>
      <c r="G128" s="313" t="s">
        <v>130</v>
      </c>
      <c r="H128" s="313"/>
      <c r="I128" s="346">
        <v>4352.1000000000004</v>
      </c>
      <c r="J128" s="317">
        <v>4352.1000000000004</v>
      </c>
      <c r="K128" s="317">
        <v>0</v>
      </c>
      <c r="L128" s="317">
        <v>0</v>
      </c>
      <c r="M128" s="317"/>
      <c r="N128" s="319">
        <v>0.1492</v>
      </c>
      <c r="O128" s="319">
        <v>9.8100000000000007E-2</v>
      </c>
      <c r="P128" s="319">
        <v>0.32819999999999999</v>
      </c>
      <c r="Q128" s="319">
        <v>7.3800000000000004E-2</v>
      </c>
      <c r="R128" s="319">
        <v>2.9600000000000001E-2</v>
      </c>
      <c r="S128" s="319">
        <v>0.64759999999999995</v>
      </c>
      <c r="T128" s="319">
        <v>0</v>
      </c>
      <c r="U128" s="319">
        <v>0.63149999999999995</v>
      </c>
      <c r="V128" s="319">
        <v>0</v>
      </c>
      <c r="W128" s="319">
        <v>0</v>
      </c>
      <c r="X128" s="319">
        <v>0.1454</v>
      </c>
      <c r="Y128" s="319">
        <v>0</v>
      </c>
      <c r="Z128" s="319">
        <v>1.3431999999999999</v>
      </c>
      <c r="AA128" s="319">
        <v>0.19789999999999999</v>
      </c>
      <c r="AB128" s="319">
        <v>0.34770000000000001</v>
      </c>
      <c r="AC128" s="319">
        <v>9.0999999999999998E-2</v>
      </c>
      <c r="AD128" s="319">
        <v>9.3700000000000006E-2</v>
      </c>
      <c r="AE128" s="319">
        <v>5.7599999999999998E-2</v>
      </c>
      <c r="AF128" s="319">
        <v>0.23880000000000001</v>
      </c>
      <c r="AG128" s="319">
        <v>3.5700000000000003E-2</v>
      </c>
      <c r="AH128" s="319">
        <v>0</v>
      </c>
      <c r="AI128" s="319">
        <v>2.6991000000000001</v>
      </c>
      <c r="AJ128" s="319">
        <v>1.1607000000000001</v>
      </c>
      <c r="AK128" s="319">
        <v>8.8300000000000003E-2</v>
      </c>
      <c r="AL128" s="319">
        <v>0.56869999999999998</v>
      </c>
      <c r="AM128" s="319">
        <v>4.5400000000000003E-2</v>
      </c>
      <c r="AN128" s="319">
        <v>7.4000000000000003E-3</v>
      </c>
      <c r="AO128" s="319">
        <v>0.21640000000000001</v>
      </c>
      <c r="AP128" s="319">
        <v>0</v>
      </c>
      <c r="AQ128" s="319">
        <v>0</v>
      </c>
      <c r="AR128" s="319">
        <v>0.46479999999999999</v>
      </c>
      <c r="AS128" s="319">
        <v>0.46479999999999999</v>
      </c>
      <c r="AT128" s="331">
        <v>0.23250000000000001</v>
      </c>
      <c r="AU128" s="336">
        <v>9.759800000000002</v>
      </c>
      <c r="AV128" s="329">
        <v>9.759800000000002</v>
      </c>
      <c r="AW128" s="337">
        <v>4.8826000000000018</v>
      </c>
      <c r="AX128" s="334"/>
      <c r="AY128" s="323">
        <v>7.6853000000000016</v>
      </c>
      <c r="AZ128" s="323">
        <v>7.6853000000000016</v>
      </c>
      <c r="BA128" s="323">
        <v>4.1831000000000014</v>
      </c>
      <c r="BB128" s="319"/>
      <c r="BC128" s="321">
        <f t="shared" si="6"/>
        <v>1.2699309070563283</v>
      </c>
      <c r="BD128" s="321">
        <f t="shared" si="7"/>
        <v>1.2699309070563283</v>
      </c>
      <c r="BE128" s="321">
        <f t="shared" si="8"/>
        <v>1.167220482417346</v>
      </c>
      <c r="BG128" s="22">
        <f t="shared" si="9"/>
        <v>-1.9984014443252818E-15</v>
      </c>
      <c r="BH128" s="22">
        <f t="shared" si="10"/>
        <v>-5.5511151231257827E-16</v>
      </c>
      <c r="BI128" s="22">
        <f t="shared" si="11"/>
        <v>1.2212453270876722E-15</v>
      </c>
    </row>
    <row r="129" spans="2:61" x14ac:dyDescent="0.25">
      <c r="B129" s="312">
        <v>173</v>
      </c>
      <c r="C129" s="312" t="s">
        <v>809</v>
      </c>
      <c r="D129" s="312"/>
      <c r="E129" s="312">
        <v>5</v>
      </c>
      <c r="F129" s="312">
        <v>7</v>
      </c>
      <c r="G129" s="313" t="s">
        <v>131</v>
      </c>
      <c r="H129" s="313"/>
      <c r="I129" s="346">
        <v>4515.3999999999996</v>
      </c>
      <c r="J129" s="317">
        <v>4515.3999999999996</v>
      </c>
      <c r="K129" s="317">
        <v>0</v>
      </c>
      <c r="L129" s="317">
        <v>0</v>
      </c>
      <c r="M129" s="317"/>
      <c r="N129" s="319">
        <v>0.16339999999999999</v>
      </c>
      <c r="O129" s="319">
        <v>0.109</v>
      </c>
      <c r="P129" s="319">
        <v>0.3296</v>
      </c>
      <c r="Q129" s="319">
        <v>7.4300000000000005E-2</v>
      </c>
      <c r="R129" s="319">
        <v>3.32E-2</v>
      </c>
      <c r="S129" s="319">
        <v>0.73640000000000005</v>
      </c>
      <c r="T129" s="319">
        <v>0</v>
      </c>
      <c r="U129" s="319">
        <v>0.63149999999999995</v>
      </c>
      <c r="V129" s="319">
        <v>0</v>
      </c>
      <c r="W129" s="319">
        <v>0</v>
      </c>
      <c r="X129" s="319">
        <v>0.1401</v>
      </c>
      <c r="Y129" s="319">
        <v>0</v>
      </c>
      <c r="Z129" s="319">
        <v>1.5924</v>
      </c>
      <c r="AA129" s="319">
        <v>0.2132</v>
      </c>
      <c r="AB129" s="319">
        <v>0.31340000000000001</v>
      </c>
      <c r="AC129" s="319">
        <v>8.7999999999999995E-2</v>
      </c>
      <c r="AD129" s="319">
        <v>9.74E-2</v>
      </c>
      <c r="AE129" s="319">
        <v>6.4500000000000002E-2</v>
      </c>
      <c r="AF129" s="319">
        <v>0.2903</v>
      </c>
      <c r="AG129" s="319">
        <v>3.6700000000000003E-2</v>
      </c>
      <c r="AH129" s="319">
        <v>0</v>
      </c>
      <c r="AI129" s="319">
        <v>1.9159999999999999</v>
      </c>
      <c r="AJ129" s="319">
        <v>1.3132999999999999</v>
      </c>
      <c r="AK129" s="319">
        <v>0.1094</v>
      </c>
      <c r="AL129" s="319">
        <v>0.62629999999999997</v>
      </c>
      <c r="AM129" s="319">
        <v>6.9800000000000001E-2</v>
      </c>
      <c r="AN129" s="319">
        <v>1.1299999999999999E-2</v>
      </c>
      <c r="AO129" s="319">
        <v>0.30259999999999998</v>
      </c>
      <c r="AP129" s="319">
        <v>0</v>
      </c>
      <c r="AQ129" s="319">
        <v>0</v>
      </c>
      <c r="AR129" s="319">
        <v>0.46310000000000001</v>
      </c>
      <c r="AS129" s="319">
        <v>0.46310000000000001</v>
      </c>
      <c r="AT129" s="331">
        <v>0.25519999999999998</v>
      </c>
      <c r="AU129" s="336">
        <v>9.7252000000000027</v>
      </c>
      <c r="AV129" s="329">
        <v>9.7252000000000027</v>
      </c>
      <c r="AW129" s="337">
        <v>5.3591000000000015</v>
      </c>
      <c r="AX129" s="334"/>
      <c r="AY129" s="323">
        <v>7.6580000000000013</v>
      </c>
      <c r="AZ129" s="323">
        <v>7.6580000000000013</v>
      </c>
      <c r="BA129" s="323">
        <v>4.5182000000000011</v>
      </c>
      <c r="BB129" s="319"/>
      <c r="BC129" s="321">
        <f t="shared" si="6"/>
        <v>1.2699399320971534</v>
      </c>
      <c r="BD129" s="321">
        <f t="shared" si="7"/>
        <v>1.2699399320971534</v>
      </c>
      <c r="BE129" s="321">
        <f t="shared" si="8"/>
        <v>1.1861139391793192</v>
      </c>
      <c r="BG129" s="22">
        <f t="shared" si="9"/>
        <v>4.6074255521943996E-15</v>
      </c>
      <c r="BH129" s="22">
        <f t="shared" si="10"/>
        <v>-5.5511151231257827E-16</v>
      </c>
      <c r="BI129" s="22">
        <f t="shared" si="11"/>
        <v>1.2212453270876722E-15</v>
      </c>
    </row>
    <row r="130" spans="2:61" x14ac:dyDescent="0.25">
      <c r="B130" s="312">
        <v>176</v>
      </c>
      <c r="C130" s="312" t="s">
        <v>815</v>
      </c>
      <c r="D130" s="312"/>
      <c r="E130" s="312">
        <v>5</v>
      </c>
      <c r="F130" s="312">
        <v>8</v>
      </c>
      <c r="G130" s="313" t="s">
        <v>132</v>
      </c>
      <c r="H130" s="313"/>
      <c r="I130" s="346">
        <v>5960.3</v>
      </c>
      <c r="J130" s="317">
        <v>5960.3</v>
      </c>
      <c r="K130" s="317">
        <v>0</v>
      </c>
      <c r="L130" s="317">
        <v>0</v>
      </c>
      <c r="M130" s="317"/>
      <c r="N130" s="319">
        <v>0.15049999999999999</v>
      </c>
      <c r="O130" s="319">
        <v>9.1300000000000006E-2</v>
      </c>
      <c r="P130" s="319">
        <v>0.3327</v>
      </c>
      <c r="Q130" s="319">
        <v>7.4999999999999997E-2</v>
      </c>
      <c r="R130" s="319">
        <v>4.36E-2</v>
      </c>
      <c r="S130" s="319">
        <v>0.69599999999999995</v>
      </c>
      <c r="T130" s="319">
        <v>0</v>
      </c>
      <c r="U130" s="319">
        <v>0.63149999999999995</v>
      </c>
      <c r="V130" s="319">
        <v>0</v>
      </c>
      <c r="W130" s="319">
        <v>0</v>
      </c>
      <c r="X130" s="319">
        <v>0.15790000000000001</v>
      </c>
      <c r="Y130" s="319">
        <v>0</v>
      </c>
      <c r="Z130" s="319">
        <v>2.2069999999999999</v>
      </c>
      <c r="AA130" s="319">
        <v>0.19969999999999999</v>
      </c>
      <c r="AB130" s="319">
        <v>0.33450000000000002</v>
      </c>
      <c r="AC130" s="319">
        <v>9.1499999999999998E-2</v>
      </c>
      <c r="AD130" s="319">
        <v>9.9299999999999999E-2</v>
      </c>
      <c r="AE130" s="319">
        <v>8.4699999999999998E-2</v>
      </c>
      <c r="AF130" s="319">
        <v>0.26919999999999999</v>
      </c>
      <c r="AG130" s="319">
        <v>3.2300000000000002E-2</v>
      </c>
      <c r="AH130" s="319">
        <v>0</v>
      </c>
      <c r="AI130" s="319">
        <v>1.8093999999999999</v>
      </c>
      <c r="AJ130" s="319">
        <v>1.073</v>
      </c>
      <c r="AK130" s="319">
        <v>8.3299999999999999E-2</v>
      </c>
      <c r="AL130" s="319">
        <v>0.58960000000000001</v>
      </c>
      <c r="AM130" s="319">
        <v>5.9499999999999997E-2</v>
      </c>
      <c r="AN130" s="319">
        <v>9.7000000000000003E-3</v>
      </c>
      <c r="AO130" s="319">
        <v>0.23880000000000001</v>
      </c>
      <c r="AP130" s="319">
        <v>0</v>
      </c>
      <c r="AQ130" s="319">
        <v>0</v>
      </c>
      <c r="AR130" s="319">
        <v>0.46800000000000003</v>
      </c>
      <c r="AS130" s="319">
        <v>0.46800000000000003</v>
      </c>
      <c r="AT130" s="331">
        <v>0.28249999999999997</v>
      </c>
      <c r="AU130" s="336">
        <v>9.8280000000000012</v>
      </c>
      <c r="AV130" s="329">
        <v>9.8280000000000012</v>
      </c>
      <c r="AW130" s="337">
        <v>5.9317000000000002</v>
      </c>
      <c r="AX130" s="334"/>
      <c r="AY130" s="323">
        <v>7.738900000000001</v>
      </c>
      <c r="AZ130" s="323">
        <v>7.738900000000001</v>
      </c>
      <c r="BA130" s="323">
        <v>4.9484000000000012</v>
      </c>
      <c r="BB130" s="319"/>
      <c r="BC130" s="321">
        <f t="shared" si="6"/>
        <v>1.2699479254157569</v>
      </c>
      <c r="BD130" s="321">
        <f t="shared" si="7"/>
        <v>1.2699479254157569</v>
      </c>
      <c r="BE130" s="321">
        <f t="shared" si="8"/>
        <v>1.1987106943658554</v>
      </c>
      <c r="BG130" s="22">
        <f t="shared" si="9"/>
        <v>4.0523140398818214E-15</v>
      </c>
      <c r="BH130" s="22">
        <f t="shared" si="10"/>
        <v>5.8286708792820718E-16</v>
      </c>
      <c r="BI130" s="22">
        <f t="shared" si="11"/>
        <v>5.8286708792820718E-16</v>
      </c>
    </row>
    <row r="131" spans="2:61" x14ac:dyDescent="0.25">
      <c r="B131" s="312">
        <v>177</v>
      </c>
      <c r="C131" s="312" t="s">
        <v>817</v>
      </c>
      <c r="D131" s="312"/>
      <c r="E131" s="312">
        <v>5</v>
      </c>
      <c r="F131" s="312">
        <v>4</v>
      </c>
      <c r="G131" s="313" t="s">
        <v>133</v>
      </c>
      <c r="H131" s="313"/>
      <c r="I131" s="346">
        <v>2900.4</v>
      </c>
      <c r="J131" s="317">
        <v>2900.4</v>
      </c>
      <c r="K131" s="317">
        <v>0</v>
      </c>
      <c r="L131" s="317">
        <v>0</v>
      </c>
      <c r="M131" s="317"/>
      <c r="N131" s="319">
        <v>0.1656</v>
      </c>
      <c r="O131" s="319">
        <v>8.7800000000000003E-2</v>
      </c>
      <c r="P131" s="319">
        <v>0.32619999999999999</v>
      </c>
      <c r="Q131" s="319">
        <v>7.4499999999999997E-2</v>
      </c>
      <c r="R131" s="319">
        <v>3.1E-2</v>
      </c>
      <c r="S131" s="319">
        <v>0.4743</v>
      </c>
      <c r="T131" s="319">
        <v>0</v>
      </c>
      <c r="U131" s="319">
        <v>0.63149999999999995</v>
      </c>
      <c r="V131" s="319">
        <v>0</v>
      </c>
      <c r="W131" s="319">
        <v>0</v>
      </c>
      <c r="X131" s="319">
        <v>0.1636</v>
      </c>
      <c r="Y131" s="319">
        <v>0</v>
      </c>
      <c r="Z131" s="319">
        <v>2.2536</v>
      </c>
      <c r="AA131" s="319">
        <v>0.22140000000000001</v>
      </c>
      <c r="AB131" s="319">
        <v>0.32019999999999998</v>
      </c>
      <c r="AC131" s="319">
        <v>8.8599999999999998E-2</v>
      </c>
      <c r="AD131" s="319">
        <v>0.10349999999999999</v>
      </c>
      <c r="AE131" s="319">
        <v>6.0299999999999999E-2</v>
      </c>
      <c r="AF131" s="319">
        <v>0.16350000000000001</v>
      </c>
      <c r="AG131" s="319">
        <v>3.2599999999999997E-2</v>
      </c>
      <c r="AH131" s="319">
        <v>0</v>
      </c>
      <c r="AI131" s="319">
        <v>2.0939999999999999</v>
      </c>
      <c r="AJ131" s="319">
        <v>1.1488</v>
      </c>
      <c r="AK131" s="319">
        <v>9.1200000000000003E-2</v>
      </c>
      <c r="AL131" s="319">
        <v>0.58179999999999998</v>
      </c>
      <c r="AM131" s="319">
        <v>5.5500000000000001E-2</v>
      </c>
      <c r="AN131" s="319">
        <v>8.9999999999999993E-3</v>
      </c>
      <c r="AO131" s="319">
        <v>0.23730000000000001</v>
      </c>
      <c r="AP131" s="319">
        <v>0</v>
      </c>
      <c r="AQ131" s="319">
        <v>0</v>
      </c>
      <c r="AR131" s="319">
        <v>0.4708</v>
      </c>
      <c r="AS131" s="319">
        <v>0.4708</v>
      </c>
      <c r="AT131" s="331">
        <v>0.26769999999999999</v>
      </c>
      <c r="AU131" s="336">
        <v>9.8865999999999996</v>
      </c>
      <c r="AV131" s="329">
        <v>9.8865999999999996</v>
      </c>
      <c r="AW131" s="337">
        <v>5.6216000000000008</v>
      </c>
      <c r="AX131" s="334"/>
      <c r="AY131" s="323">
        <v>7.7853000000000012</v>
      </c>
      <c r="AZ131" s="323">
        <v>7.7853000000000012</v>
      </c>
      <c r="BA131" s="323">
        <v>4.7895000000000021</v>
      </c>
      <c r="BB131" s="319"/>
      <c r="BC131" s="321">
        <f t="shared" si="6"/>
        <v>1.2699061050955003</v>
      </c>
      <c r="BD131" s="321">
        <f t="shared" si="7"/>
        <v>1.2699061050955003</v>
      </c>
      <c r="BE131" s="321">
        <f t="shared" si="8"/>
        <v>1.1737342102515917</v>
      </c>
      <c r="BG131" s="22">
        <f t="shared" si="9"/>
        <v>1.609823385706477E-15</v>
      </c>
      <c r="BH131" s="22">
        <f t="shared" si="10"/>
        <v>0</v>
      </c>
      <c r="BI131" s="22">
        <f t="shared" si="11"/>
        <v>9.1593399531575415E-16</v>
      </c>
    </row>
    <row r="132" spans="2:61" x14ac:dyDescent="0.25">
      <c r="B132" s="312">
        <v>178</v>
      </c>
      <c r="C132" s="312" t="s">
        <v>819</v>
      </c>
      <c r="D132" s="312"/>
      <c r="E132" s="312">
        <v>5</v>
      </c>
      <c r="F132" s="312">
        <v>4</v>
      </c>
      <c r="G132" s="313" t="s">
        <v>134</v>
      </c>
      <c r="H132" s="313"/>
      <c r="I132" s="346">
        <v>2908</v>
      </c>
      <c r="J132" s="317">
        <v>2908</v>
      </c>
      <c r="K132" s="317">
        <v>0</v>
      </c>
      <c r="L132" s="317">
        <v>0</v>
      </c>
      <c r="M132" s="317"/>
      <c r="N132" s="319">
        <v>0.1651</v>
      </c>
      <c r="O132" s="319">
        <v>8.7599999999999997E-2</v>
      </c>
      <c r="P132" s="319">
        <v>0.32850000000000001</v>
      </c>
      <c r="Q132" s="319">
        <v>7.3899999999999993E-2</v>
      </c>
      <c r="R132" s="319">
        <v>3.09E-2</v>
      </c>
      <c r="S132" s="319">
        <v>0.47299999999999998</v>
      </c>
      <c r="T132" s="319">
        <v>0</v>
      </c>
      <c r="U132" s="319">
        <v>0.63149999999999995</v>
      </c>
      <c r="V132" s="319">
        <v>0</v>
      </c>
      <c r="W132" s="319">
        <v>0</v>
      </c>
      <c r="X132" s="319">
        <v>0.16320000000000001</v>
      </c>
      <c r="Y132" s="319">
        <v>0</v>
      </c>
      <c r="Z132" s="319">
        <v>1.3754</v>
      </c>
      <c r="AA132" s="319">
        <v>0.2185</v>
      </c>
      <c r="AB132" s="319">
        <v>0.31059999999999999</v>
      </c>
      <c r="AC132" s="319">
        <v>8.8200000000000001E-2</v>
      </c>
      <c r="AD132" s="319">
        <v>0.1016</v>
      </c>
      <c r="AE132" s="319">
        <v>6.0100000000000001E-2</v>
      </c>
      <c r="AF132" s="319">
        <v>0.16309999999999999</v>
      </c>
      <c r="AG132" s="319">
        <v>3.2599999999999997E-2</v>
      </c>
      <c r="AH132" s="319">
        <v>0</v>
      </c>
      <c r="AI132" s="319">
        <v>3.1564000000000001</v>
      </c>
      <c r="AJ132" s="319">
        <v>1.1033999999999999</v>
      </c>
      <c r="AK132" s="319">
        <v>8.2699999999999996E-2</v>
      </c>
      <c r="AL132" s="319">
        <v>0.54459999999999997</v>
      </c>
      <c r="AM132" s="319">
        <v>5.5800000000000002E-2</v>
      </c>
      <c r="AN132" s="319">
        <v>9.1000000000000004E-3</v>
      </c>
      <c r="AO132" s="319">
        <v>0.42720000000000002</v>
      </c>
      <c r="AP132" s="319">
        <v>0</v>
      </c>
      <c r="AQ132" s="319">
        <v>0</v>
      </c>
      <c r="AR132" s="319">
        <v>0.48420000000000002</v>
      </c>
      <c r="AS132" s="319">
        <v>0.48420000000000002</v>
      </c>
      <c r="AT132" s="331">
        <v>0.22259999999999999</v>
      </c>
      <c r="AU132" s="336">
        <v>10.167199999999999</v>
      </c>
      <c r="AV132" s="329">
        <v>10.167199999999999</v>
      </c>
      <c r="AW132" s="337">
        <v>4.6740000000000013</v>
      </c>
      <c r="AX132" s="334"/>
      <c r="AY132" s="323">
        <v>8.0061000000000018</v>
      </c>
      <c r="AZ132" s="323">
        <v>8.0061000000000018</v>
      </c>
      <c r="BA132" s="323">
        <v>4.2462000000000018</v>
      </c>
      <c r="BB132" s="319"/>
      <c r="BC132" s="321">
        <f t="shared" si="6"/>
        <v>1.2699316770962137</v>
      </c>
      <c r="BD132" s="321">
        <f t="shared" si="7"/>
        <v>1.2699316770962137</v>
      </c>
      <c r="BE132" s="321">
        <f t="shared" si="8"/>
        <v>1.1007489049032073</v>
      </c>
      <c r="BG132" s="22">
        <f t="shared" si="9"/>
        <v>-4.0523140398818214E-15</v>
      </c>
      <c r="BH132" s="22">
        <f t="shared" si="10"/>
        <v>0</v>
      </c>
      <c r="BI132" s="22">
        <f t="shared" si="11"/>
        <v>9.1593399531575415E-16</v>
      </c>
    </row>
    <row r="133" spans="2:61" x14ac:dyDescent="0.25">
      <c r="B133" s="312">
        <v>179</v>
      </c>
      <c r="C133" s="312" t="s">
        <v>821</v>
      </c>
      <c r="D133" s="312"/>
      <c r="E133" s="312">
        <v>5</v>
      </c>
      <c r="F133" s="312">
        <v>4</v>
      </c>
      <c r="G133" s="313" t="s">
        <v>135</v>
      </c>
      <c r="H133" s="313"/>
      <c r="I133" s="346">
        <v>2877.2</v>
      </c>
      <c r="J133" s="317">
        <v>2877.2</v>
      </c>
      <c r="K133" s="317">
        <v>0</v>
      </c>
      <c r="L133" s="317">
        <v>0</v>
      </c>
      <c r="M133" s="317"/>
      <c r="N133" s="319">
        <v>0.16089999999999999</v>
      </c>
      <c r="O133" s="319">
        <v>8.8499999999999995E-2</v>
      </c>
      <c r="P133" s="319">
        <v>0.32540000000000002</v>
      </c>
      <c r="Q133" s="319">
        <v>7.4300000000000005E-2</v>
      </c>
      <c r="R133" s="319">
        <v>2.7799999999999998E-2</v>
      </c>
      <c r="S133" s="319">
        <v>0.47810000000000002</v>
      </c>
      <c r="T133" s="319">
        <v>0</v>
      </c>
      <c r="U133" s="319">
        <v>0.63149999999999995</v>
      </c>
      <c r="V133" s="319">
        <v>0</v>
      </c>
      <c r="W133" s="319">
        <v>0</v>
      </c>
      <c r="X133" s="319">
        <v>0.16489999999999999</v>
      </c>
      <c r="Y133" s="319">
        <v>0</v>
      </c>
      <c r="Z133" s="319">
        <v>1.7894000000000001</v>
      </c>
      <c r="AA133" s="319">
        <v>0.2135</v>
      </c>
      <c r="AB133" s="319">
        <v>0.314</v>
      </c>
      <c r="AC133" s="319">
        <v>8.8400000000000006E-2</v>
      </c>
      <c r="AD133" s="319">
        <v>0.1021</v>
      </c>
      <c r="AE133" s="319">
        <v>5.3999999999999999E-2</v>
      </c>
      <c r="AF133" s="319">
        <v>0.1648</v>
      </c>
      <c r="AG133" s="319">
        <v>3.2800000000000003E-2</v>
      </c>
      <c r="AH133" s="319">
        <v>0</v>
      </c>
      <c r="AI133" s="319">
        <v>2.5211000000000001</v>
      </c>
      <c r="AJ133" s="319">
        <v>1.1024</v>
      </c>
      <c r="AK133" s="319">
        <v>8.7300000000000003E-2</v>
      </c>
      <c r="AL133" s="319">
        <v>0.59470000000000001</v>
      </c>
      <c r="AM133" s="319">
        <v>5.5800000000000002E-2</v>
      </c>
      <c r="AN133" s="319">
        <v>9.1000000000000004E-3</v>
      </c>
      <c r="AO133" s="319">
        <v>0.33460000000000001</v>
      </c>
      <c r="AP133" s="319">
        <v>0</v>
      </c>
      <c r="AQ133" s="319">
        <v>0</v>
      </c>
      <c r="AR133" s="319">
        <v>0.4708</v>
      </c>
      <c r="AS133" s="319">
        <v>0.4708</v>
      </c>
      <c r="AT133" s="331">
        <v>0.24310000000000001</v>
      </c>
      <c r="AU133" s="336">
        <v>9.8862000000000005</v>
      </c>
      <c r="AV133" s="329">
        <v>9.8862000000000005</v>
      </c>
      <c r="AW133" s="337">
        <v>5.1057000000000006</v>
      </c>
      <c r="AX133" s="334"/>
      <c r="AY133" s="323">
        <v>7.7849000000000004</v>
      </c>
      <c r="AZ133" s="323">
        <v>7.7849000000000004</v>
      </c>
      <c r="BA133" s="323">
        <v>4.4409000000000001</v>
      </c>
      <c r="BB133" s="319"/>
      <c r="BC133" s="321">
        <f t="shared" si="6"/>
        <v>1.2699199732816093</v>
      </c>
      <c r="BD133" s="321">
        <f t="shared" si="7"/>
        <v>1.2699199732816093</v>
      </c>
      <c r="BE133" s="321">
        <f t="shared" si="8"/>
        <v>1.1496993852597448</v>
      </c>
      <c r="BG133" s="22">
        <f t="shared" si="9"/>
        <v>2.3314683517128287E-15</v>
      </c>
      <c r="BH133" s="22">
        <f t="shared" si="10"/>
        <v>0</v>
      </c>
      <c r="BI133" s="22">
        <f t="shared" si="11"/>
        <v>8.6042284408449632E-16</v>
      </c>
    </row>
    <row r="134" spans="2:61" x14ac:dyDescent="0.25">
      <c r="B134" s="312">
        <v>180</v>
      </c>
      <c r="C134" s="312" t="s">
        <v>823</v>
      </c>
      <c r="D134" s="312"/>
      <c r="E134" s="312">
        <v>5</v>
      </c>
      <c r="F134" s="312">
        <v>4</v>
      </c>
      <c r="G134" s="313" t="s">
        <v>136</v>
      </c>
      <c r="H134" s="313"/>
      <c r="I134" s="346">
        <v>2873.7</v>
      </c>
      <c r="J134" s="317">
        <v>2873.7</v>
      </c>
      <c r="K134" s="317">
        <v>0</v>
      </c>
      <c r="L134" s="317">
        <v>0</v>
      </c>
      <c r="M134" s="317"/>
      <c r="N134" s="319">
        <v>0.16109999999999999</v>
      </c>
      <c r="O134" s="319">
        <v>8.8599999999999998E-2</v>
      </c>
      <c r="P134" s="319">
        <v>0.32579999999999998</v>
      </c>
      <c r="Q134" s="319">
        <v>7.4099999999999999E-2</v>
      </c>
      <c r="R134" s="319">
        <v>2.7799999999999998E-2</v>
      </c>
      <c r="S134" s="319">
        <v>0.47870000000000001</v>
      </c>
      <c r="T134" s="319">
        <v>0</v>
      </c>
      <c r="U134" s="319">
        <v>0.63149999999999995</v>
      </c>
      <c r="V134" s="319">
        <v>0</v>
      </c>
      <c r="W134" s="319">
        <v>0</v>
      </c>
      <c r="X134" s="319">
        <v>0.1651</v>
      </c>
      <c r="Y134" s="319">
        <v>0</v>
      </c>
      <c r="Z134" s="319">
        <v>1.5673999999999999</v>
      </c>
      <c r="AA134" s="319">
        <v>0.21199999999999999</v>
      </c>
      <c r="AB134" s="319">
        <v>0.31440000000000001</v>
      </c>
      <c r="AC134" s="319">
        <v>8.8499999999999995E-2</v>
      </c>
      <c r="AD134" s="319">
        <v>0.1011</v>
      </c>
      <c r="AE134" s="319">
        <v>5.4100000000000002E-2</v>
      </c>
      <c r="AF134" s="319">
        <v>0.16500000000000001</v>
      </c>
      <c r="AG134" s="319">
        <v>3.2800000000000003E-2</v>
      </c>
      <c r="AH134" s="319">
        <v>0</v>
      </c>
      <c r="AI134" s="319">
        <v>2.8805999999999998</v>
      </c>
      <c r="AJ134" s="319">
        <v>1.1021000000000001</v>
      </c>
      <c r="AK134" s="319">
        <v>8.7900000000000006E-2</v>
      </c>
      <c r="AL134" s="319">
        <v>0.61380000000000001</v>
      </c>
      <c r="AM134" s="319">
        <v>5.6099999999999997E-2</v>
      </c>
      <c r="AN134" s="319">
        <v>9.1000000000000004E-3</v>
      </c>
      <c r="AO134" s="319">
        <v>0.17829999999999999</v>
      </c>
      <c r="AP134" s="319">
        <v>0</v>
      </c>
      <c r="AQ134" s="319">
        <v>0</v>
      </c>
      <c r="AR134" s="319">
        <v>0.4708</v>
      </c>
      <c r="AS134" s="319">
        <v>0.4708</v>
      </c>
      <c r="AT134" s="331">
        <v>0.2321</v>
      </c>
      <c r="AU134" s="336">
        <v>9.8866999999999994</v>
      </c>
      <c r="AV134" s="329">
        <v>9.8866999999999994</v>
      </c>
      <c r="AW134" s="337">
        <v>4.8731999999999998</v>
      </c>
      <c r="AX134" s="334"/>
      <c r="AY134" s="323">
        <v>7.7853000000000012</v>
      </c>
      <c r="AZ134" s="323">
        <v>7.7853000000000012</v>
      </c>
      <c r="BA134" s="323">
        <v>4.3930000000000016</v>
      </c>
      <c r="BB134" s="319"/>
      <c r="BC134" s="321">
        <f t="shared" si="6"/>
        <v>1.269918949815678</v>
      </c>
      <c r="BD134" s="321">
        <f t="shared" si="7"/>
        <v>1.269918949815678</v>
      </c>
      <c r="BE134" s="321">
        <f t="shared" si="8"/>
        <v>1.1093102663328018</v>
      </c>
      <c r="BG134" s="22">
        <f t="shared" si="9"/>
        <v>4.2188474935755949E-15</v>
      </c>
      <c r="BH134" s="22">
        <f t="shared" si="10"/>
        <v>0</v>
      </c>
      <c r="BI134" s="22">
        <f t="shared" si="11"/>
        <v>0</v>
      </c>
    </row>
    <row r="135" spans="2:61" x14ac:dyDescent="0.25">
      <c r="B135" s="312">
        <v>181</v>
      </c>
      <c r="C135" s="312" t="s">
        <v>825</v>
      </c>
      <c r="D135" s="312"/>
      <c r="E135" s="312">
        <v>5</v>
      </c>
      <c r="F135" s="312">
        <v>2</v>
      </c>
      <c r="G135" s="313" t="s">
        <v>137</v>
      </c>
      <c r="H135" s="313"/>
      <c r="I135" s="346">
        <v>1891.3</v>
      </c>
      <c r="J135" s="317">
        <v>1891.3</v>
      </c>
      <c r="K135" s="317">
        <v>0</v>
      </c>
      <c r="L135" s="317">
        <v>0</v>
      </c>
      <c r="M135" s="317"/>
      <c r="N135" s="319">
        <v>0.1744</v>
      </c>
      <c r="O135" s="319">
        <v>9.6100000000000005E-2</v>
      </c>
      <c r="P135" s="319">
        <v>0.32390000000000002</v>
      </c>
      <c r="Q135" s="319">
        <v>7.17E-2</v>
      </c>
      <c r="R135" s="319">
        <v>2.3800000000000002E-2</v>
      </c>
      <c r="S135" s="319">
        <v>0.31740000000000002</v>
      </c>
      <c r="T135" s="319">
        <v>0</v>
      </c>
      <c r="U135" s="319">
        <v>0.63149999999999995</v>
      </c>
      <c r="V135" s="319">
        <v>0</v>
      </c>
      <c r="W135" s="319">
        <v>0</v>
      </c>
      <c r="X135" s="319">
        <v>0.16719999999999999</v>
      </c>
      <c r="Y135" s="319">
        <v>0</v>
      </c>
      <c r="Z135" s="319">
        <v>2.2031999999999998</v>
      </c>
      <c r="AA135" s="319">
        <v>0.23319999999999999</v>
      </c>
      <c r="AB135" s="319">
        <v>0.36249999999999999</v>
      </c>
      <c r="AC135" s="319">
        <v>8.9200000000000002E-2</v>
      </c>
      <c r="AD135" s="319">
        <v>8.8700000000000001E-2</v>
      </c>
      <c r="AE135" s="319">
        <v>4.6199999999999998E-2</v>
      </c>
      <c r="AF135" s="319">
        <v>0.10879999999999999</v>
      </c>
      <c r="AG135" s="319">
        <v>3.2399999999999998E-2</v>
      </c>
      <c r="AH135" s="319">
        <v>0</v>
      </c>
      <c r="AI135" s="319">
        <v>2.5701000000000001</v>
      </c>
      <c r="AJ135" s="319">
        <v>0.82879999999999998</v>
      </c>
      <c r="AK135" s="319">
        <v>8.77E-2</v>
      </c>
      <c r="AL135" s="319">
        <v>0.53120000000000001</v>
      </c>
      <c r="AM135" s="319">
        <v>5.21E-2</v>
      </c>
      <c r="AN135" s="319">
        <v>8.5000000000000006E-3</v>
      </c>
      <c r="AO135" s="319">
        <v>0.23810000000000001</v>
      </c>
      <c r="AP135" s="319">
        <v>0</v>
      </c>
      <c r="AQ135" s="319">
        <v>0</v>
      </c>
      <c r="AR135" s="319">
        <v>0.46429999999999999</v>
      </c>
      <c r="AS135" s="319">
        <v>0.46429999999999999</v>
      </c>
      <c r="AT135" s="331">
        <v>0.25590000000000002</v>
      </c>
      <c r="AU135" s="336">
        <v>9.7509999999999977</v>
      </c>
      <c r="AV135" s="329">
        <v>9.7509999999999977</v>
      </c>
      <c r="AW135" s="337">
        <v>5.3743999999999978</v>
      </c>
      <c r="AX135" s="334"/>
      <c r="AY135" s="323">
        <v>7.6782999999999992</v>
      </c>
      <c r="AZ135" s="323">
        <v>7.6782999999999992</v>
      </c>
      <c r="BA135" s="323">
        <v>4.5434000000000001</v>
      </c>
      <c r="BB135" s="319"/>
      <c r="BC135" s="321">
        <f t="shared" si="6"/>
        <v>1.2699425654116143</v>
      </c>
      <c r="BD135" s="321">
        <f t="shared" si="7"/>
        <v>1.2699425654116143</v>
      </c>
      <c r="BE135" s="321">
        <f t="shared" si="8"/>
        <v>1.1829026720077469</v>
      </c>
      <c r="BG135" s="22">
        <f t="shared" si="9"/>
        <v>-1.7208456881689926E-15</v>
      </c>
      <c r="BH135" s="22">
        <f t="shared" si="10"/>
        <v>0</v>
      </c>
      <c r="BI135" s="22">
        <f t="shared" si="11"/>
        <v>-1.7763568394002505E-15</v>
      </c>
    </row>
    <row r="136" spans="2:61" x14ac:dyDescent="0.25">
      <c r="B136" s="312">
        <v>182</v>
      </c>
      <c r="C136" s="312" t="s">
        <v>827</v>
      </c>
      <c r="D136" s="312"/>
      <c r="E136" s="312">
        <v>5</v>
      </c>
      <c r="F136" s="312">
        <v>4</v>
      </c>
      <c r="G136" s="313" t="s">
        <v>138</v>
      </c>
      <c r="H136" s="313"/>
      <c r="I136" s="346">
        <v>2745.5</v>
      </c>
      <c r="J136" s="317">
        <v>2745.5</v>
      </c>
      <c r="K136" s="317">
        <v>0</v>
      </c>
      <c r="L136" s="317">
        <v>0</v>
      </c>
      <c r="M136" s="317"/>
      <c r="N136" s="319">
        <v>0.16739999999999999</v>
      </c>
      <c r="O136" s="319">
        <v>9.2799999999999994E-2</v>
      </c>
      <c r="P136" s="319">
        <v>0.32500000000000001</v>
      </c>
      <c r="Q136" s="319">
        <v>7.4399999999999994E-2</v>
      </c>
      <c r="R136" s="319">
        <v>2.9100000000000001E-2</v>
      </c>
      <c r="S136" s="319">
        <v>0.501</v>
      </c>
      <c r="T136" s="319">
        <v>0</v>
      </c>
      <c r="U136" s="319">
        <v>0.63149999999999995</v>
      </c>
      <c r="V136" s="319">
        <v>0</v>
      </c>
      <c r="W136" s="319">
        <v>0</v>
      </c>
      <c r="X136" s="319">
        <v>0.17280000000000001</v>
      </c>
      <c r="Y136" s="319">
        <v>0</v>
      </c>
      <c r="Z136" s="319">
        <v>2.2208000000000001</v>
      </c>
      <c r="AA136" s="319">
        <v>0.22189999999999999</v>
      </c>
      <c r="AB136" s="319">
        <v>0.32900000000000001</v>
      </c>
      <c r="AC136" s="319">
        <v>8.7900000000000006E-2</v>
      </c>
      <c r="AD136" s="319">
        <v>0.10299999999999999</v>
      </c>
      <c r="AE136" s="319">
        <v>5.6599999999999998E-2</v>
      </c>
      <c r="AF136" s="319">
        <v>0.17269999999999999</v>
      </c>
      <c r="AG136" s="319">
        <v>3.3599999999999998E-2</v>
      </c>
      <c r="AH136" s="319">
        <v>0</v>
      </c>
      <c r="AI136" s="319">
        <v>2.4942000000000002</v>
      </c>
      <c r="AJ136" s="319">
        <v>1.1431</v>
      </c>
      <c r="AK136" s="319">
        <v>9.2899999999999996E-2</v>
      </c>
      <c r="AL136" s="319">
        <v>0.62590000000000001</v>
      </c>
      <c r="AM136" s="319">
        <v>5.8599999999999999E-2</v>
      </c>
      <c r="AN136" s="319">
        <v>9.4999999999999998E-3</v>
      </c>
      <c r="AO136" s="319">
        <v>0.18290000000000001</v>
      </c>
      <c r="AP136" s="319">
        <v>0</v>
      </c>
      <c r="AQ136" s="319">
        <v>0</v>
      </c>
      <c r="AR136" s="319">
        <v>0.49130000000000001</v>
      </c>
      <c r="AS136" s="319">
        <v>0.49130000000000001</v>
      </c>
      <c r="AT136" s="331">
        <v>0.26900000000000002</v>
      </c>
      <c r="AU136" s="336">
        <v>10.3179</v>
      </c>
      <c r="AV136" s="329">
        <v>10.3179</v>
      </c>
      <c r="AW136" s="337">
        <v>5.6494999999999989</v>
      </c>
      <c r="AX136" s="334"/>
      <c r="AY136" s="323">
        <v>8.1248999999999985</v>
      </c>
      <c r="AZ136" s="323">
        <v>8.1248999999999985</v>
      </c>
      <c r="BA136" s="323">
        <v>4.6517999999999988</v>
      </c>
      <c r="BB136" s="319"/>
      <c r="BC136" s="321">
        <f t="shared" ref="BC136:BC199" si="12">AU136/AY136</f>
        <v>1.2699110142894068</v>
      </c>
      <c r="BD136" s="321">
        <f t="shared" ref="BD136:BD199" si="13">AV136/AZ136</f>
        <v>1.2699110142894068</v>
      </c>
      <c r="BE136" s="321">
        <f t="shared" ref="BE136:BE199" si="14">AW136/BA136</f>
        <v>1.2144761167720024</v>
      </c>
      <c r="BG136" s="22">
        <f t="shared" ref="BG136:BG199" si="15">AU136-N136-O136-P136-Q136-R136-S136-T136-U136-X136-Y136-Z136-AA136-AB136-AC136-AD136-AE136-AF136-AG136-AH136-AI136-AJ136-AK136-AL136-AM136-AN136-AO136-AQ136-AR136</f>
        <v>0</v>
      </c>
      <c r="BH136" s="22">
        <f t="shared" ref="BH136:BH199" si="16">AV136-AS136-AQ136-AP136-AO136-AN136-AM136-AL136-AK136-AJ136-AI136-AH136-AG136-AF136-AE136-AD136-AC136-AB136-AA136-Z136-Y136-X136-W136-V136-U136-T136-S136-R136-Q136-P136-O136-N136</f>
        <v>-7.2164496600635175E-16</v>
      </c>
      <c r="BI136" s="22">
        <f t="shared" ref="BI136:BI199" si="17">AW136-AT136-AQ136-AN136-AM136-AK136-AH136-AG136-AF136-AE136-AD136-AC136-AB136-AA136-Z136-Y136-X136-U136-T136-S136-R136-Q136-P136-O136-N136</f>
        <v>-1.609823385706477E-15</v>
      </c>
    </row>
    <row r="137" spans="2:61" x14ac:dyDescent="0.25">
      <c r="B137" s="312">
        <v>183</v>
      </c>
      <c r="C137" s="312" t="s">
        <v>829</v>
      </c>
      <c r="D137" s="312"/>
      <c r="E137" s="312">
        <v>5</v>
      </c>
      <c r="F137" s="312">
        <v>4</v>
      </c>
      <c r="G137" s="313" t="s">
        <v>139</v>
      </c>
      <c r="H137" s="313"/>
      <c r="I137" s="346">
        <v>3310.9</v>
      </c>
      <c r="J137" s="317">
        <v>3310.9</v>
      </c>
      <c r="K137" s="317">
        <v>0</v>
      </c>
      <c r="L137" s="317">
        <v>0</v>
      </c>
      <c r="M137" s="317"/>
      <c r="N137" s="319">
        <v>0.15959999999999999</v>
      </c>
      <c r="O137" s="319">
        <v>0.1028</v>
      </c>
      <c r="P137" s="319">
        <v>0.33119999999999999</v>
      </c>
      <c r="Q137" s="319">
        <v>7.3400000000000007E-2</v>
      </c>
      <c r="R137" s="319">
        <v>0</v>
      </c>
      <c r="S137" s="319">
        <v>0.44429999999999997</v>
      </c>
      <c r="T137" s="319">
        <v>0</v>
      </c>
      <c r="U137" s="319">
        <v>0.63149999999999995</v>
      </c>
      <c r="V137" s="319">
        <v>0</v>
      </c>
      <c r="W137" s="319">
        <v>0</v>
      </c>
      <c r="X137" s="319">
        <v>0.13139999999999999</v>
      </c>
      <c r="Y137" s="319">
        <v>0</v>
      </c>
      <c r="Z137" s="319">
        <v>1.3366</v>
      </c>
      <c r="AA137" s="319">
        <v>0.21290000000000001</v>
      </c>
      <c r="AB137" s="319">
        <v>0.35599999999999998</v>
      </c>
      <c r="AC137" s="319">
        <v>9.0800000000000006E-2</v>
      </c>
      <c r="AD137" s="319">
        <v>0.10059999999999999</v>
      </c>
      <c r="AE137" s="319">
        <v>0</v>
      </c>
      <c r="AF137" s="319">
        <v>0.15620000000000001</v>
      </c>
      <c r="AG137" s="319">
        <v>3.2800000000000003E-2</v>
      </c>
      <c r="AH137" s="319">
        <v>0</v>
      </c>
      <c r="AI137" s="319">
        <v>1.2810999999999999</v>
      </c>
      <c r="AJ137" s="319">
        <v>0.95830000000000004</v>
      </c>
      <c r="AK137" s="319">
        <v>4.3999999999999997E-2</v>
      </c>
      <c r="AL137" s="319">
        <v>0.44030000000000002</v>
      </c>
      <c r="AM137" s="319">
        <v>6.2100000000000002E-2</v>
      </c>
      <c r="AN137" s="319">
        <v>1.01E-2</v>
      </c>
      <c r="AO137" s="319">
        <v>0.31890000000000002</v>
      </c>
      <c r="AP137" s="319">
        <v>0</v>
      </c>
      <c r="AQ137" s="319">
        <v>0</v>
      </c>
      <c r="AR137" s="319">
        <v>0.36370000000000002</v>
      </c>
      <c r="AS137" s="319">
        <v>0.36370000000000002</v>
      </c>
      <c r="AT137" s="331">
        <v>0.21379999999999999</v>
      </c>
      <c r="AU137" s="336">
        <v>7.6386000000000003</v>
      </c>
      <c r="AV137" s="329">
        <v>7.6386000000000003</v>
      </c>
      <c r="AW137" s="337">
        <v>4.4901000000000009</v>
      </c>
      <c r="AX137" s="334"/>
      <c r="AY137" s="323">
        <v>6.0152999999999999</v>
      </c>
      <c r="AZ137" s="323">
        <v>6.0152999999999999</v>
      </c>
      <c r="BA137" s="323">
        <v>3.7580999999999993</v>
      </c>
      <c r="BB137" s="319"/>
      <c r="BC137" s="321">
        <f t="shared" si="12"/>
        <v>1.2698618522766945</v>
      </c>
      <c r="BD137" s="321">
        <f t="shared" si="13"/>
        <v>1.2698618522766945</v>
      </c>
      <c r="BE137" s="321">
        <f t="shared" si="14"/>
        <v>1.1947792767621941</v>
      </c>
      <c r="BG137" s="22">
        <f t="shared" si="15"/>
        <v>-9.4368957093138306E-16</v>
      </c>
      <c r="BH137" s="22">
        <f t="shared" si="16"/>
        <v>0</v>
      </c>
      <c r="BI137" s="22">
        <f t="shared" si="17"/>
        <v>9.1593399531575415E-16</v>
      </c>
    </row>
    <row r="138" spans="2:61" x14ac:dyDescent="0.25">
      <c r="B138" s="312">
        <v>186</v>
      </c>
      <c r="C138" s="312" t="s">
        <v>836</v>
      </c>
      <c r="D138" s="312" t="s">
        <v>394</v>
      </c>
      <c r="E138" s="312">
        <v>5</v>
      </c>
      <c r="F138" s="312">
        <v>3</v>
      </c>
      <c r="G138" s="313" t="s">
        <v>141</v>
      </c>
      <c r="H138" s="313"/>
      <c r="I138" s="346">
        <v>2462.1</v>
      </c>
      <c r="J138" s="317">
        <v>2462.1</v>
      </c>
      <c r="K138" s="317">
        <v>0</v>
      </c>
      <c r="L138" s="317">
        <v>0</v>
      </c>
      <c r="M138" s="317"/>
      <c r="N138" s="319">
        <v>0.15160000000000001</v>
      </c>
      <c r="O138" s="319">
        <v>7.8299999999999995E-2</v>
      </c>
      <c r="P138" s="319">
        <v>0.3201</v>
      </c>
      <c r="Q138" s="319">
        <v>0</v>
      </c>
      <c r="R138" s="319">
        <v>4.0599999999999997E-2</v>
      </c>
      <c r="S138" s="319">
        <v>0.39560000000000001</v>
      </c>
      <c r="T138" s="319">
        <v>0</v>
      </c>
      <c r="U138" s="319">
        <v>0.62080000000000002</v>
      </c>
      <c r="V138" s="319">
        <v>0</v>
      </c>
      <c r="W138" s="319">
        <v>0</v>
      </c>
      <c r="X138" s="319">
        <v>0.43359999999999999</v>
      </c>
      <c r="Y138" s="319">
        <v>0</v>
      </c>
      <c r="Z138" s="319">
        <v>1.9492</v>
      </c>
      <c r="AA138" s="319">
        <v>0.20050000000000001</v>
      </c>
      <c r="AB138" s="319">
        <v>0.27779999999999999</v>
      </c>
      <c r="AC138" s="319">
        <v>8.5699999999999998E-2</v>
      </c>
      <c r="AD138" s="319">
        <v>0</v>
      </c>
      <c r="AE138" s="319">
        <v>7.8899999999999998E-2</v>
      </c>
      <c r="AF138" s="319">
        <v>0.13719999999999999</v>
      </c>
      <c r="AG138" s="319">
        <v>3.5099999999999999E-2</v>
      </c>
      <c r="AH138" s="319">
        <v>0</v>
      </c>
      <c r="AI138" s="319">
        <v>2.044</v>
      </c>
      <c r="AJ138" s="319">
        <v>1.0837000000000001</v>
      </c>
      <c r="AK138" s="319">
        <v>8.1600000000000006E-2</v>
      </c>
      <c r="AL138" s="319">
        <v>0.44369999999999998</v>
      </c>
      <c r="AM138" s="319">
        <v>5.5899999999999998E-2</v>
      </c>
      <c r="AN138" s="319">
        <v>9.1000000000000004E-3</v>
      </c>
      <c r="AO138" s="319">
        <v>0.52129999999999999</v>
      </c>
      <c r="AP138" s="319">
        <v>0</v>
      </c>
      <c r="AQ138" s="319">
        <v>0</v>
      </c>
      <c r="AR138" s="319">
        <v>0.45219999999999999</v>
      </c>
      <c r="AS138" s="319">
        <v>0.45219999999999999</v>
      </c>
      <c r="AT138" s="331">
        <v>0.24759999999999999</v>
      </c>
      <c r="AU138" s="336">
        <v>9.4964999999999993</v>
      </c>
      <c r="AV138" s="329">
        <v>9.4964999999999993</v>
      </c>
      <c r="AW138" s="337">
        <v>5.1991999999999994</v>
      </c>
      <c r="AX138" s="334"/>
      <c r="AY138" s="323">
        <v>7.5612000000000013</v>
      </c>
      <c r="AZ138" s="323">
        <v>7.5612000000000013</v>
      </c>
      <c r="BA138" s="323">
        <v>4.3641000000000005</v>
      </c>
      <c r="BB138" s="319"/>
      <c r="BC138" s="321">
        <f t="shared" si="12"/>
        <v>1.2559514362799553</v>
      </c>
      <c r="BD138" s="321">
        <f t="shared" si="13"/>
        <v>1.2559514362799553</v>
      </c>
      <c r="BE138" s="321">
        <f t="shared" si="14"/>
        <v>1.1913567516784671</v>
      </c>
      <c r="BG138" s="22">
        <f t="shared" si="15"/>
        <v>-1.4988010832439613E-15</v>
      </c>
      <c r="BH138" s="22">
        <f t="shared" si="16"/>
        <v>-3.8857805861880479E-16</v>
      </c>
      <c r="BI138" s="22">
        <f t="shared" si="17"/>
        <v>-1.27675647831893E-15</v>
      </c>
    </row>
    <row r="139" spans="2:61" x14ac:dyDescent="0.25">
      <c r="B139" s="312">
        <v>187</v>
      </c>
      <c r="C139" s="312" t="s">
        <v>838</v>
      </c>
      <c r="D139" s="312" t="s">
        <v>394</v>
      </c>
      <c r="E139" s="312">
        <v>5</v>
      </c>
      <c r="F139" s="312">
        <v>2</v>
      </c>
      <c r="G139" s="313" t="s">
        <v>142</v>
      </c>
      <c r="H139" s="313"/>
      <c r="I139" s="346">
        <v>1508.5</v>
      </c>
      <c r="J139" s="317">
        <v>1508.5</v>
      </c>
      <c r="K139" s="317">
        <v>0</v>
      </c>
      <c r="L139" s="317">
        <v>0</v>
      </c>
      <c r="M139" s="317"/>
      <c r="N139" s="319">
        <v>0.1681</v>
      </c>
      <c r="O139" s="319">
        <v>8.6900000000000005E-2</v>
      </c>
      <c r="P139" s="319">
        <v>0.31419999999999998</v>
      </c>
      <c r="Q139" s="319">
        <v>0</v>
      </c>
      <c r="R139" s="319">
        <v>2.8500000000000001E-2</v>
      </c>
      <c r="S139" s="319">
        <v>0.33029999999999998</v>
      </c>
      <c r="T139" s="319">
        <v>0</v>
      </c>
      <c r="U139" s="319">
        <v>0.62080000000000002</v>
      </c>
      <c r="V139" s="319">
        <v>0</v>
      </c>
      <c r="W139" s="319">
        <v>0</v>
      </c>
      <c r="X139" s="319">
        <v>0.4718</v>
      </c>
      <c r="Y139" s="319">
        <v>0</v>
      </c>
      <c r="Z139" s="319">
        <v>1.6285000000000001</v>
      </c>
      <c r="AA139" s="319">
        <v>0.22389999999999999</v>
      </c>
      <c r="AB139" s="319">
        <v>0.30809999999999998</v>
      </c>
      <c r="AC139" s="319">
        <v>8.5000000000000006E-2</v>
      </c>
      <c r="AD139" s="319">
        <v>0</v>
      </c>
      <c r="AE139" s="319">
        <v>5.5399999999999998E-2</v>
      </c>
      <c r="AF139" s="319">
        <v>0.1162</v>
      </c>
      <c r="AG139" s="319">
        <v>3.5999999999999997E-2</v>
      </c>
      <c r="AH139" s="319">
        <v>0</v>
      </c>
      <c r="AI139" s="319">
        <v>2.8871000000000002</v>
      </c>
      <c r="AJ139" s="319">
        <v>1.1234999999999999</v>
      </c>
      <c r="AK139" s="319">
        <v>9.2700000000000005E-2</v>
      </c>
      <c r="AL139" s="319">
        <v>0.75070000000000003</v>
      </c>
      <c r="AM139" s="319">
        <v>5.8200000000000002E-2</v>
      </c>
      <c r="AN139" s="319">
        <v>9.4000000000000004E-3</v>
      </c>
      <c r="AO139" s="319">
        <v>0.18179999999999999</v>
      </c>
      <c r="AP139" s="319">
        <v>0</v>
      </c>
      <c r="AQ139" s="319">
        <v>0</v>
      </c>
      <c r="AR139" s="319">
        <v>0.47889999999999999</v>
      </c>
      <c r="AS139" s="319">
        <v>0.47889999999999999</v>
      </c>
      <c r="AT139" s="331">
        <v>0.23169999999999999</v>
      </c>
      <c r="AU139" s="336">
        <v>10.055999999999999</v>
      </c>
      <c r="AV139" s="329">
        <v>10.055999999999999</v>
      </c>
      <c r="AW139" s="337">
        <v>4.8656999999999986</v>
      </c>
      <c r="AX139" s="334"/>
      <c r="AY139" s="323">
        <v>7.9184999999999999</v>
      </c>
      <c r="AZ139" s="323">
        <v>7.9184999999999999</v>
      </c>
      <c r="BA139" s="323">
        <v>4.2965999999999989</v>
      </c>
      <c r="BB139" s="319"/>
      <c r="BC139" s="321">
        <f t="shared" si="12"/>
        <v>1.2699374881606365</v>
      </c>
      <c r="BD139" s="321">
        <f t="shared" si="13"/>
        <v>1.2699374881606365</v>
      </c>
      <c r="BE139" s="321">
        <f t="shared" si="14"/>
        <v>1.1324535679374388</v>
      </c>
      <c r="BG139" s="22">
        <f t="shared" si="15"/>
        <v>2.55351295663786E-15</v>
      </c>
      <c r="BH139" s="22">
        <f t="shared" si="16"/>
        <v>0</v>
      </c>
      <c r="BI139" s="22">
        <f t="shared" si="17"/>
        <v>-9.4368957093138306E-16</v>
      </c>
    </row>
    <row r="140" spans="2:61" x14ac:dyDescent="0.25">
      <c r="B140" s="312">
        <v>194</v>
      </c>
      <c r="C140" s="312" t="s">
        <v>854</v>
      </c>
      <c r="D140" s="312" t="s">
        <v>391</v>
      </c>
      <c r="E140" s="312">
        <v>5</v>
      </c>
      <c r="F140" s="312">
        <v>2</v>
      </c>
      <c r="G140" s="313" t="s">
        <v>143</v>
      </c>
      <c r="H140" s="313"/>
      <c r="I140" s="346">
        <v>1715.8</v>
      </c>
      <c r="J140" s="317">
        <v>1715.8</v>
      </c>
      <c r="K140" s="317">
        <v>0</v>
      </c>
      <c r="L140" s="317">
        <v>0</v>
      </c>
      <c r="M140" s="317"/>
      <c r="N140" s="319">
        <v>0.1767</v>
      </c>
      <c r="O140" s="319">
        <v>0.1004</v>
      </c>
      <c r="P140" s="319">
        <v>0.30420000000000003</v>
      </c>
      <c r="Q140" s="319">
        <v>7.2900000000000006E-2</v>
      </c>
      <c r="R140" s="319">
        <v>2.3300000000000001E-2</v>
      </c>
      <c r="S140" s="319">
        <v>0.33950000000000002</v>
      </c>
      <c r="T140" s="319">
        <v>0</v>
      </c>
      <c r="U140" s="319">
        <v>0.63149999999999995</v>
      </c>
      <c r="V140" s="319">
        <v>0</v>
      </c>
      <c r="W140" s="319">
        <v>0</v>
      </c>
      <c r="X140" s="319">
        <v>0.18429999999999999</v>
      </c>
      <c r="Y140" s="319">
        <v>0</v>
      </c>
      <c r="Z140" s="319">
        <v>1.9141999999999999</v>
      </c>
      <c r="AA140" s="319">
        <v>0.23719999999999999</v>
      </c>
      <c r="AB140" s="319">
        <v>0.3599</v>
      </c>
      <c r="AC140" s="319">
        <v>7.3800000000000004E-2</v>
      </c>
      <c r="AD140" s="319">
        <v>0.1046</v>
      </c>
      <c r="AE140" s="319">
        <v>4.53E-2</v>
      </c>
      <c r="AF140" s="319">
        <v>0.11360000000000001</v>
      </c>
      <c r="AG140" s="319">
        <v>3.1899999999999998E-2</v>
      </c>
      <c r="AH140" s="319">
        <v>0</v>
      </c>
      <c r="AI140" s="319">
        <v>2.8203999999999998</v>
      </c>
      <c r="AJ140" s="319">
        <v>0.92989999999999995</v>
      </c>
      <c r="AK140" s="319">
        <v>8.7099999999999997E-2</v>
      </c>
      <c r="AL140" s="319">
        <v>0.55169999999999997</v>
      </c>
      <c r="AM140" s="319">
        <v>5.0900000000000001E-2</v>
      </c>
      <c r="AN140" s="319">
        <v>8.3000000000000001E-3</v>
      </c>
      <c r="AO140" s="319">
        <v>0.12970000000000001</v>
      </c>
      <c r="AP140" s="319">
        <v>0</v>
      </c>
      <c r="AQ140" s="319">
        <v>0</v>
      </c>
      <c r="AR140" s="319">
        <v>0.46460000000000001</v>
      </c>
      <c r="AS140" s="319">
        <v>0.46460000000000001</v>
      </c>
      <c r="AT140" s="331">
        <v>0.24299999999999999</v>
      </c>
      <c r="AU140" s="336">
        <v>9.7559000000000005</v>
      </c>
      <c r="AV140" s="329">
        <v>9.7559000000000005</v>
      </c>
      <c r="AW140" s="337">
        <v>5.1026000000000007</v>
      </c>
      <c r="AX140" s="334"/>
      <c r="AY140" s="323">
        <v>7.6822000000000008</v>
      </c>
      <c r="AZ140" s="323">
        <v>7.6822000000000008</v>
      </c>
      <c r="BA140" s="323">
        <v>4.3861000000000008</v>
      </c>
      <c r="BB140" s="319"/>
      <c r="BC140" s="321">
        <f t="shared" si="12"/>
        <v>1.2699356955038921</v>
      </c>
      <c r="BD140" s="321">
        <f t="shared" si="13"/>
        <v>1.2699356955038921</v>
      </c>
      <c r="BE140" s="321">
        <f t="shared" si="14"/>
        <v>1.1633569686053669</v>
      </c>
      <c r="BG140" s="22">
        <f t="shared" si="15"/>
        <v>-1.3322676295501878E-15</v>
      </c>
      <c r="BH140" s="22">
        <f t="shared" si="16"/>
        <v>0</v>
      </c>
      <c r="BI140" s="22">
        <f t="shared" si="17"/>
        <v>-7.4940054162198066E-16</v>
      </c>
    </row>
    <row r="141" spans="2:61" x14ac:dyDescent="0.25">
      <c r="B141" s="312">
        <v>195</v>
      </c>
      <c r="C141" s="312" t="s">
        <v>856</v>
      </c>
      <c r="D141" s="312" t="s">
        <v>391</v>
      </c>
      <c r="E141" s="312">
        <v>5</v>
      </c>
      <c r="F141" s="312">
        <v>2</v>
      </c>
      <c r="G141" s="313" t="s">
        <v>144</v>
      </c>
      <c r="H141" s="313"/>
      <c r="I141" s="346">
        <v>1715.3</v>
      </c>
      <c r="J141" s="317">
        <v>1715.3</v>
      </c>
      <c r="K141" s="317">
        <v>0</v>
      </c>
      <c r="L141" s="317">
        <v>0</v>
      </c>
      <c r="M141" s="317"/>
      <c r="N141" s="319">
        <v>0.1767</v>
      </c>
      <c r="O141" s="319">
        <v>0.1004</v>
      </c>
      <c r="P141" s="319">
        <v>0.30530000000000002</v>
      </c>
      <c r="Q141" s="319">
        <v>7.2999999999999995E-2</v>
      </c>
      <c r="R141" s="319">
        <v>2.3300000000000001E-2</v>
      </c>
      <c r="S141" s="319">
        <v>0.33960000000000001</v>
      </c>
      <c r="T141" s="319">
        <v>0</v>
      </c>
      <c r="U141" s="319">
        <v>0.63149999999999995</v>
      </c>
      <c r="V141" s="319">
        <v>0</v>
      </c>
      <c r="W141" s="319">
        <v>0</v>
      </c>
      <c r="X141" s="319">
        <v>0.18440000000000001</v>
      </c>
      <c r="Y141" s="319">
        <v>0</v>
      </c>
      <c r="Z141" s="319">
        <v>2.0032000000000001</v>
      </c>
      <c r="AA141" s="319">
        <v>0.23719999999999999</v>
      </c>
      <c r="AB141" s="319">
        <v>0.35599999999999998</v>
      </c>
      <c r="AC141" s="319">
        <v>7.4899999999999994E-2</v>
      </c>
      <c r="AD141" s="319">
        <v>0.1046</v>
      </c>
      <c r="AE141" s="319">
        <v>4.53E-2</v>
      </c>
      <c r="AF141" s="319">
        <v>0.1137</v>
      </c>
      <c r="AG141" s="319">
        <v>3.1899999999999998E-2</v>
      </c>
      <c r="AH141" s="319">
        <v>0</v>
      </c>
      <c r="AI141" s="319">
        <v>2.3643000000000001</v>
      </c>
      <c r="AJ141" s="319">
        <v>0.93010000000000004</v>
      </c>
      <c r="AK141" s="319">
        <v>8.7099999999999997E-2</v>
      </c>
      <c r="AL141" s="319">
        <v>0.76180000000000003</v>
      </c>
      <c r="AM141" s="319">
        <v>5.0999999999999997E-2</v>
      </c>
      <c r="AN141" s="319">
        <v>8.3000000000000001E-3</v>
      </c>
      <c r="AO141" s="319">
        <v>0.66379999999999995</v>
      </c>
      <c r="AP141" s="319">
        <v>0</v>
      </c>
      <c r="AQ141" s="319">
        <v>0</v>
      </c>
      <c r="AR141" s="319">
        <v>0.4834</v>
      </c>
      <c r="AS141" s="319">
        <v>0.4834</v>
      </c>
      <c r="AT141" s="331">
        <v>0.24740000000000001</v>
      </c>
      <c r="AU141" s="336">
        <v>10.150799999999998</v>
      </c>
      <c r="AV141" s="329">
        <v>10.150799999999998</v>
      </c>
      <c r="AW141" s="337">
        <v>5.1947999999999972</v>
      </c>
      <c r="AX141" s="334"/>
      <c r="AY141" s="323">
        <v>7.9932000000000007</v>
      </c>
      <c r="AZ141" s="323">
        <v>7.9932000000000007</v>
      </c>
      <c r="BA141" s="323">
        <v>4.4108000000000001</v>
      </c>
      <c r="BB141" s="319"/>
      <c r="BC141" s="321">
        <f t="shared" si="12"/>
        <v>1.2699294400240202</v>
      </c>
      <c r="BD141" s="321">
        <f t="shared" si="13"/>
        <v>1.2699294400240202</v>
      </c>
      <c r="BE141" s="321">
        <f t="shared" si="14"/>
        <v>1.1777455336900329</v>
      </c>
      <c r="BG141" s="22">
        <f t="shared" si="15"/>
        <v>-5.0515147620444623E-15</v>
      </c>
      <c r="BH141" s="22">
        <f t="shared" si="16"/>
        <v>-2.6367796834847468E-15</v>
      </c>
      <c r="BI141" s="22">
        <f t="shared" si="17"/>
        <v>-3.524958103184872E-15</v>
      </c>
    </row>
    <row r="142" spans="2:61" x14ac:dyDescent="0.25">
      <c r="B142" s="312">
        <v>196</v>
      </c>
      <c r="C142" s="312" t="s">
        <v>858</v>
      </c>
      <c r="D142" s="312" t="s">
        <v>391</v>
      </c>
      <c r="E142" s="312">
        <v>5</v>
      </c>
      <c r="F142" s="312">
        <v>2</v>
      </c>
      <c r="G142" s="313" t="s">
        <v>145</v>
      </c>
      <c r="H142" s="313"/>
      <c r="I142" s="346">
        <v>1701.1</v>
      </c>
      <c r="J142" s="317">
        <v>1701.1</v>
      </c>
      <c r="K142" s="317">
        <v>0</v>
      </c>
      <c r="L142" s="317">
        <v>0</v>
      </c>
      <c r="M142" s="317"/>
      <c r="N142" s="319">
        <v>0.1782</v>
      </c>
      <c r="O142" s="319">
        <v>0.1012</v>
      </c>
      <c r="P142" s="319">
        <v>0.30559999999999998</v>
      </c>
      <c r="Q142" s="319">
        <v>7.2400000000000006E-2</v>
      </c>
      <c r="R142" s="319">
        <v>2.35E-2</v>
      </c>
      <c r="S142" s="319">
        <v>0.34239999999999998</v>
      </c>
      <c r="T142" s="319">
        <v>0</v>
      </c>
      <c r="U142" s="319">
        <v>0.63149999999999995</v>
      </c>
      <c r="V142" s="319">
        <v>0</v>
      </c>
      <c r="W142" s="319">
        <v>0</v>
      </c>
      <c r="X142" s="319">
        <v>0.18590000000000001</v>
      </c>
      <c r="Y142" s="319">
        <v>0</v>
      </c>
      <c r="Z142" s="319">
        <v>1.9795</v>
      </c>
      <c r="AA142" s="319">
        <v>0.2392</v>
      </c>
      <c r="AB142" s="319">
        <v>0.35899999999999999</v>
      </c>
      <c r="AC142" s="319">
        <v>7.51E-2</v>
      </c>
      <c r="AD142" s="319">
        <v>0.1053</v>
      </c>
      <c r="AE142" s="319">
        <v>4.5699999999999998E-2</v>
      </c>
      <c r="AF142" s="319">
        <v>0.11459999999999999</v>
      </c>
      <c r="AG142" s="319">
        <v>3.2099999999999997E-2</v>
      </c>
      <c r="AH142" s="319">
        <v>0</v>
      </c>
      <c r="AI142" s="319">
        <v>2.7761999999999998</v>
      </c>
      <c r="AJ142" s="319">
        <v>0.93789999999999996</v>
      </c>
      <c r="AK142" s="319">
        <v>8.7800000000000003E-2</v>
      </c>
      <c r="AL142" s="319">
        <v>0.55269999999999997</v>
      </c>
      <c r="AM142" s="319">
        <v>5.1400000000000001E-2</v>
      </c>
      <c r="AN142" s="319">
        <v>8.3000000000000001E-3</v>
      </c>
      <c r="AO142" s="319">
        <v>0.46860000000000002</v>
      </c>
      <c r="AP142" s="319">
        <v>0</v>
      </c>
      <c r="AQ142" s="319">
        <v>0</v>
      </c>
      <c r="AR142" s="319">
        <v>0.48370000000000002</v>
      </c>
      <c r="AS142" s="319">
        <v>0.48370000000000002</v>
      </c>
      <c r="AT142" s="331">
        <v>0.24690000000000001</v>
      </c>
      <c r="AU142" s="336">
        <v>10.157799999999998</v>
      </c>
      <c r="AV142" s="329">
        <v>10.157799999999998</v>
      </c>
      <c r="AW142" s="337">
        <v>5.1855999999999973</v>
      </c>
      <c r="AX142" s="334"/>
      <c r="AY142" s="323">
        <v>7.9986000000000015</v>
      </c>
      <c r="AZ142" s="323">
        <v>7.9986000000000015</v>
      </c>
      <c r="BA142" s="323">
        <v>4.4053000000000004</v>
      </c>
      <c r="BB142" s="319"/>
      <c r="BC142" s="321">
        <f t="shared" si="12"/>
        <v>1.2699472407671337</v>
      </c>
      <c r="BD142" s="321">
        <f t="shared" si="13"/>
        <v>1.2699472407671337</v>
      </c>
      <c r="BE142" s="321">
        <f t="shared" si="14"/>
        <v>1.1771275509045915</v>
      </c>
      <c r="BG142" s="22">
        <f t="shared" si="15"/>
        <v>-3.3306690738754696E-15</v>
      </c>
      <c r="BH142" s="22">
        <f t="shared" si="16"/>
        <v>-1.4710455076283324E-15</v>
      </c>
      <c r="BI142" s="22">
        <f t="shared" si="17"/>
        <v>-2.3592239273284576E-15</v>
      </c>
    </row>
    <row r="143" spans="2:61" x14ac:dyDescent="0.25">
      <c r="B143" s="312">
        <v>199</v>
      </c>
      <c r="C143" s="312" t="s">
        <v>864</v>
      </c>
      <c r="D143" s="312" t="s">
        <v>391</v>
      </c>
      <c r="E143" s="312">
        <v>5</v>
      </c>
      <c r="F143" s="312">
        <v>4</v>
      </c>
      <c r="G143" s="313" t="s">
        <v>146</v>
      </c>
      <c r="H143" s="313"/>
      <c r="I143" s="346">
        <v>3423.8</v>
      </c>
      <c r="J143" s="317">
        <v>3423.8</v>
      </c>
      <c r="K143" s="317">
        <v>0</v>
      </c>
      <c r="L143" s="317">
        <v>0</v>
      </c>
      <c r="M143" s="317"/>
      <c r="N143" s="319">
        <v>0.17169999999999999</v>
      </c>
      <c r="O143" s="319">
        <v>0.1108</v>
      </c>
      <c r="P143" s="319">
        <v>0.3135</v>
      </c>
      <c r="Q143" s="319">
        <v>7.51E-2</v>
      </c>
      <c r="R143" s="319">
        <v>2.63E-2</v>
      </c>
      <c r="S143" s="319">
        <v>0.42959999999999998</v>
      </c>
      <c r="T143" s="319">
        <v>0</v>
      </c>
      <c r="U143" s="319">
        <v>0.63149999999999995</v>
      </c>
      <c r="V143" s="319">
        <v>0</v>
      </c>
      <c r="W143" s="319">
        <v>0</v>
      </c>
      <c r="X143" s="319">
        <v>0.18479999999999999</v>
      </c>
      <c r="Y143" s="319">
        <v>0</v>
      </c>
      <c r="Z143" s="319">
        <v>2.2486000000000002</v>
      </c>
      <c r="AA143" s="319">
        <v>0.2283</v>
      </c>
      <c r="AB143" s="319">
        <v>0.39279999999999998</v>
      </c>
      <c r="AC143" s="319">
        <v>0.1017</v>
      </c>
      <c r="AD143" s="319">
        <v>0.10630000000000001</v>
      </c>
      <c r="AE143" s="319">
        <v>5.11E-2</v>
      </c>
      <c r="AF143" s="319">
        <v>0.15240000000000001</v>
      </c>
      <c r="AG143" s="319">
        <v>3.2199999999999999E-2</v>
      </c>
      <c r="AH143" s="319">
        <v>0</v>
      </c>
      <c r="AI143" s="319">
        <v>1.9084000000000001</v>
      </c>
      <c r="AJ143" s="319">
        <v>0.92230000000000001</v>
      </c>
      <c r="AK143" s="319">
        <v>8.6900000000000005E-2</v>
      </c>
      <c r="AL143" s="319">
        <v>0.40089999999999998</v>
      </c>
      <c r="AM143" s="319">
        <v>5.04E-2</v>
      </c>
      <c r="AN143" s="319">
        <v>8.2000000000000007E-3</v>
      </c>
      <c r="AO143" s="319">
        <v>0.46710000000000002</v>
      </c>
      <c r="AP143" s="319">
        <v>0</v>
      </c>
      <c r="AQ143" s="319">
        <v>0</v>
      </c>
      <c r="AR143" s="319">
        <v>0.45500000000000002</v>
      </c>
      <c r="AS143" s="319">
        <v>0.45500000000000002</v>
      </c>
      <c r="AT143" s="331">
        <v>0.27010000000000001</v>
      </c>
      <c r="AU143" s="336">
        <v>9.5559000000000012</v>
      </c>
      <c r="AV143" s="329">
        <v>9.5559000000000012</v>
      </c>
      <c r="AW143" s="337">
        <v>5.6723000000000008</v>
      </c>
      <c r="AX143" s="334"/>
      <c r="AY143" s="323">
        <v>7.5247000000000002</v>
      </c>
      <c r="AZ143" s="323">
        <v>7.5247000000000002</v>
      </c>
      <c r="BA143" s="323">
        <v>4.7013000000000016</v>
      </c>
      <c r="BB143" s="319"/>
      <c r="BC143" s="321">
        <f t="shared" si="12"/>
        <v>1.2699376719337649</v>
      </c>
      <c r="BD143" s="321">
        <f t="shared" si="13"/>
        <v>1.2699376719337649</v>
      </c>
      <c r="BE143" s="321">
        <f t="shared" si="14"/>
        <v>1.2065386169782824</v>
      </c>
      <c r="BG143" s="22">
        <f t="shared" si="15"/>
        <v>5.5511151231257827E-16</v>
      </c>
      <c r="BH143" s="22">
        <f t="shared" si="16"/>
        <v>3.0531133177191805E-16</v>
      </c>
      <c r="BI143" s="22">
        <f t="shared" si="17"/>
        <v>3.0531133177191805E-16</v>
      </c>
    </row>
    <row r="144" spans="2:61" x14ac:dyDescent="0.25">
      <c r="B144" s="312">
        <v>200</v>
      </c>
      <c r="C144" s="312" t="s">
        <v>866</v>
      </c>
      <c r="D144" s="312" t="s">
        <v>391</v>
      </c>
      <c r="E144" s="312">
        <v>5</v>
      </c>
      <c r="F144" s="312">
        <v>2</v>
      </c>
      <c r="G144" s="313" t="s">
        <v>147</v>
      </c>
      <c r="H144" s="313"/>
      <c r="I144" s="346">
        <v>1716.7</v>
      </c>
      <c r="J144" s="317">
        <v>1716.7</v>
      </c>
      <c r="K144" s="317">
        <v>0</v>
      </c>
      <c r="L144" s="317">
        <v>0</v>
      </c>
      <c r="M144" s="317"/>
      <c r="N144" s="319">
        <v>0.17660000000000001</v>
      </c>
      <c r="O144" s="319">
        <v>0.1003</v>
      </c>
      <c r="P144" s="319">
        <v>0.30509999999999998</v>
      </c>
      <c r="Q144" s="319">
        <v>7.2700000000000001E-2</v>
      </c>
      <c r="R144" s="319">
        <v>2.6200000000000001E-2</v>
      </c>
      <c r="S144" s="319">
        <v>0.33929999999999999</v>
      </c>
      <c r="T144" s="319">
        <v>0</v>
      </c>
      <c r="U144" s="319">
        <v>0.63149999999999995</v>
      </c>
      <c r="V144" s="319">
        <v>0</v>
      </c>
      <c r="W144" s="319">
        <v>0</v>
      </c>
      <c r="X144" s="319">
        <v>0.1842</v>
      </c>
      <c r="Y144" s="319">
        <v>0</v>
      </c>
      <c r="Z144" s="319">
        <v>2.1825999999999999</v>
      </c>
      <c r="AA144" s="319">
        <v>0.23699999999999999</v>
      </c>
      <c r="AB144" s="319">
        <v>0.36749999999999999</v>
      </c>
      <c r="AC144" s="319">
        <v>7.4999999999999997E-2</v>
      </c>
      <c r="AD144" s="319">
        <v>0.1018</v>
      </c>
      <c r="AE144" s="319">
        <v>5.0900000000000001E-2</v>
      </c>
      <c r="AF144" s="319">
        <v>0.11360000000000001</v>
      </c>
      <c r="AG144" s="319">
        <v>3.1899999999999998E-2</v>
      </c>
      <c r="AH144" s="319">
        <v>0</v>
      </c>
      <c r="AI144" s="319">
        <v>2.3289</v>
      </c>
      <c r="AJ144" s="319">
        <v>0.90559999999999996</v>
      </c>
      <c r="AK144" s="319">
        <v>8.8599999999999998E-2</v>
      </c>
      <c r="AL144" s="319">
        <v>0.52</v>
      </c>
      <c r="AM144" s="319">
        <v>5.0700000000000002E-2</v>
      </c>
      <c r="AN144" s="319">
        <v>8.2000000000000007E-3</v>
      </c>
      <c r="AO144" s="319">
        <v>0.36180000000000001</v>
      </c>
      <c r="AP144" s="319">
        <v>0</v>
      </c>
      <c r="AQ144" s="319">
        <v>0</v>
      </c>
      <c r="AR144" s="319">
        <v>0.46300000000000002</v>
      </c>
      <c r="AS144" s="319">
        <v>0.46300000000000002</v>
      </c>
      <c r="AT144" s="331">
        <v>0.25719999999999998</v>
      </c>
      <c r="AU144" s="336">
        <v>9.7230000000000008</v>
      </c>
      <c r="AV144" s="329">
        <v>9.7230000000000008</v>
      </c>
      <c r="AW144" s="337">
        <v>5.4009000000000018</v>
      </c>
      <c r="AX144" s="334"/>
      <c r="AY144" s="323">
        <v>7.6563000000000008</v>
      </c>
      <c r="AZ144" s="323">
        <v>7.6563000000000008</v>
      </c>
      <c r="BA144" s="323">
        <v>4.5386000000000006</v>
      </c>
      <c r="BB144" s="319"/>
      <c r="BC144" s="321">
        <f t="shared" si="12"/>
        <v>1.2699345636926453</v>
      </c>
      <c r="BD144" s="321">
        <f t="shared" si="13"/>
        <v>1.2699345636926453</v>
      </c>
      <c r="BE144" s="321">
        <f t="shared" si="14"/>
        <v>1.1899925087031245</v>
      </c>
      <c r="BG144" s="22">
        <f t="shared" si="15"/>
        <v>8.3266726846886741E-16</v>
      </c>
      <c r="BH144" s="22">
        <f t="shared" si="16"/>
        <v>7.4940054162198066E-16</v>
      </c>
      <c r="BI144" s="22">
        <f t="shared" si="17"/>
        <v>1.6375789613221059E-15</v>
      </c>
    </row>
    <row r="145" spans="2:61" x14ac:dyDescent="0.25">
      <c r="B145" s="312">
        <v>201</v>
      </c>
      <c r="C145" s="312" t="s">
        <v>868</v>
      </c>
      <c r="D145" s="312" t="s">
        <v>391</v>
      </c>
      <c r="E145" s="312">
        <v>5</v>
      </c>
      <c r="F145" s="312">
        <v>2</v>
      </c>
      <c r="G145" s="313" t="s">
        <v>148</v>
      </c>
      <c r="H145" s="313"/>
      <c r="I145" s="346">
        <v>1706.1</v>
      </c>
      <c r="J145" s="317">
        <v>1706.1</v>
      </c>
      <c r="K145" s="317">
        <v>0</v>
      </c>
      <c r="L145" s="317">
        <v>0</v>
      </c>
      <c r="M145" s="317"/>
      <c r="N145" s="319">
        <v>0.1777</v>
      </c>
      <c r="O145" s="319">
        <v>0.1009</v>
      </c>
      <c r="P145" s="319">
        <v>0.30570000000000003</v>
      </c>
      <c r="Q145" s="319">
        <v>7.2900000000000006E-2</v>
      </c>
      <c r="R145" s="319">
        <v>2.64E-2</v>
      </c>
      <c r="S145" s="319">
        <v>0.34139999999999998</v>
      </c>
      <c r="T145" s="319">
        <v>0</v>
      </c>
      <c r="U145" s="319">
        <v>0.63149999999999995</v>
      </c>
      <c r="V145" s="319">
        <v>0</v>
      </c>
      <c r="W145" s="319">
        <v>0</v>
      </c>
      <c r="X145" s="319">
        <v>0.18540000000000001</v>
      </c>
      <c r="Y145" s="319">
        <v>0</v>
      </c>
      <c r="Z145" s="319">
        <v>2.4338000000000002</v>
      </c>
      <c r="AA145" s="319">
        <v>0.23849999999999999</v>
      </c>
      <c r="AB145" s="319">
        <v>0.36980000000000002</v>
      </c>
      <c r="AC145" s="319">
        <v>7.4800000000000005E-2</v>
      </c>
      <c r="AD145" s="319">
        <v>0.1042</v>
      </c>
      <c r="AE145" s="319">
        <v>5.1200000000000002E-2</v>
      </c>
      <c r="AF145" s="319">
        <v>0.1143</v>
      </c>
      <c r="AG145" s="319">
        <v>3.2000000000000001E-2</v>
      </c>
      <c r="AH145" s="319">
        <v>0</v>
      </c>
      <c r="AI145" s="319">
        <v>1.6738</v>
      </c>
      <c r="AJ145" s="319">
        <v>0.93640000000000001</v>
      </c>
      <c r="AK145" s="319">
        <v>8.9099999999999999E-2</v>
      </c>
      <c r="AL145" s="319">
        <v>0.39229999999999998</v>
      </c>
      <c r="AM145" s="319">
        <v>5.0999999999999997E-2</v>
      </c>
      <c r="AN145" s="319">
        <v>8.3000000000000001E-3</v>
      </c>
      <c r="AO145" s="319">
        <v>0.3246</v>
      </c>
      <c r="AP145" s="319">
        <v>0</v>
      </c>
      <c r="AQ145" s="319">
        <v>0</v>
      </c>
      <c r="AR145" s="319">
        <v>0.43680000000000002</v>
      </c>
      <c r="AS145" s="319">
        <v>0.43680000000000002</v>
      </c>
      <c r="AT145" s="331">
        <v>0.27039999999999997</v>
      </c>
      <c r="AU145" s="336">
        <v>9.1728000000000005</v>
      </c>
      <c r="AV145" s="329">
        <v>9.1728000000000005</v>
      </c>
      <c r="AW145" s="337">
        <v>5.6792999999999996</v>
      </c>
      <c r="AX145" s="334"/>
      <c r="AY145" s="323">
        <v>7.2230000000000008</v>
      </c>
      <c r="AZ145" s="323">
        <v>7.2230000000000008</v>
      </c>
      <c r="BA145" s="323">
        <v>4.5909000000000004</v>
      </c>
      <c r="BB145" s="319"/>
      <c r="BC145" s="321">
        <f t="shared" si="12"/>
        <v>1.2699432368821819</v>
      </c>
      <c r="BD145" s="321">
        <f t="shared" si="13"/>
        <v>1.2699432368821819</v>
      </c>
      <c r="BE145" s="321">
        <f t="shared" si="14"/>
        <v>1.2370776971835586</v>
      </c>
      <c r="BG145" s="22">
        <f t="shared" si="15"/>
        <v>1.1657341758564144E-15</v>
      </c>
      <c r="BH145" s="22">
        <f t="shared" si="16"/>
        <v>1.3600232051658168E-15</v>
      </c>
      <c r="BI145" s="22">
        <f t="shared" si="17"/>
        <v>-4.163336342344337E-16</v>
      </c>
    </row>
    <row r="146" spans="2:61" x14ac:dyDescent="0.25">
      <c r="B146" s="312">
        <v>202</v>
      </c>
      <c r="C146" s="312" t="s">
        <v>870</v>
      </c>
      <c r="D146" s="312" t="s">
        <v>391</v>
      </c>
      <c r="E146" s="312">
        <v>5</v>
      </c>
      <c r="F146" s="312">
        <v>6</v>
      </c>
      <c r="G146" s="313" t="s">
        <v>149</v>
      </c>
      <c r="H146" s="313"/>
      <c r="I146" s="346">
        <v>4700.49</v>
      </c>
      <c r="J146" s="317">
        <v>4448.0999999999995</v>
      </c>
      <c r="K146" s="317">
        <v>0</v>
      </c>
      <c r="L146" s="317">
        <v>252.39</v>
      </c>
      <c r="M146" s="317"/>
      <c r="N146" s="319">
        <v>0.16569999999999999</v>
      </c>
      <c r="O146" s="319">
        <v>8.0500000000000002E-2</v>
      </c>
      <c r="P146" s="319">
        <v>0.3332</v>
      </c>
      <c r="Q146" s="319">
        <v>7.3899999999999993E-2</v>
      </c>
      <c r="R146" s="319">
        <v>3.8300000000000001E-2</v>
      </c>
      <c r="S146" s="319">
        <v>0.55730000000000002</v>
      </c>
      <c r="T146" s="319">
        <v>0</v>
      </c>
      <c r="U146" s="319">
        <v>0.63149999999999995</v>
      </c>
      <c r="V146" s="319">
        <v>0</v>
      </c>
      <c r="W146" s="319">
        <v>0</v>
      </c>
      <c r="X146" s="319">
        <v>0.15140000000000001</v>
      </c>
      <c r="Y146" s="319">
        <v>0</v>
      </c>
      <c r="Z146" s="319">
        <v>2.4392</v>
      </c>
      <c r="AA146" s="319">
        <v>0.2079</v>
      </c>
      <c r="AB146" s="319">
        <v>0.28749999999999998</v>
      </c>
      <c r="AC146" s="319">
        <v>9.1399999999999995E-2</v>
      </c>
      <c r="AD146" s="319">
        <v>9.2399999999999996E-2</v>
      </c>
      <c r="AE146" s="319">
        <v>7.4399999999999994E-2</v>
      </c>
      <c r="AF146" s="319">
        <v>0.21</v>
      </c>
      <c r="AG146" s="319">
        <v>3.1300000000000001E-2</v>
      </c>
      <c r="AH146" s="319">
        <v>0</v>
      </c>
      <c r="AI146" s="319">
        <v>2.0419999999999998</v>
      </c>
      <c r="AJ146" s="319">
        <v>1.0310999999999999</v>
      </c>
      <c r="AK146" s="319">
        <v>8.0600000000000005E-2</v>
      </c>
      <c r="AL146" s="319">
        <v>0.61570000000000003</v>
      </c>
      <c r="AM146" s="319">
        <v>2.75E-2</v>
      </c>
      <c r="AN146" s="319">
        <v>4.4999999999999997E-3</v>
      </c>
      <c r="AO146" s="319">
        <v>0.33279999999999998</v>
      </c>
      <c r="AP146" s="319">
        <v>0</v>
      </c>
      <c r="AQ146" s="319">
        <v>0</v>
      </c>
      <c r="AR146" s="319">
        <v>0.48</v>
      </c>
      <c r="AS146" s="319">
        <v>0.48</v>
      </c>
      <c r="AT146" s="331">
        <v>0.27889999999999998</v>
      </c>
      <c r="AU146" s="336">
        <v>10.080100000000002</v>
      </c>
      <c r="AV146" s="329">
        <v>10.080100000000002</v>
      </c>
      <c r="AW146" s="337">
        <v>5.8574000000000002</v>
      </c>
      <c r="AX146" s="334"/>
      <c r="AY146" s="323">
        <v>7.9375</v>
      </c>
      <c r="AZ146" s="323">
        <v>7.9375</v>
      </c>
      <c r="BA146" s="323">
        <v>4.8339999999999996</v>
      </c>
      <c r="BB146" s="319"/>
      <c r="BC146" s="321">
        <f t="shared" si="12"/>
        <v>1.2699338582677167</v>
      </c>
      <c r="BD146" s="321">
        <f t="shared" si="13"/>
        <v>1.2699338582677167</v>
      </c>
      <c r="BE146" s="321">
        <f t="shared" si="14"/>
        <v>1.2117087298303684</v>
      </c>
      <c r="BG146" s="22">
        <f t="shared" si="15"/>
        <v>4.2188474935755949E-15</v>
      </c>
      <c r="BH146" s="22">
        <f t="shared" si="16"/>
        <v>0</v>
      </c>
      <c r="BI146" s="22">
        <f t="shared" si="17"/>
        <v>0</v>
      </c>
    </row>
    <row r="147" spans="2:61" x14ac:dyDescent="0.25">
      <c r="B147" s="312">
        <v>203</v>
      </c>
      <c r="C147" s="312" t="s">
        <v>872</v>
      </c>
      <c r="D147" s="312" t="s">
        <v>391</v>
      </c>
      <c r="E147" s="312">
        <v>5</v>
      </c>
      <c r="F147" s="312">
        <v>6</v>
      </c>
      <c r="G147" s="313" t="s">
        <v>150</v>
      </c>
      <c r="H147" s="313"/>
      <c r="I147" s="346">
        <v>4475.74</v>
      </c>
      <c r="J147" s="317">
        <v>4475.74</v>
      </c>
      <c r="K147" s="317">
        <v>0</v>
      </c>
      <c r="L147" s="317">
        <v>0</v>
      </c>
      <c r="M147" s="317"/>
      <c r="N147" s="319">
        <v>0.15540000000000001</v>
      </c>
      <c r="O147" s="319">
        <v>8.4500000000000006E-2</v>
      </c>
      <c r="P147" s="319">
        <v>0.33189999999999997</v>
      </c>
      <c r="Q147" s="319">
        <v>0</v>
      </c>
      <c r="R147" s="319">
        <v>3.1199999999999999E-2</v>
      </c>
      <c r="S147" s="319">
        <v>0.57430000000000003</v>
      </c>
      <c r="T147" s="319">
        <v>0</v>
      </c>
      <c r="U147" s="319">
        <v>0.62080000000000002</v>
      </c>
      <c r="V147" s="319">
        <v>0</v>
      </c>
      <c r="W147" s="319">
        <v>0</v>
      </c>
      <c r="X147" s="319">
        <v>0.28620000000000001</v>
      </c>
      <c r="Y147" s="319">
        <v>0</v>
      </c>
      <c r="Z147" s="319">
        <v>2.5484</v>
      </c>
      <c r="AA147" s="319">
        <v>0.2049</v>
      </c>
      <c r="AB147" s="319">
        <v>0.29980000000000001</v>
      </c>
      <c r="AC147" s="319">
        <v>9.0700000000000003E-2</v>
      </c>
      <c r="AD147" s="319">
        <v>0</v>
      </c>
      <c r="AE147" s="319">
        <v>6.08E-2</v>
      </c>
      <c r="AF147" s="319">
        <v>0.2205</v>
      </c>
      <c r="AG147" s="319">
        <v>3.2199999999999999E-2</v>
      </c>
      <c r="AH147" s="319">
        <v>0</v>
      </c>
      <c r="AI147" s="319">
        <v>2.0663999999999998</v>
      </c>
      <c r="AJ147" s="319">
        <v>1.0650999999999999</v>
      </c>
      <c r="AK147" s="319">
        <v>8.7099999999999997E-2</v>
      </c>
      <c r="AL147" s="319">
        <v>0.60770000000000002</v>
      </c>
      <c r="AM147" s="319">
        <v>5.2200000000000003E-2</v>
      </c>
      <c r="AN147" s="319">
        <v>8.5000000000000006E-3</v>
      </c>
      <c r="AO147" s="319">
        <v>0.18970000000000001</v>
      </c>
      <c r="AP147" s="319">
        <v>0</v>
      </c>
      <c r="AQ147" s="319">
        <v>0</v>
      </c>
      <c r="AR147" s="319">
        <v>0.48089999999999999</v>
      </c>
      <c r="AS147" s="319">
        <v>0.48089999999999999</v>
      </c>
      <c r="AT147" s="331">
        <v>0.28449999999999998</v>
      </c>
      <c r="AU147" s="336">
        <v>10.099199999999998</v>
      </c>
      <c r="AV147" s="329">
        <v>10.099199999999998</v>
      </c>
      <c r="AW147" s="337">
        <v>5.9738999999999987</v>
      </c>
      <c r="AX147" s="334"/>
      <c r="AY147" s="323">
        <v>7.9526000000000003</v>
      </c>
      <c r="AZ147" s="323">
        <v>7.9526000000000003</v>
      </c>
      <c r="BA147" s="323">
        <v>5.0480999999999998</v>
      </c>
      <c r="BB147" s="319"/>
      <c r="BC147" s="321">
        <f t="shared" si="12"/>
        <v>1.269924301486306</v>
      </c>
      <c r="BD147" s="321">
        <f t="shared" si="13"/>
        <v>1.269924301486306</v>
      </c>
      <c r="BE147" s="321">
        <f t="shared" si="14"/>
        <v>1.1833957330480773</v>
      </c>
      <c r="BG147" s="22">
        <f t="shared" si="15"/>
        <v>-3.3306690738754696E-15</v>
      </c>
      <c r="BH147" s="22">
        <f t="shared" si="16"/>
        <v>-1.1379786002407855E-15</v>
      </c>
      <c r="BI147" s="22">
        <f t="shared" si="17"/>
        <v>-2.0261570199409107E-15</v>
      </c>
    </row>
    <row r="148" spans="2:61" x14ac:dyDescent="0.25">
      <c r="B148" s="312">
        <v>204</v>
      </c>
      <c r="C148" s="312" t="s">
        <v>874</v>
      </c>
      <c r="D148" s="312" t="s">
        <v>391</v>
      </c>
      <c r="E148" s="312">
        <v>5</v>
      </c>
      <c r="F148" s="312">
        <v>4</v>
      </c>
      <c r="G148" s="313" t="s">
        <v>151</v>
      </c>
      <c r="H148" s="313"/>
      <c r="I148" s="346">
        <v>2757.58</v>
      </c>
      <c r="J148" s="317">
        <v>2757.58</v>
      </c>
      <c r="K148" s="317">
        <v>0</v>
      </c>
      <c r="L148" s="317">
        <v>0</v>
      </c>
      <c r="M148" s="317"/>
      <c r="N148" s="319">
        <v>0.1666</v>
      </c>
      <c r="O148" s="319">
        <v>9.2399999999999996E-2</v>
      </c>
      <c r="P148" s="319">
        <v>0.32229999999999998</v>
      </c>
      <c r="Q148" s="319">
        <v>0</v>
      </c>
      <c r="R148" s="319">
        <v>2.9000000000000001E-2</v>
      </c>
      <c r="S148" s="319">
        <v>0.49880000000000002</v>
      </c>
      <c r="T148" s="319">
        <v>0</v>
      </c>
      <c r="U148" s="319">
        <v>0.62080000000000002</v>
      </c>
      <c r="V148" s="319">
        <v>0</v>
      </c>
      <c r="W148" s="319">
        <v>0</v>
      </c>
      <c r="X148" s="319">
        <v>0.30969999999999998</v>
      </c>
      <c r="Y148" s="319">
        <v>0</v>
      </c>
      <c r="Z148" s="319">
        <v>2.59</v>
      </c>
      <c r="AA148" s="319">
        <v>0.22090000000000001</v>
      </c>
      <c r="AB148" s="319">
        <v>0.3276</v>
      </c>
      <c r="AC148" s="319">
        <v>8.7400000000000005E-2</v>
      </c>
      <c r="AD148" s="319">
        <v>0</v>
      </c>
      <c r="AE148" s="319">
        <v>5.6399999999999999E-2</v>
      </c>
      <c r="AF148" s="319">
        <v>0.17199999999999999</v>
      </c>
      <c r="AG148" s="319">
        <v>3.3599999999999998E-2</v>
      </c>
      <c r="AH148" s="319">
        <v>0</v>
      </c>
      <c r="AI148" s="319">
        <v>2.3319999999999999</v>
      </c>
      <c r="AJ148" s="319">
        <v>1.1476</v>
      </c>
      <c r="AK148" s="319">
        <v>8.8599999999999998E-2</v>
      </c>
      <c r="AL148" s="319">
        <v>0.65569999999999995</v>
      </c>
      <c r="AM148" s="319">
        <v>5.2999999999999999E-2</v>
      </c>
      <c r="AN148" s="319">
        <v>8.6E-3</v>
      </c>
      <c r="AO148" s="319">
        <v>0.33029999999999998</v>
      </c>
      <c r="AP148" s="319">
        <v>0</v>
      </c>
      <c r="AQ148" s="319">
        <v>0</v>
      </c>
      <c r="AR148" s="319">
        <v>0.50719999999999998</v>
      </c>
      <c r="AS148" s="319">
        <v>0.50719999999999998</v>
      </c>
      <c r="AT148" s="331">
        <v>0.28389999999999999</v>
      </c>
      <c r="AU148" s="336">
        <v>10.650499999999997</v>
      </c>
      <c r="AV148" s="329">
        <v>10.650499999999997</v>
      </c>
      <c r="AW148" s="337">
        <v>5.9615999999999989</v>
      </c>
      <c r="AX148" s="334"/>
      <c r="AY148" s="323">
        <v>8.3867999999999991</v>
      </c>
      <c r="AZ148" s="323">
        <v>8.3867999999999991</v>
      </c>
      <c r="BA148" s="323">
        <v>4.9936999999999996</v>
      </c>
      <c r="BB148" s="319"/>
      <c r="BC148" s="321">
        <f t="shared" si="12"/>
        <v>1.2699122430486001</v>
      </c>
      <c r="BD148" s="321">
        <f t="shared" si="13"/>
        <v>1.2699122430486001</v>
      </c>
      <c r="BE148" s="321">
        <f t="shared" si="14"/>
        <v>1.1938242185153292</v>
      </c>
      <c r="BG148" s="22">
        <f t="shared" si="15"/>
        <v>-2.3314683517128287E-15</v>
      </c>
      <c r="BH148" s="22">
        <f t="shared" si="16"/>
        <v>0</v>
      </c>
      <c r="BI148" s="22">
        <f t="shared" si="17"/>
        <v>-6.9388939039072284E-16</v>
      </c>
    </row>
    <row r="149" spans="2:61" x14ac:dyDescent="0.25">
      <c r="B149" s="312">
        <v>205</v>
      </c>
      <c r="C149" s="312" t="s">
        <v>876</v>
      </c>
      <c r="D149" s="312" t="s">
        <v>391</v>
      </c>
      <c r="E149" s="312">
        <v>5</v>
      </c>
      <c r="F149" s="312">
        <v>6</v>
      </c>
      <c r="G149" s="313" t="s">
        <v>152</v>
      </c>
      <c r="H149" s="313"/>
      <c r="I149" s="346">
        <v>4461.6000000000004</v>
      </c>
      <c r="J149" s="317">
        <v>4461.6000000000004</v>
      </c>
      <c r="K149" s="317">
        <v>0</v>
      </c>
      <c r="L149" s="317">
        <v>0</v>
      </c>
      <c r="M149" s="317"/>
      <c r="N149" s="319">
        <v>0.15590000000000001</v>
      </c>
      <c r="O149" s="319">
        <v>8.48E-2</v>
      </c>
      <c r="P149" s="319">
        <v>0.3322</v>
      </c>
      <c r="Q149" s="319">
        <v>0</v>
      </c>
      <c r="R149" s="319">
        <v>3.1300000000000001E-2</v>
      </c>
      <c r="S149" s="319">
        <v>0.57609999999999995</v>
      </c>
      <c r="T149" s="319">
        <v>0</v>
      </c>
      <c r="U149" s="319">
        <v>0.62080000000000002</v>
      </c>
      <c r="V149" s="319">
        <v>0</v>
      </c>
      <c r="W149" s="319">
        <v>0</v>
      </c>
      <c r="X149" s="319">
        <v>0.28710000000000002</v>
      </c>
      <c r="Y149" s="319">
        <v>0</v>
      </c>
      <c r="Z149" s="319">
        <v>1.9842</v>
      </c>
      <c r="AA149" s="319">
        <v>0.20549999999999999</v>
      </c>
      <c r="AB149" s="319">
        <v>0.30080000000000001</v>
      </c>
      <c r="AC149" s="319">
        <v>9.06E-2</v>
      </c>
      <c r="AD149" s="319">
        <v>0</v>
      </c>
      <c r="AE149" s="319">
        <v>6.0999999999999999E-2</v>
      </c>
      <c r="AF149" s="319">
        <v>0.22120000000000001</v>
      </c>
      <c r="AG149" s="319">
        <v>3.2199999999999999E-2</v>
      </c>
      <c r="AH149" s="319">
        <v>0</v>
      </c>
      <c r="AI149" s="319">
        <v>3.2688000000000001</v>
      </c>
      <c r="AJ149" s="319">
        <v>1.0503</v>
      </c>
      <c r="AK149" s="319">
        <v>8.8200000000000001E-2</v>
      </c>
      <c r="AL149" s="319">
        <v>0.47199999999999998</v>
      </c>
      <c r="AM149" s="319">
        <v>5.1299999999999998E-2</v>
      </c>
      <c r="AN149" s="319">
        <v>8.3000000000000001E-3</v>
      </c>
      <c r="AO149" s="319">
        <v>0.16239999999999999</v>
      </c>
      <c r="AP149" s="319">
        <v>0</v>
      </c>
      <c r="AQ149" s="319">
        <v>0</v>
      </c>
      <c r="AR149" s="319">
        <v>0.50429999999999997</v>
      </c>
      <c r="AS149" s="319">
        <v>0.50429999999999997</v>
      </c>
      <c r="AT149" s="331">
        <v>0.25659999999999999</v>
      </c>
      <c r="AU149" s="336">
        <v>10.5893</v>
      </c>
      <c r="AV149" s="329">
        <v>10.5893</v>
      </c>
      <c r="AW149" s="337">
        <v>5.3880999999999988</v>
      </c>
      <c r="AX149" s="334"/>
      <c r="AY149" s="323">
        <v>8.3384</v>
      </c>
      <c r="AZ149" s="323">
        <v>8.3384</v>
      </c>
      <c r="BA149" s="323">
        <v>4.8563000000000001</v>
      </c>
      <c r="BB149" s="319"/>
      <c r="BC149" s="321">
        <f t="shared" si="12"/>
        <v>1.2699438741245321</v>
      </c>
      <c r="BD149" s="321">
        <f t="shared" si="13"/>
        <v>1.2699438741245321</v>
      </c>
      <c r="BE149" s="321">
        <f t="shared" si="14"/>
        <v>1.1095072380207152</v>
      </c>
      <c r="BG149" s="22">
        <f t="shared" si="15"/>
        <v>0</v>
      </c>
      <c r="BH149" s="22">
        <f t="shared" si="16"/>
        <v>0</v>
      </c>
      <c r="BI149" s="22">
        <f t="shared" si="17"/>
        <v>0</v>
      </c>
    </row>
    <row r="150" spans="2:61" x14ac:dyDescent="0.25">
      <c r="B150" s="312">
        <v>208</v>
      </c>
      <c r="C150" s="312" t="s">
        <v>882</v>
      </c>
      <c r="D150" s="312" t="s">
        <v>391</v>
      </c>
      <c r="E150" s="312">
        <v>5</v>
      </c>
      <c r="F150" s="312">
        <v>4</v>
      </c>
      <c r="G150" s="313" t="s">
        <v>153</v>
      </c>
      <c r="H150" s="313"/>
      <c r="I150" s="346">
        <v>2762.19</v>
      </c>
      <c r="J150" s="317">
        <v>2762.19</v>
      </c>
      <c r="K150" s="317">
        <v>0</v>
      </c>
      <c r="L150" s="317">
        <v>0</v>
      </c>
      <c r="M150" s="317"/>
      <c r="N150" s="319">
        <v>0.1663</v>
      </c>
      <c r="O150" s="319">
        <v>9.2200000000000004E-2</v>
      </c>
      <c r="P150" s="319">
        <v>0.32429999999999998</v>
      </c>
      <c r="Q150" s="319">
        <v>7.4399999999999994E-2</v>
      </c>
      <c r="R150" s="319">
        <v>2.8899999999999999E-2</v>
      </c>
      <c r="S150" s="319">
        <v>0.498</v>
      </c>
      <c r="T150" s="319">
        <v>0</v>
      </c>
      <c r="U150" s="319">
        <v>0.63149999999999995</v>
      </c>
      <c r="V150" s="319">
        <v>0</v>
      </c>
      <c r="W150" s="319">
        <v>0</v>
      </c>
      <c r="X150" s="319">
        <v>0.17180000000000001</v>
      </c>
      <c r="Y150" s="319">
        <v>0</v>
      </c>
      <c r="Z150" s="319">
        <v>1.7285999999999999</v>
      </c>
      <c r="AA150" s="319">
        <v>0.2205</v>
      </c>
      <c r="AB150" s="319">
        <v>0.32700000000000001</v>
      </c>
      <c r="AC150" s="319">
        <v>8.7999999999999995E-2</v>
      </c>
      <c r="AD150" s="319">
        <v>0.1041</v>
      </c>
      <c r="AE150" s="319">
        <v>5.6300000000000003E-2</v>
      </c>
      <c r="AF150" s="319">
        <v>0.17169999999999999</v>
      </c>
      <c r="AG150" s="319">
        <v>3.3500000000000002E-2</v>
      </c>
      <c r="AH150" s="319">
        <v>0</v>
      </c>
      <c r="AI150" s="319">
        <v>3.1970999999999998</v>
      </c>
      <c r="AJ150" s="319">
        <v>1.1102000000000001</v>
      </c>
      <c r="AK150" s="319">
        <v>9.1700000000000004E-2</v>
      </c>
      <c r="AL150" s="319">
        <v>0.45810000000000001</v>
      </c>
      <c r="AM150" s="319">
        <v>6.1199999999999997E-2</v>
      </c>
      <c r="AN150" s="319">
        <v>9.9000000000000008E-3</v>
      </c>
      <c r="AO150" s="319">
        <v>0.2848</v>
      </c>
      <c r="AP150" s="319">
        <v>0</v>
      </c>
      <c r="AQ150" s="319">
        <v>0</v>
      </c>
      <c r="AR150" s="319">
        <v>0.4965</v>
      </c>
      <c r="AS150" s="319">
        <v>0.4965</v>
      </c>
      <c r="AT150" s="331">
        <v>0.24399999999999999</v>
      </c>
      <c r="AU150" s="336">
        <v>10.426599999999999</v>
      </c>
      <c r="AV150" s="329">
        <v>10.426599999999999</v>
      </c>
      <c r="AW150" s="337">
        <v>5.1238999999999981</v>
      </c>
      <c r="AX150" s="334"/>
      <c r="AY150" s="323">
        <v>8.2104999999999997</v>
      </c>
      <c r="AZ150" s="323">
        <v>8.2104999999999997</v>
      </c>
      <c r="BA150" s="323">
        <v>4.4324000000000003</v>
      </c>
      <c r="BB150" s="319"/>
      <c r="BC150" s="321">
        <f t="shared" si="12"/>
        <v>1.2699104804823091</v>
      </c>
      <c r="BD150" s="321">
        <f t="shared" si="13"/>
        <v>1.2699104804823091</v>
      </c>
      <c r="BE150" s="321">
        <f t="shared" si="14"/>
        <v>1.1560102878801548</v>
      </c>
      <c r="BG150" s="22">
        <f t="shared" si="15"/>
        <v>0</v>
      </c>
      <c r="BH150" s="22">
        <f t="shared" si="16"/>
        <v>0</v>
      </c>
      <c r="BI150" s="22">
        <f t="shared" si="17"/>
        <v>-2.7755575615628914E-15</v>
      </c>
    </row>
    <row r="151" spans="2:61" x14ac:dyDescent="0.25">
      <c r="B151" s="312">
        <v>209</v>
      </c>
      <c r="C151" s="312" t="s">
        <v>884</v>
      </c>
      <c r="D151" s="312" t="s">
        <v>391</v>
      </c>
      <c r="E151" s="312">
        <v>5</v>
      </c>
      <c r="F151" s="312">
        <v>4</v>
      </c>
      <c r="G151" s="313" t="s">
        <v>154</v>
      </c>
      <c r="H151" s="313"/>
      <c r="I151" s="346">
        <v>2749.02</v>
      </c>
      <c r="J151" s="317">
        <v>2749.02</v>
      </c>
      <c r="K151" s="317">
        <v>0</v>
      </c>
      <c r="L151" s="317">
        <v>0</v>
      </c>
      <c r="M151" s="317"/>
      <c r="N151" s="319">
        <v>0.16689999999999999</v>
      </c>
      <c r="O151" s="319">
        <v>9.2700000000000005E-2</v>
      </c>
      <c r="P151" s="319">
        <v>0.3246</v>
      </c>
      <c r="Q151" s="319">
        <v>7.4200000000000002E-2</v>
      </c>
      <c r="R151" s="319">
        <v>2.9100000000000001E-2</v>
      </c>
      <c r="S151" s="319">
        <v>0.50039999999999996</v>
      </c>
      <c r="T151" s="319">
        <v>0</v>
      </c>
      <c r="U151" s="319">
        <v>0.63149999999999995</v>
      </c>
      <c r="V151" s="319">
        <v>0</v>
      </c>
      <c r="W151" s="319">
        <v>0</v>
      </c>
      <c r="X151" s="319">
        <v>0.16969999999999999</v>
      </c>
      <c r="Y151" s="319">
        <v>0</v>
      </c>
      <c r="Z151" s="319">
        <v>2.0424000000000002</v>
      </c>
      <c r="AA151" s="319">
        <v>0.22109999999999999</v>
      </c>
      <c r="AB151" s="319">
        <v>0.3286</v>
      </c>
      <c r="AC151" s="319">
        <v>8.7800000000000003E-2</v>
      </c>
      <c r="AD151" s="319">
        <v>0.1023</v>
      </c>
      <c r="AE151" s="319">
        <v>5.6500000000000002E-2</v>
      </c>
      <c r="AF151" s="319">
        <v>0.17249999999999999</v>
      </c>
      <c r="AG151" s="319">
        <v>3.3599999999999998E-2</v>
      </c>
      <c r="AH151" s="319">
        <v>0</v>
      </c>
      <c r="AI151" s="319">
        <v>3.1661999999999999</v>
      </c>
      <c r="AJ151" s="319">
        <v>1.1232</v>
      </c>
      <c r="AK151" s="319">
        <v>8.2199999999999995E-2</v>
      </c>
      <c r="AL151" s="319">
        <v>0.44779999999999998</v>
      </c>
      <c r="AM151" s="319">
        <v>6.1199999999999997E-2</v>
      </c>
      <c r="AN151" s="319">
        <v>9.9000000000000008E-3</v>
      </c>
      <c r="AO151" s="319">
        <v>0.1318</v>
      </c>
      <c r="AP151" s="319">
        <v>0</v>
      </c>
      <c r="AQ151" s="319">
        <v>0</v>
      </c>
      <c r="AR151" s="319">
        <v>0.50280000000000002</v>
      </c>
      <c r="AS151" s="319">
        <v>0.50280000000000002</v>
      </c>
      <c r="AT151" s="331">
        <v>0.25940000000000002</v>
      </c>
      <c r="AU151" s="336">
        <v>10.559000000000001</v>
      </c>
      <c r="AV151" s="329">
        <v>10.559000000000001</v>
      </c>
      <c r="AW151" s="337">
        <v>5.446600000000001</v>
      </c>
      <c r="AX151" s="334"/>
      <c r="AY151" s="323">
        <v>8.3148</v>
      </c>
      <c r="AZ151" s="323">
        <v>8.3148</v>
      </c>
      <c r="BA151" s="323">
        <v>4.6241000000000003</v>
      </c>
      <c r="BB151" s="319"/>
      <c r="BC151" s="321">
        <f t="shared" si="12"/>
        <v>1.2699042670900083</v>
      </c>
      <c r="BD151" s="321">
        <f t="shared" si="13"/>
        <v>1.2699042670900083</v>
      </c>
      <c r="BE151" s="321">
        <f t="shared" si="14"/>
        <v>1.1778724508553018</v>
      </c>
      <c r="BG151" s="22">
        <f t="shared" si="15"/>
        <v>2.7755575615628914E-15</v>
      </c>
      <c r="BH151" s="22">
        <f t="shared" si="16"/>
        <v>0</v>
      </c>
      <c r="BI151" s="22">
        <f t="shared" si="17"/>
        <v>1.0547118733938987E-15</v>
      </c>
    </row>
    <row r="152" spans="2:61" x14ac:dyDescent="0.25">
      <c r="B152" s="312">
        <v>210</v>
      </c>
      <c r="C152" s="312" t="s">
        <v>886</v>
      </c>
      <c r="D152" s="312" t="s">
        <v>391</v>
      </c>
      <c r="E152" s="312">
        <v>5</v>
      </c>
      <c r="F152" s="312">
        <v>8</v>
      </c>
      <c r="G152" s="313" t="s">
        <v>155</v>
      </c>
      <c r="H152" s="313"/>
      <c r="I152" s="346">
        <v>5834.66</v>
      </c>
      <c r="J152" s="317">
        <v>5834.66</v>
      </c>
      <c r="K152" s="317">
        <v>0</v>
      </c>
      <c r="L152" s="317">
        <v>0</v>
      </c>
      <c r="M152" s="317"/>
      <c r="N152" s="319">
        <v>0.1537</v>
      </c>
      <c r="O152" s="319">
        <v>9.3299999999999994E-2</v>
      </c>
      <c r="P152" s="319">
        <v>0.33289999999999997</v>
      </c>
      <c r="Q152" s="319">
        <v>7.2300000000000003E-2</v>
      </c>
      <c r="R152" s="319">
        <v>4.4499999999999998E-2</v>
      </c>
      <c r="S152" s="319">
        <v>0.71540000000000004</v>
      </c>
      <c r="T152" s="319">
        <v>0</v>
      </c>
      <c r="U152" s="319">
        <v>0.63149999999999995</v>
      </c>
      <c r="V152" s="319">
        <v>0</v>
      </c>
      <c r="W152" s="319">
        <v>0</v>
      </c>
      <c r="X152" s="319">
        <v>0.1613</v>
      </c>
      <c r="Y152" s="319">
        <v>0</v>
      </c>
      <c r="Z152" s="319">
        <v>2.0259</v>
      </c>
      <c r="AA152" s="319">
        <v>0.2026</v>
      </c>
      <c r="AB152" s="319">
        <v>0.30509999999999998</v>
      </c>
      <c r="AC152" s="319">
        <v>9.1499999999999998E-2</v>
      </c>
      <c r="AD152" s="319">
        <v>9.8100000000000007E-2</v>
      </c>
      <c r="AE152" s="319">
        <v>8.6599999999999996E-2</v>
      </c>
      <c r="AF152" s="319">
        <v>0.27500000000000002</v>
      </c>
      <c r="AG152" s="319">
        <v>3.27E-2</v>
      </c>
      <c r="AH152" s="319">
        <v>0</v>
      </c>
      <c r="AI152" s="319">
        <v>2.4125000000000001</v>
      </c>
      <c r="AJ152" s="319">
        <v>1.0525</v>
      </c>
      <c r="AK152" s="319">
        <v>8.6300000000000002E-2</v>
      </c>
      <c r="AL152" s="319">
        <v>0.43049999999999999</v>
      </c>
      <c r="AM152" s="319">
        <v>5.7799999999999997E-2</v>
      </c>
      <c r="AN152" s="319">
        <v>9.4000000000000004E-3</v>
      </c>
      <c r="AO152" s="319">
        <v>0.20230000000000001</v>
      </c>
      <c r="AP152" s="319">
        <v>0</v>
      </c>
      <c r="AQ152" s="319">
        <v>0</v>
      </c>
      <c r="AR152" s="319">
        <v>0.47870000000000001</v>
      </c>
      <c r="AS152" s="319">
        <v>0.47870000000000001</v>
      </c>
      <c r="AT152" s="331">
        <v>0.27379999999999999</v>
      </c>
      <c r="AU152" s="336">
        <v>10.0524</v>
      </c>
      <c r="AV152" s="329">
        <v>10.0524</v>
      </c>
      <c r="AW152" s="337">
        <v>5.7497000000000007</v>
      </c>
      <c r="AX152" s="334"/>
      <c r="AY152" s="323">
        <v>7.9155999999999995</v>
      </c>
      <c r="AZ152" s="323">
        <v>7.9155999999999995</v>
      </c>
      <c r="BA152" s="323">
        <v>5.0331000000000001</v>
      </c>
      <c r="BB152" s="319"/>
      <c r="BC152" s="321">
        <f t="shared" si="12"/>
        <v>1.2699479508818032</v>
      </c>
      <c r="BD152" s="321">
        <f t="shared" si="13"/>
        <v>1.2699479508818032</v>
      </c>
      <c r="BE152" s="321">
        <f t="shared" si="14"/>
        <v>1.1423774612068109</v>
      </c>
      <c r="BG152" s="22">
        <f t="shared" si="15"/>
        <v>0</v>
      </c>
      <c r="BH152" s="22">
        <f t="shared" si="16"/>
        <v>1.4432899320127035E-15</v>
      </c>
      <c r="BI152" s="22">
        <f t="shared" si="17"/>
        <v>5.5511151231257827E-16</v>
      </c>
    </row>
    <row r="153" spans="2:61" x14ac:dyDescent="0.25">
      <c r="B153" s="312">
        <v>211</v>
      </c>
      <c r="C153" s="312" t="s">
        <v>888</v>
      </c>
      <c r="D153" s="312" t="s">
        <v>391</v>
      </c>
      <c r="E153" s="312">
        <v>5</v>
      </c>
      <c r="F153" s="312">
        <v>4</v>
      </c>
      <c r="G153" s="313" t="s">
        <v>156</v>
      </c>
      <c r="H153" s="313"/>
      <c r="I153" s="346">
        <v>2790.82</v>
      </c>
      <c r="J153" s="317">
        <v>2790.82</v>
      </c>
      <c r="K153" s="317">
        <v>0</v>
      </c>
      <c r="L153" s="317">
        <v>0</v>
      </c>
      <c r="M153" s="317"/>
      <c r="N153" s="319">
        <v>0.16470000000000001</v>
      </c>
      <c r="O153" s="319">
        <v>9.1300000000000006E-2</v>
      </c>
      <c r="P153" s="319">
        <v>0.32529999999999998</v>
      </c>
      <c r="Q153" s="319">
        <v>7.1400000000000005E-2</v>
      </c>
      <c r="R153" s="319">
        <v>3.2199999999999999E-2</v>
      </c>
      <c r="S153" s="319">
        <v>0.4929</v>
      </c>
      <c r="T153" s="319">
        <v>0</v>
      </c>
      <c r="U153" s="319">
        <v>0.63149999999999995</v>
      </c>
      <c r="V153" s="319">
        <v>0</v>
      </c>
      <c r="W153" s="319">
        <v>0</v>
      </c>
      <c r="X153" s="319">
        <v>0.17</v>
      </c>
      <c r="Y153" s="319">
        <v>0</v>
      </c>
      <c r="Z153" s="319">
        <v>2.5939000000000001</v>
      </c>
      <c r="AA153" s="319">
        <v>0.22090000000000001</v>
      </c>
      <c r="AB153" s="319">
        <v>0.33279999999999998</v>
      </c>
      <c r="AC153" s="319">
        <v>8.8499999999999995E-2</v>
      </c>
      <c r="AD153" s="319">
        <v>0.1212</v>
      </c>
      <c r="AE153" s="319">
        <v>6.2700000000000006E-2</v>
      </c>
      <c r="AF153" s="319">
        <v>0.1699</v>
      </c>
      <c r="AG153" s="319">
        <v>3.3300000000000003E-2</v>
      </c>
      <c r="AH153" s="319">
        <v>0</v>
      </c>
      <c r="AI153" s="319">
        <v>1.4924999999999999</v>
      </c>
      <c r="AJ153" s="319">
        <v>1.1157999999999999</v>
      </c>
      <c r="AK153" s="319">
        <v>8.6499999999999994E-2</v>
      </c>
      <c r="AL153" s="319">
        <v>0.53049999999999997</v>
      </c>
      <c r="AM153" s="319">
        <v>5.7500000000000002E-2</v>
      </c>
      <c r="AN153" s="319">
        <v>9.2999999999999992E-3</v>
      </c>
      <c r="AO153" s="319">
        <v>0.24110000000000001</v>
      </c>
      <c r="AP153" s="319">
        <v>0</v>
      </c>
      <c r="AQ153" s="319">
        <v>0</v>
      </c>
      <c r="AR153" s="319">
        <v>0.45679999999999998</v>
      </c>
      <c r="AS153" s="319">
        <v>0.45679999999999998</v>
      </c>
      <c r="AT153" s="331">
        <v>0.2878</v>
      </c>
      <c r="AU153" s="336">
        <v>9.5924999999999958</v>
      </c>
      <c r="AV153" s="329">
        <v>9.5924999999999958</v>
      </c>
      <c r="AW153" s="337">
        <v>6.043599999999997</v>
      </c>
      <c r="AX153" s="334"/>
      <c r="AY153" s="323">
        <v>7.5535999999999994</v>
      </c>
      <c r="AZ153" s="323">
        <v>7.5535999999999994</v>
      </c>
      <c r="BA153" s="323">
        <v>4.9210000000000003</v>
      </c>
      <c r="BB153" s="319"/>
      <c r="BC153" s="321">
        <f t="shared" si="12"/>
        <v>1.2699242745181101</v>
      </c>
      <c r="BD153" s="321">
        <f t="shared" si="13"/>
        <v>1.2699242745181101</v>
      </c>
      <c r="BE153" s="321">
        <f t="shared" si="14"/>
        <v>1.2281243649664695</v>
      </c>
      <c r="BG153" s="22">
        <f t="shared" si="15"/>
        <v>-6.4392935428259079E-15</v>
      </c>
      <c r="BH153" s="22">
        <f t="shared" si="16"/>
        <v>-9.4368957093138306E-16</v>
      </c>
      <c r="BI153" s="22">
        <f t="shared" si="17"/>
        <v>-2.7200464103316335E-15</v>
      </c>
    </row>
    <row r="154" spans="2:61" x14ac:dyDescent="0.25">
      <c r="B154" s="312">
        <v>212</v>
      </c>
      <c r="C154" s="312" t="s">
        <v>890</v>
      </c>
      <c r="D154" s="312" t="s">
        <v>391</v>
      </c>
      <c r="E154" s="312">
        <v>5</v>
      </c>
      <c r="F154" s="312">
        <v>2</v>
      </c>
      <c r="G154" s="313" t="s">
        <v>157</v>
      </c>
      <c r="H154" s="313"/>
      <c r="I154" s="346">
        <v>4322.1400000000003</v>
      </c>
      <c r="J154" s="317">
        <v>4322.1400000000003</v>
      </c>
      <c r="K154" s="317">
        <v>0</v>
      </c>
      <c r="L154" s="317">
        <v>0</v>
      </c>
      <c r="M154" s="317"/>
      <c r="N154" s="319">
        <v>0.1593</v>
      </c>
      <c r="O154" s="319">
        <v>8.9700000000000002E-2</v>
      </c>
      <c r="P154" s="319">
        <v>0.32490000000000002</v>
      </c>
      <c r="Q154" s="319">
        <v>7.5600000000000001E-2</v>
      </c>
      <c r="R154" s="319">
        <v>0</v>
      </c>
      <c r="S154" s="319">
        <v>0.28710000000000002</v>
      </c>
      <c r="T154" s="319">
        <v>0</v>
      </c>
      <c r="U154" s="319">
        <v>0.63149999999999995</v>
      </c>
      <c r="V154" s="319">
        <v>0</v>
      </c>
      <c r="W154" s="319">
        <v>0</v>
      </c>
      <c r="X154" s="319">
        <v>0.28720000000000001</v>
      </c>
      <c r="Y154" s="319">
        <v>0</v>
      </c>
      <c r="Z154" s="319">
        <v>0.94669999999999999</v>
      </c>
      <c r="AA154" s="319">
        <v>0.22259999999999999</v>
      </c>
      <c r="AB154" s="319">
        <v>0.30890000000000001</v>
      </c>
      <c r="AC154" s="319">
        <v>8.5199999999999998E-2</v>
      </c>
      <c r="AD154" s="319">
        <v>0.1105</v>
      </c>
      <c r="AE154" s="319">
        <v>0</v>
      </c>
      <c r="AF154" s="319">
        <v>0.1145</v>
      </c>
      <c r="AG154" s="319">
        <v>3.44E-2</v>
      </c>
      <c r="AH154" s="319">
        <v>0</v>
      </c>
      <c r="AI154" s="319">
        <v>3.6955</v>
      </c>
      <c r="AJ154" s="319">
        <v>1.9261999999999999</v>
      </c>
      <c r="AK154" s="319">
        <v>0.1042</v>
      </c>
      <c r="AL154" s="319">
        <v>0.43690000000000001</v>
      </c>
      <c r="AM154" s="319">
        <v>5.79E-2</v>
      </c>
      <c r="AN154" s="319">
        <v>9.4000000000000004E-3</v>
      </c>
      <c r="AO154" s="319">
        <v>0.4</v>
      </c>
      <c r="AP154" s="319">
        <v>0</v>
      </c>
      <c r="AQ154" s="319">
        <v>0</v>
      </c>
      <c r="AR154" s="319">
        <v>0.51539999999999997</v>
      </c>
      <c r="AS154" s="319">
        <v>0.51539999999999997</v>
      </c>
      <c r="AT154" s="331">
        <v>0.1925</v>
      </c>
      <c r="AU154" s="336">
        <v>10.823599999999999</v>
      </c>
      <c r="AV154" s="329">
        <v>10.823599999999999</v>
      </c>
      <c r="AW154" s="337">
        <v>4.0420999999999996</v>
      </c>
      <c r="AX154" s="334"/>
      <c r="AY154" s="323">
        <v>8.5230000000000015</v>
      </c>
      <c r="AZ154" s="323">
        <v>8.5230000000000015</v>
      </c>
      <c r="BA154" s="323">
        <v>3.9402000000000008</v>
      </c>
      <c r="BB154" s="319"/>
      <c r="BC154" s="321">
        <f t="shared" si="12"/>
        <v>1.2699284289569397</v>
      </c>
      <c r="BD154" s="321">
        <f t="shared" si="13"/>
        <v>1.2699284289569397</v>
      </c>
      <c r="BE154" s="321">
        <f t="shared" si="14"/>
        <v>1.0258616313892692</v>
      </c>
      <c r="BG154" s="22">
        <f t="shared" si="15"/>
        <v>-2.4424906541753444E-15</v>
      </c>
      <c r="BH154" s="22">
        <f t="shared" si="16"/>
        <v>0</v>
      </c>
      <c r="BI154" s="22">
        <f t="shared" si="17"/>
        <v>0</v>
      </c>
    </row>
    <row r="155" spans="2:61" x14ac:dyDescent="0.25">
      <c r="B155" s="312">
        <v>214</v>
      </c>
      <c r="C155" s="312" t="s">
        <v>894</v>
      </c>
      <c r="D155" s="312" t="s">
        <v>391</v>
      </c>
      <c r="E155" s="312">
        <v>5</v>
      </c>
      <c r="F155" s="312">
        <v>4</v>
      </c>
      <c r="G155" s="313" t="s">
        <v>158</v>
      </c>
      <c r="H155" s="313"/>
      <c r="I155" s="346">
        <v>2757.82</v>
      </c>
      <c r="J155" s="317">
        <v>2663.32</v>
      </c>
      <c r="K155" s="317">
        <v>0</v>
      </c>
      <c r="L155" s="317">
        <v>94.5</v>
      </c>
      <c r="M155" s="317"/>
      <c r="N155" s="319">
        <v>0.1641</v>
      </c>
      <c r="O155" s="319">
        <v>9.2399999999999996E-2</v>
      </c>
      <c r="P155" s="319">
        <v>0.32400000000000001</v>
      </c>
      <c r="Q155" s="319">
        <v>7.3899999999999993E-2</v>
      </c>
      <c r="R155" s="319">
        <v>3.2599999999999997E-2</v>
      </c>
      <c r="S155" s="319">
        <v>0.49880000000000002</v>
      </c>
      <c r="T155" s="319">
        <v>0</v>
      </c>
      <c r="U155" s="319">
        <v>0.63149999999999995</v>
      </c>
      <c r="V155" s="319">
        <v>0</v>
      </c>
      <c r="W155" s="319">
        <v>0</v>
      </c>
      <c r="X155" s="319">
        <v>0.16919999999999999</v>
      </c>
      <c r="Y155" s="319">
        <v>0</v>
      </c>
      <c r="Z155" s="319">
        <v>2.2696999999999998</v>
      </c>
      <c r="AA155" s="319">
        <v>0.21940000000000001</v>
      </c>
      <c r="AB155" s="319">
        <v>0.3276</v>
      </c>
      <c r="AC155" s="319">
        <v>8.7800000000000003E-2</v>
      </c>
      <c r="AD155" s="319">
        <v>0.10199999999999999</v>
      </c>
      <c r="AE155" s="319">
        <v>6.3399999999999998E-2</v>
      </c>
      <c r="AF155" s="319">
        <v>0.1719</v>
      </c>
      <c r="AG155" s="319">
        <v>3.2199999999999999E-2</v>
      </c>
      <c r="AH155" s="319">
        <v>0</v>
      </c>
      <c r="AI155" s="319">
        <v>2.2970000000000002</v>
      </c>
      <c r="AJ155" s="319">
        <v>1.2364999999999999</v>
      </c>
      <c r="AK155" s="319">
        <v>9.2299999999999993E-2</v>
      </c>
      <c r="AL155" s="319">
        <v>0.44219999999999998</v>
      </c>
      <c r="AM155" s="319">
        <v>5.8299999999999998E-2</v>
      </c>
      <c r="AN155" s="319">
        <v>9.4999999999999998E-3</v>
      </c>
      <c r="AO155" s="319">
        <v>0.38279999999999997</v>
      </c>
      <c r="AP155" s="319">
        <v>0</v>
      </c>
      <c r="AQ155" s="319">
        <v>0</v>
      </c>
      <c r="AR155" s="319">
        <v>0.48899999999999999</v>
      </c>
      <c r="AS155" s="319">
        <v>0.48899999999999999</v>
      </c>
      <c r="AT155" s="331">
        <v>0.27100000000000002</v>
      </c>
      <c r="AU155" s="336">
        <v>10.268099999999997</v>
      </c>
      <c r="AV155" s="329">
        <v>10.268099999999997</v>
      </c>
      <c r="AW155" s="337">
        <v>5.6915999999999967</v>
      </c>
      <c r="AX155" s="334"/>
      <c r="AY155" s="323">
        <v>8.0854999999999997</v>
      </c>
      <c r="AZ155" s="323">
        <v>8.0854999999999997</v>
      </c>
      <c r="BA155" s="323">
        <v>4.7710999999999988</v>
      </c>
      <c r="BB155" s="319"/>
      <c r="BC155" s="321">
        <f t="shared" si="12"/>
        <v>1.2699400160781642</v>
      </c>
      <c r="BD155" s="321">
        <f t="shared" si="13"/>
        <v>1.2699400160781642</v>
      </c>
      <c r="BE155" s="321">
        <f t="shared" si="14"/>
        <v>1.1929324474439853</v>
      </c>
      <c r="BG155" s="22">
        <f t="shared" si="15"/>
        <v>-2.6090241078691179E-15</v>
      </c>
      <c r="BH155" s="22">
        <f t="shared" si="16"/>
        <v>-8.6042284408449632E-16</v>
      </c>
      <c r="BI155" s="22">
        <f t="shared" si="17"/>
        <v>-2.6367796834847468E-15</v>
      </c>
    </row>
    <row r="156" spans="2:61" x14ac:dyDescent="0.25">
      <c r="B156" s="312">
        <v>215</v>
      </c>
      <c r="C156" s="312" t="s">
        <v>896</v>
      </c>
      <c r="D156" s="312" t="s">
        <v>391</v>
      </c>
      <c r="E156" s="312">
        <v>5</v>
      </c>
      <c r="F156" s="312">
        <v>2</v>
      </c>
      <c r="G156" s="313" t="s">
        <v>159</v>
      </c>
      <c r="H156" s="313"/>
      <c r="I156" s="346">
        <v>2615.1</v>
      </c>
      <c r="J156" s="317">
        <v>2007.6</v>
      </c>
      <c r="K156" s="317">
        <v>0</v>
      </c>
      <c r="L156" s="317">
        <v>607.5</v>
      </c>
      <c r="M156" s="317"/>
      <c r="N156" s="319">
        <v>0.17050000000000001</v>
      </c>
      <c r="O156" s="319">
        <v>7.9200000000000007E-2</v>
      </c>
      <c r="P156" s="319">
        <v>0</v>
      </c>
      <c r="Q156" s="319">
        <v>0</v>
      </c>
      <c r="R156" s="319">
        <v>3.44E-2</v>
      </c>
      <c r="S156" s="319">
        <v>0.22040000000000001</v>
      </c>
      <c r="T156" s="319">
        <v>0</v>
      </c>
      <c r="U156" s="319">
        <v>0.61070000000000002</v>
      </c>
      <c r="V156" s="319">
        <v>0</v>
      </c>
      <c r="W156" s="319">
        <v>0</v>
      </c>
      <c r="X156" s="319">
        <v>0.254</v>
      </c>
      <c r="Y156" s="319">
        <v>0</v>
      </c>
      <c r="Z156" s="319">
        <v>1.2559</v>
      </c>
      <c r="AA156" s="319">
        <v>0.23830000000000001</v>
      </c>
      <c r="AB156" s="319">
        <v>0.312</v>
      </c>
      <c r="AC156" s="319">
        <v>0</v>
      </c>
      <c r="AD156" s="319">
        <v>0</v>
      </c>
      <c r="AE156" s="319">
        <v>6.6900000000000001E-2</v>
      </c>
      <c r="AF156" s="319">
        <v>6.4500000000000002E-2</v>
      </c>
      <c r="AG156" s="319">
        <v>2.87E-2</v>
      </c>
      <c r="AH156" s="319">
        <v>0</v>
      </c>
      <c r="AI156" s="319">
        <v>3.1042000000000001</v>
      </c>
      <c r="AJ156" s="319">
        <v>0.77490000000000003</v>
      </c>
      <c r="AK156" s="319">
        <v>5.9200000000000003E-2</v>
      </c>
      <c r="AL156" s="319">
        <v>0.74409999999999998</v>
      </c>
      <c r="AM156" s="319">
        <v>0</v>
      </c>
      <c r="AN156" s="319">
        <v>0</v>
      </c>
      <c r="AO156" s="319">
        <v>0.67030000000000001</v>
      </c>
      <c r="AP156" s="319">
        <v>0</v>
      </c>
      <c r="AQ156" s="319">
        <v>0</v>
      </c>
      <c r="AR156" s="319">
        <v>0.43440000000000001</v>
      </c>
      <c r="AS156" s="319">
        <v>0.43440000000000001</v>
      </c>
      <c r="AT156" s="331">
        <v>0.16969999999999999</v>
      </c>
      <c r="AU156" s="336">
        <v>9.1225999999999985</v>
      </c>
      <c r="AV156" s="329">
        <v>9.1225999999999985</v>
      </c>
      <c r="AW156" s="337">
        <v>3.5644</v>
      </c>
      <c r="AX156" s="334"/>
      <c r="AY156" s="323">
        <v>7.1834999999999996</v>
      </c>
      <c r="AZ156" s="323">
        <v>7.1834999999999996</v>
      </c>
      <c r="BA156" s="323">
        <v>2.8521999999999994</v>
      </c>
      <c r="BB156" s="319"/>
      <c r="BC156" s="321">
        <f t="shared" si="12"/>
        <v>1.2699380524813808</v>
      </c>
      <c r="BD156" s="321">
        <f t="shared" si="13"/>
        <v>1.2699380524813808</v>
      </c>
      <c r="BE156" s="321">
        <f t="shared" si="14"/>
        <v>1.2497019844330695</v>
      </c>
      <c r="BG156" s="22">
        <f t="shared" si="15"/>
        <v>-1.3322676295501878E-15</v>
      </c>
      <c r="BH156" s="22">
        <f t="shared" si="16"/>
        <v>0</v>
      </c>
      <c r="BI156" s="22">
        <f t="shared" si="17"/>
        <v>-7.4940054162198066E-16</v>
      </c>
    </row>
    <row r="157" spans="2:61" x14ac:dyDescent="0.25">
      <c r="B157" s="312">
        <v>216</v>
      </c>
      <c r="C157" s="312" t="s">
        <v>898</v>
      </c>
      <c r="D157" s="312" t="s">
        <v>391</v>
      </c>
      <c r="E157" s="312">
        <v>5</v>
      </c>
      <c r="F157" s="312">
        <v>4</v>
      </c>
      <c r="G157" s="313" t="s">
        <v>161</v>
      </c>
      <c r="H157" s="313"/>
      <c r="I157" s="346">
        <v>2755.64</v>
      </c>
      <c r="J157" s="317">
        <v>2755.64</v>
      </c>
      <c r="K157" s="317">
        <v>0</v>
      </c>
      <c r="L157" s="317">
        <v>0</v>
      </c>
      <c r="M157" s="317"/>
      <c r="N157" s="319">
        <v>0.16669999999999999</v>
      </c>
      <c r="O157" s="319">
        <v>9.2399999999999996E-2</v>
      </c>
      <c r="P157" s="319">
        <v>0.32419999999999999</v>
      </c>
      <c r="Q157" s="319">
        <v>7.4099999999999999E-2</v>
      </c>
      <c r="R157" s="319">
        <v>3.2599999999999997E-2</v>
      </c>
      <c r="S157" s="319">
        <v>0.49919999999999998</v>
      </c>
      <c r="T157" s="319">
        <v>0</v>
      </c>
      <c r="U157" s="319">
        <v>0.63149999999999995</v>
      </c>
      <c r="V157" s="319">
        <v>0</v>
      </c>
      <c r="W157" s="319">
        <v>0</v>
      </c>
      <c r="X157" s="319">
        <v>0.1779</v>
      </c>
      <c r="Y157" s="319">
        <v>0</v>
      </c>
      <c r="Z157" s="319">
        <v>2.3875999999999999</v>
      </c>
      <c r="AA157" s="319">
        <v>0.221</v>
      </c>
      <c r="AB157" s="319">
        <v>0.33579999999999999</v>
      </c>
      <c r="AC157" s="319">
        <v>8.7800000000000003E-2</v>
      </c>
      <c r="AD157" s="319">
        <v>0.1026</v>
      </c>
      <c r="AE157" s="319">
        <v>6.3500000000000001E-2</v>
      </c>
      <c r="AF157" s="319">
        <v>0.1721</v>
      </c>
      <c r="AG157" s="319">
        <v>3.3599999999999998E-2</v>
      </c>
      <c r="AH157" s="319">
        <v>0</v>
      </c>
      <c r="AI157" s="319">
        <v>1.9832000000000001</v>
      </c>
      <c r="AJ157" s="319">
        <v>1.141</v>
      </c>
      <c r="AK157" s="319">
        <v>9.2399999999999996E-2</v>
      </c>
      <c r="AL157" s="319">
        <v>0.41020000000000001</v>
      </c>
      <c r="AM157" s="319">
        <v>5.8299999999999998E-2</v>
      </c>
      <c r="AN157" s="319">
        <v>9.4999999999999998E-3</v>
      </c>
      <c r="AO157" s="319">
        <v>0.45829999999999999</v>
      </c>
      <c r="AP157" s="319">
        <v>0</v>
      </c>
      <c r="AQ157" s="319">
        <v>0</v>
      </c>
      <c r="AR157" s="319">
        <v>0.4778</v>
      </c>
      <c r="AS157" s="319">
        <v>0.4778</v>
      </c>
      <c r="AT157" s="331">
        <v>0.27810000000000001</v>
      </c>
      <c r="AU157" s="336">
        <v>10.033299999999997</v>
      </c>
      <c r="AV157" s="329">
        <v>10.033299999999997</v>
      </c>
      <c r="AW157" s="337">
        <v>5.8408999999999978</v>
      </c>
      <c r="AX157" s="334"/>
      <c r="AY157" s="323">
        <v>7.900599999999999</v>
      </c>
      <c r="AZ157" s="323">
        <v>7.900599999999999</v>
      </c>
      <c r="BA157" s="323">
        <v>4.8411999999999988</v>
      </c>
      <c r="BB157" s="319"/>
      <c r="BC157" s="321">
        <f t="shared" si="12"/>
        <v>1.2699415234286002</v>
      </c>
      <c r="BD157" s="321">
        <f t="shared" si="13"/>
        <v>1.2699415234286002</v>
      </c>
      <c r="BE157" s="321">
        <f t="shared" si="14"/>
        <v>1.2064983888292158</v>
      </c>
      <c r="BG157" s="22">
        <f t="shared" si="15"/>
        <v>-1.0547118733938987E-15</v>
      </c>
      <c r="BH157" s="22">
        <f t="shared" si="16"/>
        <v>0</v>
      </c>
      <c r="BI157" s="22">
        <f t="shared" si="17"/>
        <v>-1.8041124150158794E-15</v>
      </c>
    </row>
    <row r="158" spans="2:61" x14ac:dyDescent="0.25">
      <c r="B158" s="312">
        <v>217</v>
      </c>
      <c r="C158" s="312" t="s">
        <v>900</v>
      </c>
      <c r="D158" s="312" t="s">
        <v>391</v>
      </c>
      <c r="E158" s="312">
        <v>5</v>
      </c>
      <c r="F158" s="312">
        <v>4</v>
      </c>
      <c r="G158" s="313" t="s">
        <v>162</v>
      </c>
      <c r="H158" s="313"/>
      <c r="I158" s="346">
        <v>2742.99</v>
      </c>
      <c r="J158" s="317">
        <v>2742.99</v>
      </c>
      <c r="K158" s="317">
        <v>0</v>
      </c>
      <c r="L158" s="317">
        <v>0</v>
      </c>
      <c r="M158" s="317"/>
      <c r="N158" s="319">
        <v>0.16719999999999999</v>
      </c>
      <c r="O158" s="319">
        <v>9.2799999999999994E-2</v>
      </c>
      <c r="P158" s="319">
        <v>0.32490000000000002</v>
      </c>
      <c r="Q158" s="319">
        <v>7.4300000000000005E-2</v>
      </c>
      <c r="R158" s="319">
        <v>2.9100000000000001E-2</v>
      </c>
      <c r="S158" s="319">
        <v>0.50149999999999995</v>
      </c>
      <c r="T158" s="319">
        <v>0</v>
      </c>
      <c r="U158" s="319">
        <v>0.63149999999999995</v>
      </c>
      <c r="V158" s="319">
        <v>0</v>
      </c>
      <c r="W158" s="319">
        <v>0</v>
      </c>
      <c r="X158" s="319">
        <v>0.1759</v>
      </c>
      <c r="Y158" s="319">
        <v>0</v>
      </c>
      <c r="Z158" s="319">
        <v>2.3445</v>
      </c>
      <c r="AA158" s="319">
        <v>0.22140000000000001</v>
      </c>
      <c r="AB158" s="319">
        <v>0.32919999999999999</v>
      </c>
      <c r="AC158" s="319">
        <v>8.7800000000000003E-2</v>
      </c>
      <c r="AD158" s="319">
        <v>0.1037</v>
      </c>
      <c r="AE158" s="319">
        <v>5.67E-2</v>
      </c>
      <c r="AF158" s="319">
        <v>0.1729</v>
      </c>
      <c r="AG158" s="319">
        <v>3.3700000000000001E-2</v>
      </c>
      <c r="AH158" s="319">
        <v>0</v>
      </c>
      <c r="AI158" s="319">
        <v>2.3384999999999998</v>
      </c>
      <c r="AJ158" s="319">
        <v>1.1509</v>
      </c>
      <c r="AK158" s="319">
        <v>9.2700000000000005E-2</v>
      </c>
      <c r="AL158" s="319">
        <v>0.41210000000000002</v>
      </c>
      <c r="AM158" s="319">
        <v>5.8500000000000003E-2</v>
      </c>
      <c r="AN158" s="319">
        <v>9.4999999999999998E-3</v>
      </c>
      <c r="AO158" s="319">
        <v>0.41510000000000002</v>
      </c>
      <c r="AP158" s="319">
        <v>0</v>
      </c>
      <c r="AQ158" s="319">
        <v>0</v>
      </c>
      <c r="AR158" s="319">
        <v>0.49120000000000003</v>
      </c>
      <c r="AS158" s="319">
        <v>0.49120000000000003</v>
      </c>
      <c r="AT158" s="331">
        <v>0.27539999999999998</v>
      </c>
      <c r="AU158" s="336">
        <v>10.3156</v>
      </c>
      <c r="AV158" s="329">
        <v>10.3156</v>
      </c>
      <c r="AW158" s="337">
        <v>5.7831999999999999</v>
      </c>
      <c r="AX158" s="334"/>
      <c r="AY158" s="323">
        <v>8.1229999999999993</v>
      </c>
      <c r="AZ158" s="323">
        <v>8.1229999999999993</v>
      </c>
      <c r="BA158" s="323">
        <v>4.7888999999999999</v>
      </c>
      <c r="BB158" s="319"/>
      <c r="BC158" s="321">
        <f t="shared" si="12"/>
        <v>1.2699249045918997</v>
      </c>
      <c r="BD158" s="321">
        <f t="shared" si="13"/>
        <v>1.2699249045918997</v>
      </c>
      <c r="BE158" s="321">
        <f t="shared" si="14"/>
        <v>1.2076259683852242</v>
      </c>
      <c r="BG158" s="22">
        <f t="shared" si="15"/>
        <v>2.4980018054066022E-15</v>
      </c>
      <c r="BH158" s="22">
        <f t="shared" si="16"/>
        <v>-4.7184478546569153E-16</v>
      </c>
      <c r="BI158" s="22">
        <f t="shared" si="17"/>
        <v>-4.7184478546569153E-16</v>
      </c>
    </row>
    <row r="159" spans="2:61" x14ac:dyDescent="0.25">
      <c r="B159" s="312">
        <v>219</v>
      </c>
      <c r="C159" s="312" t="s">
        <v>904</v>
      </c>
      <c r="D159" s="312" t="s">
        <v>391</v>
      </c>
      <c r="E159" s="312">
        <v>5</v>
      </c>
      <c r="F159" s="312">
        <v>3</v>
      </c>
      <c r="G159" s="313" t="s">
        <v>163</v>
      </c>
      <c r="H159" s="313"/>
      <c r="I159" s="346">
        <v>2806.6</v>
      </c>
      <c r="J159" s="317">
        <v>2806.6</v>
      </c>
      <c r="K159" s="317">
        <v>0</v>
      </c>
      <c r="L159" s="317">
        <v>0</v>
      </c>
      <c r="M159" s="317"/>
      <c r="N159" s="319">
        <v>0.20849999999999999</v>
      </c>
      <c r="O159" s="319">
        <v>9.8100000000000007E-2</v>
      </c>
      <c r="P159" s="319">
        <v>0.31659999999999999</v>
      </c>
      <c r="Q159" s="319">
        <v>7.4899999999999994E-2</v>
      </c>
      <c r="R159" s="319">
        <v>2.4199999999999999E-2</v>
      </c>
      <c r="S159" s="319">
        <v>0.43219999999999997</v>
      </c>
      <c r="T159" s="319">
        <v>0</v>
      </c>
      <c r="U159" s="319">
        <v>0.63149999999999995</v>
      </c>
      <c r="V159" s="319">
        <v>0</v>
      </c>
      <c r="W159" s="319">
        <v>0</v>
      </c>
      <c r="X159" s="319">
        <v>0.25359999999999999</v>
      </c>
      <c r="Y159" s="319">
        <v>0</v>
      </c>
      <c r="Z159" s="319">
        <v>1.8628</v>
      </c>
      <c r="AA159" s="319">
        <v>0.25069999999999998</v>
      </c>
      <c r="AB159" s="319">
        <v>0.34789999999999999</v>
      </c>
      <c r="AC159" s="319">
        <v>8.0399999999999999E-2</v>
      </c>
      <c r="AD159" s="319">
        <v>0.1096</v>
      </c>
      <c r="AE159" s="319">
        <v>4.7100000000000003E-2</v>
      </c>
      <c r="AF159" s="319">
        <v>0.15540000000000001</v>
      </c>
      <c r="AG159" s="319">
        <v>3.6299999999999999E-2</v>
      </c>
      <c r="AH159" s="319">
        <v>0</v>
      </c>
      <c r="AI159" s="319">
        <v>3.2103999999999999</v>
      </c>
      <c r="AJ159" s="319">
        <v>1.0867</v>
      </c>
      <c r="AK159" s="319">
        <v>0.10929999999999999</v>
      </c>
      <c r="AL159" s="319">
        <v>0.38829999999999998</v>
      </c>
      <c r="AM159" s="319">
        <v>7.0900000000000005E-2</v>
      </c>
      <c r="AN159" s="319">
        <v>1.15E-2</v>
      </c>
      <c r="AO159" s="319">
        <v>0.66569999999999996</v>
      </c>
      <c r="AP159" s="319">
        <v>0</v>
      </c>
      <c r="AQ159" s="319">
        <v>0</v>
      </c>
      <c r="AR159" s="319">
        <v>0.52359999999999995</v>
      </c>
      <c r="AS159" s="319">
        <v>0.52359999999999995</v>
      </c>
      <c r="AT159" s="331">
        <v>0.25609999999999999</v>
      </c>
      <c r="AU159" s="336">
        <v>10.996199999999998</v>
      </c>
      <c r="AV159" s="329">
        <v>10.996199999999998</v>
      </c>
      <c r="AW159" s="337">
        <v>5.3775999999999993</v>
      </c>
      <c r="AX159" s="334"/>
      <c r="AY159" s="323">
        <v>8.6588000000000012</v>
      </c>
      <c r="AZ159" s="323">
        <v>8.6588000000000012</v>
      </c>
      <c r="BA159" s="323">
        <v>4.7514000000000012</v>
      </c>
      <c r="BB159" s="319"/>
      <c r="BC159" s="321">
        <f t="shared" si="12"/>
        <v>1.2699450270245296</v>
      </c>
      <c r="BD159" s="321">
        <f t="shared" si="13"/>
        <v>1.2699450270245296</v>
      </c>
      <c r="BE159" s="321">
        <f t="shared" si="14"/>
        <v>1.1317927347729086</v>
      </c>
      <c r="BG159" s="22">
        <f t="shared" si="15"/>
        <v>-4.3298697960381105E-15</v>
      </c>
      <c r="BH159" s="22">
        <f t="shared" si="16"/>
        <v>-6.9388939039072284E-16</v>
      </c>
      <c r="BI159" s="22">
        <f t="shared" si="17"/>
        <v>-1.5820678100908481E-15</v>
      </c>
    </row>
    <row r="160" spans="2:61" x14ac:dyDescent="0.25">
      <c r="B160" s="312">
        <v>220</v>
      </c>
      <c r="C160" s="312" t="s">
        <v>906</v>
      </c>
      <c r="D160" s="312" t="s">
        <v>391</v>
      </c>
      <c r="E160" s="312">
        <v>5</v>
      </c>
      <c r="F160" s="312">
        <v>4</v>
      </c>
      <c r="G160" s="313" t="s">
        <v>164</v>
      </c>
      <c r="H160" s="313"/>
      <c r="I160" s="346">
        <v>3200.37</v>
      </c>
      <c r="J160" s="317">
        <v>3200.37</v>
      </c>
      <c r="K160" s="317">
        <v>0</v>
      </c>
      <c r="L160" s="317">
        <v>0</v>
      </c>
      <c r="M160" s="317"/>
      <c r="N160" s="319">
        <v>0.1759</v>
      </c>
      <c r="O160" s="319">
        <v>8.72E-2</v>
      </c>
      <c r="P160" s="319">
        <v>0.308</v>
      </c>
      <c r="Q160" s="319">
        <v>7.3700000000000002E-2</v>
      </c>
      <c r="R160" s="319">
        <v>3.7499999999999999E-2</v>
      </c>
      <c r="S160" s="319">
        <v>0.42980000000000002</v>
      </c>
      <c r="T160" s="319">
        <v>0</v>
      </c>
      <c r="U160" s="319">
        <v>0.63149999999999995</v>
      </c>
      <c r="V160" s="319">
        <v>0</v>
      </c>
      <c r="W160" s="319">
        <v>0</v>
      </c>
      <c r="X160" s="319">
        <v>0.1482</v>
      </c>
      <c r="Y160" s="319">
        <v>0</v>
      </c>
      <c r="Z160" s="319">
        <v>1.4779</v>
      </c>
      <c r="AA160" s="319">
        <v>0.23200000000000001</v>
      </c>
      <c r="AB160" s="319">
        <v>0.28289999999999998</v>
      </c>
      <c r="AC160" s="319">
        <v>9.7000000000000003E-2</v>
      </c>
      <c r="AD160" s="319">
        <v>9.4399999999999998E-2</v>
      </c>
      <c r="AE160" s="319">
        <v>7.2800000000000004E-2</v>
      </c>
      <c r="AF160" s="319">
        <v>0.1482</v>
      </c>
      <c r="AG160" s="319">
        <v>3.09E-2</v>
      </c>
      <c r="AH160" s="319">
        <v>0</v>
      </c>
      <c r="AI160" s="319">
        <v>2.6257000000000001</v>
      </c>
      <c r="AJ160" s="319">
        <v>1.0667</v>
      </c>
      <c r="AK160" s="319">
        <v>0.1031</v>
      </c>
      <c r="AL160" s="319">
        <v>0.57709999999999995</v>
      </c>
      <c r="AM160" s="319">
        <v>6.6799999999999998E-2</v>
      </c>
      <c r="AN160" s="319">
        <v>1.0800000000000001E-2</v>
      </c>
      <c r="AO160" s="319">
        <v>0.3024</v>
      </c>
      <c r="AP160" s="319">
        <v>0</v>
      </c>
      <c r="AQ160" s="319">
        <v>0</v>
      </c>
      <c r="AR160" s="319">
        <v>0.45400000000000001</v>
      </c>
      <c r="AS160" s="319">
        <v>0.45400000000000001</v>
      </c>
      <c r="AT160" s="331">
        <v>0.22539999999999999</v>
      </c>
      <c r="AU160" s="336">
        <v>9.5345000000000013</v>
      </c>
      <c r="AV160" s="329">
        <v>9.5345000000000013</v>
      </c>
      <c r="AW160" s="337">
        <v>4.734</v>
      </c>
      <c r="AX160" s="334"/>
      <c r="AY160" s="323">
        <v>7.5159999999999982</v>
      </c>
      <c r="AZ160" s="323">
        <v>7.5159999999999982</v>
      </c>
      <c r="BA160" s="323">
        <v>3.8932999999999991</v>
      </c>
      <c r="BB160" s="319"/>
      <c r="BC160" s="321">
        <f t="shared" si="12"/>
        <v>1.2685604044704635</v>
      </c>
      <c r="BD160" s="321">
        <f t="shared" si="13"/>
        <v>1.2685604044704635</v>
      </c>
      <c r="BE160" s="321">
        <f t="shared" si="14"/>
        <v>1.2159350679372258</v>
      </c>
      <c r="BG160" s="22">
        <f t="shared" si="15"/>
        <v>7.2164496600635175E-16</v>
      </c>
      <c r="BH160" s="22">
        <f t="shared" si="16"/>
        <v>3.8857805861880479E-16</v>
      </c>
      <c r="BI160" s="22">
        <f t="shared" si="17"/>
        <v>3.8857805861880479E-16</v>
      </c>
    </row>
    <row r="161" spans="2:61" x14ac:dyDescent="0.25">
      <c r="B161" s="312">
        <v>223</v>
      </c>
      <c r="C161" s="312" t="s">
        <v>912</v>
      </c>
      <c r="D161" s="312" t="s">
        <v>391</v>
      </c>
      <c r="E161" s="312">
        <v>5</v>
      </c>
      <c r="F161" s="312">
        <v>8</v>
      </c>
      <c r="G161" s="313" t="s">
        <v>165</v>
      </c>
      <c r="H161" s="313"/>
      <c r="I161" s="346">
        <v>5911.9</v>
      </c>
      <c r="J161" s="317">
        <v>5577.4</v>
      </c>
      <c r="K161" s="317">
        <v>0</v>
      </c>
      <c r="L161" s="317">
        <v>334.5</v>
      </c>
      <c r="M161" s="317"/>
      <c r="N161" s="319">
        <v>0.16350000000000001</v>
      </c>
      <c r="O161" s="319">
        <v>0.1103</v>
      </c>
      <c r="P161" s="319">
        <v>0.33410000000000001</v>
      </c>
      <c r="Q161" s="319">
        <v>7.5399999999999995E-2</v>
      </c>
      <c r="R161" s="319">
        <v>0</v>
      </c>
      <c r="S161" s="319">
        <v>0.73460000000000003</v>
      </c>
      <c r="T161" s="319">
        <v>0</v>
      </c>
      <c r="U161" s="319">
        <v>0.63149999999999995</v>
      </c>
      <c r="V161" s="319">
        <v>0</v>
      </c>
      <c r="W161" s="319">
        <v>0</v>
      </c>
      <c r="X161" s="319">
        <v>0.16850000000000001</v>
      </c>
      <c r="Y161" s="319">
        <v>0</v>
      </c>
      <c r="Z161" s="319">
        <v>1.6801999999999999</v>
      </c>
      <c r="AA161" s="319">
        <v>0.2165</v>
      </c>
      <c r="AB161" s="319">
        <v>0.39119999999999999</v>
      </c>
      <c r="AC161" s="319">
        <v>9.2100000000000001E-2</v>
      </c>
      <c r="AD161" s="319">
        <v>0.10059999999999999</v>
      </c>
      <c r="AE161" s="319">
        <v>0</v>
      </c>
      <c r="AF161" s="319">
        <v>0.28100000000000003</v>
      </c>
      <c r="AG161" s="319">
        <v>3.3700000000000001E-2</v>
      </c>
      <c r="AH161" s="319">
        <v>0</v>
      </c>
      <c r="AI161" s="319">
        <v>1.7092000000000001</v>
      </c>
      <c r="AJ161" s="319">
        <v>1.0857000000000001</v>
      </c>
      <c r="AK161" s="319">
        <v>9.0300000000000005E-2</v>
      </c>
      <c r="AL161" s="319">
        <v>0.54269999999999996</v>
      </c>
      <c r="AM161" s="319">
        <v>5.04E-2</v>
      </c>
      <c r="AN161" s="319">
        <v>8.2000000000000007E-3</v>
      </c>
      <c r="AO161" s="319">
        <v>0.18559999999999999</v>
      </c>
      <c r="AP161" s="319">
        <v>0</v>
      </c>
      <c r="AQ161" s="319">
        <v>0</v>
      </c>
      <c r="AR161" s="319">
        <v>0.43430000000000002</v>
      </c>
      <c r="AS161" s="319">
        <v>0.43430000000000002</v>
      </c>
      <c r="AT161" s="331">
        <v>0.2581</v>
      </c>
      <c r="AU161" s="336">
        <v>9.1195999999999984</v>
      </c>
      <c r="AV161" s="329">
        <v>9.1195999999999984</v>
      </c>
      <c r="AW161" s="337">
        <v>5.4201999999999968</v>
      </c>
      <c r="AX161" s="334"/>
      <c r="AY161" s="323">
        <v>7.400500000000001</v>
      </c>
      <c r="AZ161" s="323">
        <v>7.400500000000001</v>
      </c>
      <c r="BA161" s="323">
        <v>4.6324000000000005</v>
      </c>
      <c r="BB161" s="319"/>
      <c r="BC161" s="321">
        <f t="shared" si="12"/>
        <v>1.2322951151949189</v>
      </c>
      <c r="BD161" s="321">
        <f t="shared" si="13"/>
        <v>1.2322951151949189</v>
      </c>
      <c r="BE161" s="321">
        <f t="shared" si="14"/>
        <v>1.1700630342802858</v>
      </c>
      <c r="BG161" s="22">
        <f t="shared" si="15"/>
        <v>-2.1094237467877974E-15</v>
      </c>
      <c r="BH161" s="22">
        <f t="shared" si="16"/>
        <v>-2.3592239273284576E-15</v>
      </c>
      <c r="BI161" s="22">
        <f t="shared" si="17"/>
        <v>-2.3592239273284576E-15</v>
      </c>
    </row>
    <row r="162" spans="2:61" x14ac:dyDescent="0.25">
      <c r="B162" s="312">
        <v>20</v>
      </c>
      <c r="C162" s="312" t="s">
        <v>497</v>
      </c>
      <c r="D162" s="312"/>
      <c r="E162" s="312">
        <v>7</v>
      </c>
      <c r="F162" s="312">
        <v>1</v>
      </c>
      <c r="G162" s="313" t="s">
        <v>166</v>
      </c>
      <c r="H162" s="313"/>
      <c r="I162" s="346">
        <v>3601.1</v>
      </c>
      <c r="J162" s="317">
        <v>508.52999999999975</v>
      </c>
      <c r="K162" s="317">
        <v>3092.57</v>
      </c>
      <c r="L162" s="317">
        <v>0</v>
      </c>
      <c r="M162" s="317"/>
      <c r="N162" s="319">
        <v>0.1235</v>
      </c>
      <c r="O162" s="319">
        <v>6.3399999999999998E-2</v>
      </c>
      <c r="P162" s="319">
        <v>0.29039999999999999</v>
      </c>
      <c r="Q162" s="319">
        <v>7.0999999999999994E-2</v>
      </c>
      <c r="R162" s="319">
        <v>1.44E-2</v>
      </c>
      <c r="S162" s="319">
        <v>0.22750000000000001</v>
      </c>
      <c r="T162" s="319">
        <v>0</v>
      </c>
      <c r="U162" s="319">
        <v>0.63149999999999995</v>
      </c>
      <c r="V162" s="319">
        <v>0.71740000000000004</v>
      </c>
      <c r="W162" s="319">
        <v>0</v>
      </c>
      <c r="X162" s="319">
        <v>0.19980000000000001</v>
      </c>
      <c r="Y162" s="319">
        <v>0</v>
      </c>
      <c r="Z162" s="319">
        <v>2.4457</v>
      </c>
      <c r="AA162" s="319">
        <v>0.1699</v>
      </c>
      <c r="AB162" s="319">
        <v>0.22689999999999999</v>
      </c>
      <c r="AC162" s="319">
        <v>0.12720000000000001</v>
      </c>
      <c r="AD162" s="319">
        <v>9.9900000000000003E-2</v>
      </c>
      <c r="AE162" s="319">
        <v>2.81E-2</v>
      </c>
      <c r="AF162" s="319">
        <v>6.0499999999999998E-2</v>
      </c>
      <c r="AG162" s="319">
        <v>3.2899999999999999E-2</v>
      </c>
      <c r="AH162" s="319">
        <v>0</v>
      </c>
      <c r="AI162" s="319">
        <v>1.8540000000000001</v>
      </c>
      <c r="AJ162" s="319">
        <v>1.1952</v>
      </c>
      <c r="AK162" s="319">
        <v>0.10829999999999999</v>
      </c>
      <c r="AL162" s="319">
        <v>0.35949999999999999</v>
      </c>
      <c r="AM162" s="319">
        <v>3.9600000000000003E-2</v>
      </c>
      <c r="AN162" s="319">
        <v>6.4000000000000003E-3</v>
      </c>
      <c r="AO162" s="319">
        <v>0.7359</v>
      </c>
      <c r="AP162" s="319">
        <v>0.20080000000000001</v>
      </c>
      <c r="AQ162" s="319">
        <v>0</v>
      </c>
      <c r="AR162" s="319">
        <v>0.4556</v>
      </c>
      <c r="AS162" s="319">
        <v>0.50149999999999995</v>
      </c>
      <c r="AT162" s="331">
        <v>0.24829999999999999</v>
      </c>
      <c r="AU162" s="336">
        <v>9.5670999999999999</v>
      </c>
      <c r="AV162" s="329">
        <v>10.531199999999998</v>
      </c>
      <c r="AW162" s="337">
        <v>5.2151999999999985</v>
      </c>
      <c r="AX162" s="334"/>
      <c r="AY162" s="323">
        <v>7.5797999999999996</v>
      </c>
      <c r="AZ162" s="323">
        <v>8.9034999999999993</v>
      </c>
      <c r="BA162" s="323">
        <v>4.5819000000000001</v>
      </c>
      <c r="BB162" s="319"/>
      <c r="BC162" s="321">
        <f t="shared" si="12"/>
        <v>1.2621836987783319</v>
      </c>
      <c r="BD162" s="321">
        <f t="shared" si="13"/>
        <v>1.182815746616499</v>
      </c>
      <c r="BE162" s="321">
        <f t="shared" si="14"/>
        <v>1.1382177699207749</v>
      </c>
      <c r="BG162" s="22">
        <f t="shared" si="15"/>
        <v>1.7763568394002505E-15</v>
      </c>
      <c r="BH162" s="22">
        <f t="shared" si="16"/>
        <v>0</v>
      </c>
      <c r="BI162" s="22">
        <f t="shared" si="17"/>
        <v>-1.9845236565174673E-15</v>
      </c>
    </row>
    <row r="163" spans="2:61" x14ac:dyDescent="0.25">
      <c r="B163" s="312">
        <v>77</v>
      </c>
      <c r="C163" s="312" t="s">
        <v>613</v>
      </c>
      <c r="D163" s="312" t="s">
        <v>392</v>
      </c>
      <c r="E163" s="312">
        <v>8</v>
      </c>
      <c r="F163" s="312">
        <v>2</v>
      </c>
      <c r="G163" s="313" t="s">
        <v>168</v>
      </c>
      <c r="H163" s="313"/>
      <c r="I163" s="346">
        <v>5254.1</v>
      </c>
      <c r="J163" s="317">
        <v>658.80000000000018</v>
      </c>
      <c r="K163" s="317">
        <v>4595.3</v>
      </c>
      <c r="L163" s="317">
        <v>0</v>
      </c>
      <c r="M163" s="317"/>
      <c r="N163" s="319">
        <v>0.1132</v>
      </c>
      <c r="O163" s="319">
        <v>6.9000000000000006E-2</v>
      </c>
      <c r="P163" s="319">
        <v>0.32740000000000002</v>
      </c>
      <c r="Q163" s="319">
        <v>6.4199999999999993E-2</v>
      </c>
      <c r="R163" s="319">
        <v>4.9399999999999999E-2</v>
      </c>
      <c r="S163" s="319">
        <v>0.29239999999999999</v>
      </c>
      <c r="T163" s="319">
        <v>0</v>
      </c>
      <c r="U163" s="319">
        <v>0.63149999999999995</v>
      </c>
      <c r="V163" s="319">
        <v>1.4654</v>
      </c>
      <c r="W163" s="319">
        <v>0</v>
      </c>
      <c r="X163" s="319">
        <v>0.13239999999999999</v>
      </c>
      <c r="Y163" s="319">
        <v>0</v>
      </c>
      <c r="Z163" s="319">
        <v>2.2656000000000001</v>
      </c>
      <c r="AA163" s="319">
        <v>0.15079999999999999</v>
      </c>
      <c r="AB163" s="319">
        <v>0.24759999999999999</v>
      </c>
      <c r="AC163" s="319">
        <v>8.48E-2</v>
      </c>
      <c r="AD163" s="319">
        <v>7.1400000000000005E-2</v>
      </c>
      <c r="AE163" s="319">
        <v>9.6100000000000005E-2</v>
      </c>
      <c r="AF163" s="319">
        <v>0.1038</v>
      </c>
      <c r="AG163" s="319">
        <v>2.5499999999999998E-2</v>
      </c>
      <c r="AH163" s="319">
        <v>0</v>
      </c>
      <c r="AI163" s="319">
        <v>2.5598000000000001</v>
      </c>
      <c r="AJ163" s="319">
        <v>1.4036999999999999</v>
      </c>
      <c r="AK163" s="319">
        <v>8.0500000000000002E-2</v>
      </c>
      <c r="AL163" s="319">
        <v>0.53210000000000002</v>
      </c>
      <c r="AM163" s="319">
        <v>3.73E-2</v>
      </c>
      <c r="AN163" s="319">
        <v>6.1000000000000004E-3</v>
      </c>
      <c r="AO163" s="319">
        <v>0.3448</v>
      </c>
      <c r="AP163" s="319">
        <v>0.49109999999999998</v>
      </c>
      <c r="AQ163" s="319">
        <v>0</v>
      </c>
      <c r="AR163" s="319">
        <v>0.48449999999999999</v>
      </c>
      <c r="AS163" s="319">
        <v>0.58230000000000004</v>
      </c>
      <c r="AT163" s="331">
        <v>0.24249999999999999</v>
      </c>
      <c r="AU163" s="336">
        <v>10.173900000000001</v>
      </c>
      <c r="AV163" s="329">
        <v>12.228200000000001</v>
      </c>
      <c r="AW163" s="337">
        <v>5.0915000000000017</v>
      </c>
      <c r="AX163" s="334"/>
      <c r="AY163" s="323">
        <v>8.0114000000000019</v>
      </c>
      <c r="AZ163" s="323">
        <v>10.437500000000002</v>
      </c>
      <c r="BA163" s="323">
        <v>4.4526000000000012</v>
      </c>
      <c r="BB163" s="319"/>
      <c r="BC163" s="321">
        <f t="shared" si="12"/>
        <v>1.269927852809746</v>
      </c>
      <c r="BD163" s="321">
        <f t="shared" si="13"/>
        <v>1.1715640718562874</v>
      </c>
      <c r="BE163" s="321">
        <f t="shared" si="14"/>
        <v>1.1434891973229124</v>
      </c>
      <c r="BG163" s="22">
        <f t="shared" si="15"/>
        <v>-1.4988010832439613E-15</v>
      </c>
      <c r="BH163" s="22">
        <f t="shared" si="16"/>
        <v>5.8286708792820718E-16</v>
      </c>
      <c r="BI163" s="22">
        <f t="shared" si="17"/>
        <v>2.1371793224034263E-15</v>
      </c>
    </row>
    <row r="164" spans="2:61" x14ac:dyDescent="0.25">
      <c r="B164" s="312">
        <v>79</v>
      </c>
      <c r="C164" s="312" t="s">
        <v>617</v>
      </c>
      <c r="D164" s="312" t="s">
        <v>392</v>
      </c>
      <c r="E164" s="312">
        <v>8</v>
      </c>
      <c r="F164" s="312">
        <v>3</v>
      </c>
      <c r="G164" s="313" t="s">
        <v>170</v>
      </c>
      <c r="H164" s="313"/>
      <c r="I164" s="346">
        <v>5495.6</v>
      </c>
      <c r="J164" s="317">
        <v>660.30000000000018</v>
      </c>
      <c r="K164" s="317">
        <v>4835.3</v>
      </c>
      <c r="L164" s="317">
        <v>0</v>
      </c>
      <c r="M164" s="317"/>
      <c r="N164" s="319">
        <v>0.12809999999999999</v>
      </c>
      <c r="O164" s="319">
        <v>5.4199999999999998E-2</v>
      </c>
      <c r="P164" s="319">
        <v>0.29470000000000002</v>
      </c>
      <c r="Q164" s="319">
        <v>6.6299999999999998E-2</v>
      </c>
      <c r="R164" s="319">
        <v>4.7300000000000002E-2</v>
      </c>
      <c r="S164" s="319">
        <v>0.39279999999999998</v>
      </c>
      <c r="T164" s="319">
        <v>0</v>
      </c>
      <c r="U164" s="319">
        <v>0.63149999999999995</v>
      </c>
      <c r="V164" s="319">
        <v>2.0889000000000002</v>
      </c>
      <c r="W164" s="319">
        <v>0</v>
      </c>
      <c r="X164" s="319">
        <v>0.1439</v>
      </c>
      <c r="Y164" s="319">
        <v>0</v>
      </c>
      <c r="Z164" s="319">
        <v>2.5165000000000002</v>
      </c>
      <c r="AA164" s="319">
        <v>0.16689999999999999</v>
      </c>
      <c r="AB164" s="319">
        <v>0.19650000000000001</v>
      </c>
      <c r="AC164" s="319">
        <v>0.1201</v>
      </c>
      <c r="AD164" s="319">
        <v>8.6699999999999999E-2</v>
      </c>
      <c r="AE164" s="319">
        <v>9.1899999999999996E-2</v>
      </c>
      <c r="AF164" s="319">
        <v>0.12429999999999999</v>
      </c>
      <c r="AG164" s="319">
        <v>4.1599999999999998E-2</v>
      </c>
      <c r="AH164" s="319">
        <v>0</v>
      </c>
      <c r="AI164" s="319">
        <v>1.4371</v>
      </c>
      <c r="AJ164" s="319">
        <v>1.9189000000000001</v>
      </c>
      <c r="AK164" s="319">
        <v>9.1300000000000006E-2</v>
      </c>
      <c r="AL164" s="319">
        <v>0.50649999999999995</v>
      </c>
      <c r="AM164" s="319">
        <v>4.1099999999999998E-2</v>
      </c>
      <c r="AN164" s="319">
        <v>6.7000000000000002E-3</v>
      </c>
      <c r="AO164" s="319">
        <v>0.29949999999999999</v>
      </c>
      <c r="AP164" s="319">
        <v>0.40139999999999998</v>
      </c>
      <c r="AQ164" s="319">
        <v>0</v>
      </c>
      <c r="AR164" s="319">
        <v>0.47020000000000001</v>
      </c>
      <c r="AS164" s="319">
        <v>0.59470000000000001</v>
      </c>
      <c r="AT164" s="331">
        <v>0.2621</v>
      </c>
      <c r="AU164" s="336">
        <v>9.8745999999999992</v>
      </c>
      <c r="AV164" s="329">
        <v>12.4894</v>
      </c>
      <c r="AW164" s="337">
        <v>5.5044999999999984</v>
      </c>
      <c r="AX164" s="334"/>
      <c r="AY164" s="323">
        <v>7.7757000000000005</v>
      </c>
      <c r="AZ164" s="323">
        <v>10.807399999999999</v>
      </c>
      <c r="BA164" s="323">
        <v>4.7227000000000006</v>
      </c>
      <c r="BB164" s="319"/>
      <c r="BC164" s="321">
        <f t="shared" si="12"/>
        <v>1.2699306814820528</v>
      </c>
      <c r="BD164" s="321">
        <f t="shared" si="13"/>
        <v>1.1556341025593575</v>
      </c>
      <c r="BE164" s="321">
        <f t="shared" si="14"/>
        <v>1.1655408982150037</v>
      </c>
      <c r="BG164" s="22">
        <f t="shared" si="15"/>
        <v>-1.7208456881689926E-15</v>
      </c>
      <c r="BH164" s="22">
        <f t="shared" si="16"/>
        <v>-2.6922908347160046E-15</v>
      </c>
      <c r="BI164" s="22">
        <f t="shared" si="17"/>
        <v>-3.1363800445660672E-15</v>
      </c>
    </row>
    <row r="165" spans="2:61" x14ac:dyDescent="0.25">
      <c r="B165" s="312">
        <v>80</v>
      </c>
      <c r="C165" s="312" t="s">
        <v>619</v>
      </c>
      <c r="D165" s="312" t="s">
        <v>392</v>
      </c>
      <c r="E165" s="312">
        <v>8</v>
      </c>
      <c r="F165" s="312">
        <v>4</v>
      </c>
      <c r="G165" s="313" t="s">
        <v>171</v>
      </c>
      <c r="H165" s="313"/>
      <c r="I165" s="346">
        <v>8942</v>
      </c>
      <c r="J165" s="317">
        <v>1081.6000000000004</v>
      </c>
      <c r="K165" s="317">
        <v>7860.4</v>
      </c>
      <c r="L165" s="317">
        <v>0</v>
      </c>
      <c r="M165" s="317"/>
      <c r="N165" s="319">
        <v>0.1069</v>
      </c>
      <c r="O165" s="319">
        <v>6.59E-2</v>
      </c>
      <c r="P165" s="319">
        <v>0.32379999999999998</v>
      </c>
      <c r="Q165" s="319">
        <v>6.5699999999999995E-2</v>
      </c>
      <c r="R165" s="319">
        <v>5.8099999999999999E-2</v>
      </c>
      <c r="S165" s="319">
        <v>0.39950000000000002</v>
      </c>
      <c r="T165" s="319">
        <v>0</v>
      </c>
      <c r="U165" s="319">
        <v>0.63149999999999995</v>
      </c>
      <c r="V165" s="319">
        <v>1.3572</v>
      </c>
      <c r="W165" s="319">
        <v>6.8599999999999994E-2</v>
      </c>
      <c r="X165" s="319">
        <v>0.13089999999999999</v>
      </c>
      <c r="Y165" s="319">
        <v>0</v>
      </c>
      <c r="Z165" s="319">
        <v>2.7124000000000001</v>
      </c>
      <c r="AA165" s="319">
        <v>0.1421</v>
      </c>
      <c r="AB165" s="319">
        <v>0.23719999999999999</v>
      </c>
      <c r="AC165" s="319">
        <v>0.10929999999999999</v>
      </c>
      <c r="AD165" s="319">
        <v>0.1008</v>
      </c>
      <c r="AE165" s="319">
        <v>0.113</v>
      </c>
      <c r="AF165" s="319">
        <v>0.1363</v>
      </c>
      <c r="AG165" s="319">
        <v>3.1399999999999997E-2</v>
      </c>
      <c r="AH165" s="319">
        <v>0</v>
      </c>
      <c r="AI165" s="319">
        <v>1.5946</v>
      </c>
      <c r="AJ165" s="319">
        <v>1.6389</v>
      </c>
      <c r="AK165" s="319">
        <v>8.6499999999999994E-2</v>
      </c>
      <c r="AL165" s="319">
        <v>0.42959999999999998</v>
      </c>
      <c r="AM165" s="319">
        <v>3.8600000000000002E-2</v>
      </c>
      <c r="AN165" s="319">
        <v>6.3E-3</v>
      </c>
      <c r="AO165" s="319">
        <v>0.30620000000000003</v>
      </c>
      <c r="AP165" s="319">
        <v>0.43459999999999999</v>
      </c>
      <c r="AQ165" s="319">
        <v>0</v>
      </c>
      <c r="AR165" s="319">
        <v>0.4733</v>
      </c>
      <c r="AS165" s="319">
        <v>0.56630000000000003</v>
      </c>
      <c r="AT165" s="331">
        <v>0.27479999999999999</v>
      </c>
      <c r="AU165" s="336">
        <v>9.9388000000000005</v>
      </c>
      <c r="AV165" s="329">
        <v>11.892200000000001</v>
      </c>
      <c r="AW165" s="337">
        <v>5.7709999999999999</v>
      </c>
      <c r="AX165" s="334"/>
      <c r="AY165" s="323">
        <v>7.8262</v>
      </c>
      <c r="AZ165" s="323">
        <v>10.017800000000001</v>
      </c>
      <c r="BA165" s="323">
        <v>4.8978000000000002</v>
      </c>
      <c r="BB165" s="319"/>
      <c r="BC165" s="321">
        <f t="shared" si="12"/>
        <v>1.2699394342081727</v>
      </c>
      <c r="BD165" s="321">
        <f t="shared" si="13"/>
        <v>1.1871069496296591</v>
      </c>
      <c r="BE165" s="321">
        <f t="shared" si="14"/>
        <v>1.1782841275674791</v>
      </c>
      <c r="BG165" s="22">
        <f t="shared" si="15"/>
        <v>9.4368957093138306E-16</v>
      </c>
      <c r="BH165" s="22">
        <f t="shared" si="16"/>
        <v>5.134781488891349E-16</v>
      </c>
      <c r="BI165" s="22">
        <f t="shared" si="17"/>
        <v>-1.5265566588595902E-16</v>
      </c>
    </row>
    <row r="166" spans="2:61" x14ac:dyDescent="0.25">
      <c r="B166" s="312">
        <v>1</v>
      </c>
      <c r="C166" s="312" t="s">
        <v>458</v>
      </c>
      <c r="D166" s="312" t="s">
        <v>946</v>
      </c>
      <c r="E166" s="312">
        <v>9</v>
      </c>
      <c r="F166" s="312">
        <v>2</v>
      </c>
      <c r="G166" s="313" t="s">
        <v>172</v>
      </c>
      <c r="H166" s="313"/>
      <c r="I166" s="346">
        <v>3815.74</v>
      </c>
      <c r="J166" s="317">
        <v>394.69999999999982</v>
      </c>
      <c r="K166" s="317">
        <v>3421.04</v>
      </c>
      <c r="L166" s="317">
        <v>0</v>
      </c>
      <c r="M166" s="317"/>
      <c r="N166" s="319">
        <v>0.1789</v>
      </c>
      <c r="O166" s="319">
        <v>0.11459999999999999</v>
      </c>
      <c r="P166" s="319">
        <v>0.29110000000000003</v>
      </c>
      <c r="Q166" s="319">
        <v>6.7500000000000004E-2</v>
      </c>
      <c r="R166" s="319">
        <v>2.3E-2</v>
      </c>
      <c r="S166" s="319">
        <v>0.22819999999999999</v>
      </c>
      <c r="T166" s="319">
        <v>0</v>
      </c>
      <c r="U166" s="319">
        <v>0.63149999999999995</v>
      </c>
      <c r="V166" s="319">
        <v>1.3607</v>
      </c>
      <c r="W166" s="319">
        <v>5.2499999999999998E-2</v>
      </c>
      <c r="X166" s="319">
        <v>0.1492</v>
      </c>
      <c r="Y166" s="319">
        <v>0</v>
      </c>
      <c r="Z166" s="319">
        <v>2.8820999999999999</v>
      </c>
      <c r="AA166" s="319">
        <v>0.2331</v>
      </c>
      <c r="AB166" s="319">
        <v>0.40849999999999997</v>
      </c>
      <c r="AC166" s="319">
        <v>7.1099999999999997E-2</v>
      </c>
      <c r="AD166" s="319">
        <v>6.1199999999999997E-2</v>
      </c>
      <c r="AE166" s="319">
        <v>4.48E-2</v>
      </c>
      <c r="AF166" s="319">
        <v>7.9899999999999999E-2</v>
      </c>
      <c r="AG166" s="319">
        <v>2.9899999999999999E-2</v>
      </c>
      <c r="AH166" s="319">
        <v>0</v>
      </c>
      <c r="AI166" s="319">
        <v>1.1332</v>
      </c>
      <c r="AJ166" s="319">
        <v>1.4844999999999999</v>
      </c>
      <c r="AK166" s="319">
        <v>7.6700000000000004E-2</v>
      </c>
      <c r="AL166" s="319">
        <v>0.3488</v>
      </c>
      <c r="AM166" s="319">
        <v>3.4599999999999999E-2</v>
      </c>
      <c r="AN166" s="319">
        <v>5.5999999999999999E-3</v>
      </c>
      <c r="AO166" s="319">
        <v>0.13289999999999999</v>
      </c>
      <c r="AP166" s="319">
        <v>0.67779999999999996</v>
      </c>
      <c r="AQ166" s="319">
        <v>0</v>
      </c>
      <c r="AR166" s="319">
        <v>0.4355</v>
      </c>
      <c r="AS166" s="319">
        <v>0.54010000000000002</v>
      </c>
      <c r="AT166" s="331">
        <v>0.28060000000000002</v>
      </c>
      <c r="AU166" s="336">
        <v>9.1463999999999999</v>
      </c>
      <c r="AV166" s="329">
        <v>11.342000000000001</v>
      </c>
      <c r="AW166" s="337">
        <v>5.892100000000001</v>
      </c>
      <c r="AX166" s="334"/>
      <c r="AY166" s="323">
        <v>7.2030000000000003</v>
      </c>
      <c r="AZ166" s="323">
        <v>9.4853000000000005</v>
      </c>
      <c r="BA166" s="323">
        <v>5.0265000000000004</v>
      </c>
      <c r="BB166" s="319"/>
      <c r="BC166" s="321">
        <f t="shared" si="12"/>
        <v>1.2698042482299041</v>
      </c>
      <c r="BD166" s="321">
        <f t="shared" si="13"/>
        <v>1.1957449948868248</v>
      </c>
      <c r="BE166" s="321">
        <f t="shared" si="14"/>
        <v>1.1722073013030938</v>
      </c>
      <c r="BG166" s="22">
        <f t="shared" si="15"/>
        <v>1.1102230246251565E-15</v>
      </c>
      <c r="BH166" s="22">
        <f t="shared" si="16"/>
        <v>-1.5543122344752192E-15</v>
      </c>
      <c r="BI166" s="22">
        <f t="shared" si="17"/>
        <v>-2.2204460492503131E-16</v>
      </c>
    </row>
    <row r="167" spans="2:61" x14ac:dyDescent="0.25">
      <c r="B167" s="312">
        <v>2</v>
      </c>
      <c r="C167" s="312" t="s">
        <v>461</v>
      </c>
      <c r="D167" s="312" t="s">
        <v>946</v>
      </c>
      <c r="E167" s="312">
        <v>9</v>
      </c>
      <c r="F167" s="312">
        <v>4</v>
      </c>
      <c r="G167" s="313" t="s">
        <v>174</v>
      </c>
      <c r="H167" s="313"/>
      <c r="I167" s="346">
        <v>7592.5</v>
      </c>
      <c r="J167" s="317">
        <v>786.0600000000004</v>
      </c>
      <c r="K167" s="317">
        <v>6806.44</v>
      </c>
      <c r="L167" s="317">
        <v>0</v>
      </c>
      <c r="M167" s="317"/>
      <c r="N167" s="319">
        <v>0.2014</v>
      </c>
      <c r="O167" s="319">
        <v>0.1022</v>
      </c>
      <c r="P167" s="319">
        <v>0.31</v>
      </c>
      <c r="Q167" s="319">
        <v>7.2999999999999995E-2</v>
      </c>
      <c r="R167" s="319">
        <v>2.3199999999999998E-2</v>
      </c>
      <c r="S167" s="319">
        <v>0.31209999999999999</v>
      </c>
      <c r="T167" s="319">
        <v>0</v>
      </c>
      <c r="U167" s="319">
        <v>0.63149999999999995</v>
      </c>
      <c r="V167" s="319">
        <v>1.7302</v>
      </c>
      <c r="W167" s="319">
        <v>5.28E-2</v>
      </c>
      <c r="X167" s="319">
        <v>0.1479</v>
      </c>
      <c r="Y167" s="319">
        <v>0</v>
      </c>
      <c r="Z167" s="319">
        <v>2.8300999999999998</v>
      </c>
      <c r="AA167" s="319">
        <v>0.2681</v>
      </c>
      <c r="AB167" s="319">
        <v>0.36630000000000001</v>
      </c>
      <c r="AC167" s="319">
        <v>0.12239999999999999</v>
      </c>
      <c r="AD167" s="319">
        <v>0.1075</v>
      </c>
      <c r="AE167" s="319">
        <v>4.4999999999999998E-2</v>
      </c>
      <c r="AF167" s="319">
        <v>0.13250000000000001</v>
      </c>
      <c r="AG167" s="319">
        <v>3.1399999999999997E-2</v>
      </c>
      <c r="AH167" s="319">
        <v>0</v>
      </c>
      <c r="AI167" s="319">
        <v>1.3943000000000001</v>
      </c>
      <c r="AJ167" s="319">
        <v>1.2030000000000001</v>
      </c>
      <c r="AK167" s="319">
        <v>7.0699999999999999E-2</v>
      </c>
      <c r="AL167" s="319">
        <v>0.30009999999999998</v>
      </c>
      <c r="AM167" s="319">
        <v>3.3500000000000002E-2</v>
      </c>
      <c r="AN167" s="319">
        <v>5.4000000000000003E-3</v>
      </c>
      <c r="AO167" s="319">
        <v>0.30680000000000002</v>
      </c>
      <c r="AP167" s="319">
        <v>0.441</v>
      </c>
      <c r="AQ167" s="319">
        <v>0</v>
      </c>
      <c r="AR167" s="319">
        <v>0.45090000000000002</v>
      </c>
      <c r="AS167" s="319">
        <v>0.56210000000000004</v>
      </c>
      <c r="AT167" s="331">
        <v>0.29070000000000001</v>
      </c>
      <c r="AU167" s="336">
        <v>9.4693000000000023</v>
      </c>
      <c r="AV167" s="329">
        <v>11.804500000000001</v>
      </c>
      <c r="AW167" s="337">
        <v>6.1048999999999998</v>
      </c>
      <c r="AX167" s="334"/>
      <c r="AY167" s="323">
        <v>7.4701000000000004</v>
      </c>
      <c r="AZ167" s="323">
        <v>10.225100000000001</v>
      </c>
      <c r="BA167" s="323">
        <v>5.0609999999999999</v>
      </c>
      <c r="BB167" s="319"/>
      <c r="BC167" s="321">
        <f t="shared" si="12"/>
        <v>1.2676269393984019</v>
      </c>
      <c r="BD167" s="321">
        <f t="shared" si="13"/>
        <v>1.1544630370363125</v>
      </c>
      <c r="BE167" s="321">
        <f t="shared" si="14"/>
        <v>1.206263584271883</v>
      </c>
      <c r="BG167" s="22">
        <f t="shared" si="15"/>
        <v>4.4408920985006262E-15</v>
      </c>
      <c r="BH167" s="22">
        <f t="shared" si="16"/>
        <v>-8.6042284408449632E-16</v>
      </c>
      <c r="BI167" s="22">
        <f t="shared" si="17"/>
        <v>-4.163336342344337E-16</v>
      </c>
    </row>
    <row r="168" spans="2:61" x14ac:dyDescent="0.25">
      <c r="B168" s="312">
        <v>3</v>
      </c>
      <c r="C168" s="312" t="s">
        <v>463</v>
      </c>
      <c r="D168" s="312" t="s">
        <v>946</v>
      </c>
      <c r="E168" s="312">
        <v>9</v>
      </c>
      <c r="F168" s="312">
        <v>2</v>
      </c>
      <c r="G168" s="313" t="s">
        <v>175</v>
      </c>
      <c r="H168" s="313"/>
      <c r="I168" s="346">
        <v>3776.92</v>
      </c>
      <c r="J168" s="317">
        <v>339.76000000000022</v>
      </c>
      <c r="K168" s="317">
        <v>3377.06</v>
      </c>
      <c r="L168" s="317">
        <v>60.1</v>
      </c>
      <c r="M168" s="317"/>
      <c r="N168" s="319">
        <v>0.18049999999999999</v>
      </c>
      <c r="O168" s="319">
        <v>0.1027</v>
      </c>
      <c r="P168" s="319">
        <v>0.29139999999999999</v>
      </c>
      <c r="Q168" s="319">
        <v>7.9000000000000001E-2</v>
      </c>
      <c r="R168" s="319">
        <v>2.3300000000000001E-2</v>
      </c>
      <c r="S168" s="319">
        <v>0.2306</v>
      </c>
      <c r="T168" s="319">
        <v>0</v>
      </c>
      <c r="U168" s="319">
        <v>0.63149999999999995</v>
      </c>
      <c r="V168" s="319">
        <v>2.0295999999999998</v>
      </c>
      <c r="W168" s="319">
        <v>0</v>
      </c>
      <c r="X168" s="319">
        <v>0.1507</v>
      </c>
      <c r="Y168" s="319">
        <v>0</v>
      </c>
      <c r="Z168" s="319">
        <v>3.0047999999999999</v>
      </c>
      <c r="AA168" s="319">
        <v>0.23519999999999999</v>
      </c>
      <c r="AB168" s="319">
        <v>0.36820000000000003</v>
      </c>
      <c r="AC168" s="319">
        <v>7.0800000000000002E-2</v>
      </c>
      <c r="AD168" s="319">
        <v>0.16209999999999999</v>
      </c>
      <c r="AE168" s="319">
        <v>4.53E-2</v>
      </c>
      <c r="AF168" s="319">
        <v>8.0699999999999994E-2</v>
      </c>
      <c r="AG168" s="319">
        <v>3.0099999999999998E-2</v>
      </c>
      <c r="AH168" s="319">
        <v>0</v>
      </c>
      <c r="AI168" s="319">
        <v>0.68859999999999999</v>
      </c>
      <c r="AJ168" s="319">
        <v>1.5181</v>
      </c>
      <c r="AK168" s="319">
        <v>7.0599999999999996E-2</v>
      </c>
      <c r="AL168" s="319">
        <v>0.36</v>
      </c>
      <c r="AM168" s="319">
        <v>3.1399999999999997E-2</v>
      </c>
      <c r="AN168" s="319">
        <v>5.1000000000000004E-3</v>
      </c>
      <c r="AO168" s="319">
        <v>0.24790000000000001</v>
      </c>
      <c r="AP168" s="319">
        <v>0.45369999999999999</v>
      </c>
      <c r="AQ168" s="319">
        <v>0</v>
      </c>
      <c r="AR168" s="319">
        <v>0.4304</v>
      </c>
      <c r="AS168" s="319">
        <v>0.55459999999999998</v>
      </c>
      <c r="AT168" s="331">
        <v>0.28970000000000001</v>
      </c>
      <c r="AU168" s="336">
        <v>9.0389999999999997</v>
      </c>
      <c r="AV168" s="329">
        <v>11.6465</v>
      </c>
      <c r="AW168" s="337">
        <v>6.0836999999999994</v>
      </c>
      <c r="AX168" s="334"/>
      <c r="AY168" s="323">
        <v>7.117799999999999</v>
      </c>
      <c r="AZ168" s="323">
        <v>9.9159000000000006</v>
      </c>
      <c r="BA168" s="323">
        <v>5.0853999999999999</v>
      </c>
      <c r="BB168" s="319"/>
      <c r="BC168" s="321">
        <f t="shared" si="12"/>
        <v>1.2699148613335582</v>
      </c>
      <c r="BD168" s="321">
        <f t="shared" si="13"/>
        <v>1.1745277786181787</v>
      </c>
      <c r="BE168" s="321">
        <f t="shared" si="14"/>
        <v>1.1963070751563298</v>
      </c>
      <c r="BG168" s="22">
        <f t="shared" si="15"/>
        <v>-1.7763568394002505E-15</v>
      </c>
      <c r="BH168" s="22">
        <f t="shared" si="16"/>
        <v>-6.6613381477509392E-16</v>
      </c>
      <c r="BI168" s="22">
        <f t="shared" si="17"/>
        <v>6.6613381477509392E-16</v>
      </c>
    </row>
    <row r="169" spans="2:61" x14ac:dyDescent="0.25">
      <c r="B169" s="312">
        <v>4</v>
      </c>
      <c r="C169" s="312" t="s">
        <v>465</v>
      </c>
      <c r="D169" s="312" t="s">
        <v>946</v>
      </c>
      <c r="E169" s="312">
        <v>9</v>
      </c>
      <c r="F169" s="312">
        <v>4</v>
      </c>
      <c r="G169" s="313" t="s">
        <v>176</v>
      </c>
      <c r="H169" s="313"/>
      <c r="I169" s="346">
        <v>7563.89</v>
      </c>
      <c r="J169" s="317">
        <v>789.82000000000062</v>
      </c>
      <c r="K169" s="317">
        <v>6774.07</v>
      </c>
      <c r="L169" s="317">
        <v>0</v>
      </c>
      <c r="M169" s="317"/>
      <c r="N169" s="319">
        <v>0.17929999999999999</v>
      </c>
      <c r="O169" s="319">
        <v>0.1162</v>
      </c>
      <c r="P169" s="319">
        <v>0.3014</v>
      </c>
      <c r="Q169" s="319">
        <v>7.2800000000000004E-2</v>
      </c>
      <c r="R169" s="319">
        <v>2.3199999999999998E-2</v>
      </c>
      <c r="S169" s="319">
        <v>0.29459999999999997</v>
      </c>
      <c r="T169" s="319">
        <v>0</v>
      </c>
      <c r="U169" s="319">
        <v>0.63149999999999995</v>
      </c>
      <c r="V169" s="319">
        <v>2.0236999999999998</v>
      </c>
      <c r="W169" s="319">
        <v>0</v>
      </c>
      <c r="X169" s="319">
        <v>0.15049999999999999</v>
      </c>
      <c r="Y169" s="319">
        <v>0</v>
      </c>
      <c r="Z169" s="319">
        <v>2.8296000000000001</v>
      </c>
      <c r="AA169" s="319">
        <v>0.23300000000000001</v>
      </c>
      <c r="AB169" s="319">
        <v>0.40510000000000002</v>
      </c>
      <c r="AC169" s="319">
        <v>0.1215</v>
      </c>
      <c r="AD169" s="319">
        <v>0.1065</v>
      </c>
      <c r="AE169" s="319">
        <v>4.5199999999999997E-2</v>
      </c>
      <c r="AF169" s="319">
        <v>0.1197</v>
      </c>
      <c r="AG169" s="319">
        <v>2.9700000000000001E-2</v>
      </c>
      <c r="AH169" s="319">
        <v>0</v>
      </c>
      <c r="AI169" s="319">
        <v>0.94630000000000003</v>
      </c>
      <c r="AJ169" s="319">
        <v>1.5411999999999999</v>
      </c>
      <c r="AK169" s="319">
        <v>7.7399999999999997E-2</v>
      </c>
      <c r="AL169" s="319">
        <v>0.38069999999999998</v>
      </c>
      <c r="AM169" s="319">
        <v>3.4299999999999997E-2</v>
      </c>
      <c r="AN169" s="319">
        <v>5.5999999999999999E-3</v>
      </c>
      <c r="AO169" s="319">
        <v>9.5799999999999996E-2</v>
      </c>
      <c r="AP169" s="319">
        <v>0.58069999999999999</v>
      </c>
      <c r="AQ169" s="319">
        <v>0</v>
      </c>
      <c r="AR169" s="319">
        <v>0.43709999999999999</v>
      </c>
      <c r="AS169" s="319">
        <v>0.56730000000000003</v>
      </c>
      <c r="AT169" s="331">
        <v>0.28889999999999999</v>
      </c>
      <c r="AU169" s="336">
        <v>9.1781999999999986</v>
      </c>
      <c r="AV169" s="329">
        <v>11.912799999999999</v>
      </c>
      <c r="AW169" s="337">
        <v>6.0659999999999998</v>
      </c>
      <c r="AX169" s="334"/>
      <c r="AY169" s="323">
        <v>7.2272999999999996</v>
      </c>
      <c r="AZ169" s="323">
        <v>10.323099999999998</v>
      </c>
      <c r="BA169" s="323">
        <v>5.1730999999999998</v>
      </c>
      <c r="BB169" s="319"/>
      <c r="BC169" s="321">
        <f t="shared" si="12"/>
        <v>1.2699348304346021</v>
      </c>
      <c r="BD169" s="321">
        <f t="shared" si="13"/>
        <v>1.153994439654755</v>
      </c>
      <c r="BE169" s="321">
        <f t="shared" si="14"/>
        <v>1.1726044344783593</v>
      </c>
      <c r="BG169" s="22">
        <f t="shared" si="15"/>
        <v>0</v>
      </c>
      <c r="BH169" s="22">
        <f t="shared" si="16"/>
        <v>0</v>
      </c>
      <c r="BI169" s="22">
        <f t="shared" si="17"/>
        <v>0</v>
      </c>
    </row>
    <row r="170" spans="2:61" x14ac:dyDescent="0.25">
      <c r="B170" s="312">
        <v>6</v>
      </c>
      <c r="C170" s="312" t="s">
        <v>469</v>
      </c>
      <c r="D170" s="312" t="s">
        <v>946</v>
      </c>
      <c r="E170" s="312">
        <v>9</v>
      </c>
      <c r="F170" s="312">
        <v>3</v>
      </c>
      <c r="G170" s="313" t="s">
        <v>177</v>
      </c>
      <c r="H170" s="313"/>
      <c r="I170" s="346">
        <v>5692.97</v>
      </c>
      <c r="J170" s="317">
        <v>171.10000000000036</v>
      </c>
      <c r="K170" s="317">
        <v>5091.87</v>
      </c>
      <c r="L170" s="317">
        <v>430</v>
      </c>
      <c r="M170" s="317"/>
      <c r="N170" s="319">
        <v>0.17699999999999999</v>
      </c>
      <c r="O170" s="319">
        <v>0.10150000000000001</v>
      </c>
      <c r="P170" s="319">
        <v>0.28089999999999998</v>
      </c>
      <c r="Q170" s="319">
        <v>8.3299999999999999E-2</v>
      </c>
      <c r="R170" s="319">
        <v>2.3199999999999998E-2</v>
      </c>
      <c r="S170" s="319">
        <v>0.25840000000000002</v>
      </c>
      <c r="T170" s="319">
        <v>0</v>
      </c>
      <c r="U170" s="319">
        <v>0.63149999999999995</v>
      </c>
      <c r="V170" s="319">
        <v>1.8293999999999999</v>
      </c>
      <c r="W170" s="319">
        <v>3.5299999999999998E-2</v>
      </c>
      <c r="X170" s="319">
        <v>0.15</v>
      </c>
      <c r="Y170" s="319">
        <v>0</v>
      </c>
      <c r="Z170" s="319">
        <v>2.1236000000000002</v>
      </c>
      <c r="AA170" s="319">
        <v>0.2293</v>
      </c>
      <c r="AB170" s="319">
        <v>0.36409999999999998</v>
      </c>
      <c r="AC170" s="319">
        <v>0.1188</v>
      </c>
      <c r="AD170" s="319">
        <v>0.154</v>
      </c>
      <c r="AE170" s="319">
        <v>4.4999999999999998E-2</v>
      </c>
      <c r="AF170" s="319">
        <v>9.9400000000000002E-2</v>
      </c>
      <c r="AG170" s="319">
        <v>2.9700000000000001E-2</v>
      </c>
      <c r="AH170" s="319">
        <v>0</v>
      </c>
      <c r="AI170" s="319">
        <v>1.2839</v>
      </c>
      <c r="AJ170" s="319">
        <v>1.6929000000000001</v>
      </c>
      <c r="AK170" s="319">
        <v>9.2299999999999993E-2</v>
      </c>
      <c r="AL170" s="319">
        <v>0.3594</v>
      </c>
      <c r="AM170" s="319">
        <v>3.39E-2</v>
      </c>
      <c r="AN170" s="319">
        <v>5.4999999999999997E-3</v>
      </c>
      <c r="AO170" s="319">
        <v>0.15140000000000001</v>
      </c>
      <c r="AP170" s="319">
        <v>0.51229999999999998</v>
      </c>
      <c r="AQ170" s="319">
        <v>0</v>
      </c>
      <c r="AR170" s="319">
        <v>0.42449999999999999</v>
      </c>
      <c r="AS170" s="319">
        <v>0.54330000000000001</v>
      </c>
      <c r="AT170" s="331">
        <v>0.25009999999999999</v>
      </c>
      <c r="AU170" s="336">
        <v>8.9134999999999991</v>
      </c>
      <c r="AV170" s="329">
        <v>11.409299999999998</v>
      </c>
      <c r="AW170" s="337">
        <v>5.2514999999999983</v>
      </c>
      <c r="AX170" s="334"/>
      <c r="AY170" s="323">
        <v>7.0187999999999997</v>
      </c>
      <c r="AZ170" s="323">
        <v>9.8791999999999991</v>
      </c>
      <c r="BA170" s="323">
        <v>4.5878999999999994</v>
      </c>
      <c r="BB170" s="319"/>
      <c r="BC170" s="321">
        <f t="shared" si="12"/>
        <v>1.2699464295891034</v>
      </c>
      <c r="BD170" s="321">
        <f t="shared" si="13"/>
        <v>1.1548809620212162</v>
      </c>
      <c r="BE170" s="321">
        <f t="shared" si="14"/>
        <v>1.1446413391747856</v>
      </c>
      <c r="BG170" s="22">
        <f t="shared" si="15"/>
        <v>-8.8817841970012523E-16</v>
      </c>
      <c r="BH170" s="22">
        <f t="shared" si="16"/>
        <v>-1.8596235662471372E-15</v>
      </c>
      <c r="BI170" s="22">
        <f t="shared" si="17"/>
        <v>-7.4940054162198066E-16</v>
      </c>
    </row>
    <row r="171" spans="2:61" x14ac:dyDescent="0.25">
      <c r="B171" s="312">
        <v>7</v>
      </c>
      <c r="C171" s="312" t="s">
        <v>471</v>
      </c>
      <c r="D171" s="312" t="s">
        <v>946</v>
      </c>
      <c r="E171" s="312">
        <v>9</v>
      </c>
      <c r="F171" s="312">
        <v>2</v>
      </c>
      <c r="G171" s="313" t="s">
        <v>178</v>
      </c>
      <c r="H171" s="313"/>
      <c r="I171" s="346">
        <v>4220.8</v>
      </c>
      <c r="J171" s="317">
        <v>466.40000000000009</v>
      </c>
      <c r="K171" s="317">
        <v>3754.4</v>
      </c>
      <c r="L171" s="317">
        <v>0</v>
      </c>
      <c r="M171" s="317"/>
      <c r="N171" s="319">
        <v>0.1653</v>
      </c>
      <c r="O171" s="319">
        <v>0.109</v>
      </c>
      <c r="P171" s="319">
        <v>0.25540000000000002</v>
      </c>
      <c r="Q171" s="319">
        <v>7.2999999999999995E-2</v>
      </c>
      <c r="R171" s="319">
        <v>2.0799999999999999E-2</v>
      </c>
      <c r="S171" s="319">
        <v>0.21460000000000001</v>
      </c>
      <c r="T171" s="319">
        <v>0</v>
      </c>
      <c r="U171" s="319">
        <v>0.63149999999999995</v>
      </c>
      <c r="V171" s="319">
        <v>1.8255999999999999</v>
      </c>
      <c r="W171" s="319">
        <v>0</v>
      </c>
      <c r="X171" s="319">
        <v>0.13489999999999999</v>
      </c>
      <c r="Y171" s="319">
        <v>0</v>
      </c>
      <c r="Z171" s="319">
        <v>1.8585</v>
      </c>
      <c r="AA171" s="319">
        <v>0.21510000000000001</v>
      </c>
      <c r="AB171" s="319">
        <v>0.3765</v>
      </c>
      <c r="AC171" s="319">
        <v>0.13020000000000001</v>
      </c>
      <c r="AD171" s="319">
        <v>0.115</v>
      </c>
      <c r="AE171" s="319">
        <v>4.0500000000000001E-2</v>
      </c>
      <c r="AF171" s="319">
        <v>7.8299999999999995E-2</v>
      </c>
      <c r="AG171" s="319">
        <v>3.1E-2</v>
      </c>
      <c r="AH171" s="319">
        <v>0</v>
      </c>
      <c r="AI171" s="319">
        <v>1.7609999999999999</v>
      </c>
      <c r="AJ171" s="319">
        <v>1.3404</v>
      </c>
      <c r="AK171" s="319">
        <v>8.5300000000000001E-2</v>
      </c>
      <c r="AL171" s="319">
        <v>0.38669999999999999</v>
      </c>
      <c r="AM171" s="319">
        <v>3.8100000000000002E-2</v>
      </c>
      <c r="AN171" s="319">
        <v>6.1999999999999998E-3</v>
      </c>
      <c r="AO171" s="319">
        <v>0.1925</v>
      </c>
      <c r="AP171" s="319">
        <v>0.75819999999999999</v>
      </c>
      <c r="AQ171" s="319">
        <v>0</v>
      </c>
      <c r="AR171" s="319">
        <v>0.41299999999999998</v>
      </c>
      <c r="AS171" s="319">
        <v>0.54220000000000002</v>
      </c>
      <c r="AT171" s="331">
        <v>0.22900000000000001</v>
      </c>
      <c r="AU171" s="336">
        <v>8.6728000000000005</v>
      </c>
      <c r="AV171" s="329">
        <v>11.3858</v>
      </c>
      <c r="AW171" s="337">
        <v>4.8081999999999994</v>
      </c>
      <c r="AX171" s="334"/>
      <c r="AY171" s="323">
        <v>6.8293000000000008</v>
      </c>
      <c r="AZ171" s="323">
        <v>9.8414999999999999</v>
      </c>
      <c r="BA171" s="323">
        <v>4.2416999999999998</v>
      </c>
      <c r="BB171" s="319"/>
      <c r="BC171" s="321">
        <f t="shared" si="12"/>
        <v>1.2699398181365587</v>
      </c>
      <c r="BD171" s="321">
        <f t="shared" si="13"/>
        <v>1.1569171366153532</v>
      </c>
      <c r="BE171" s="321">
        <f t="shared" si="14"/>
        <v>1.1335549425937712</v>
      </c>
      <c r="BG171" s="22">
        <f t="shared" si="15"/>
        <v>1.0547118733938987E-15</v>
      </c>
      <c r="BH171" s="22">
        <f t="shared" si="16"/>
        <v>-3.8857805861880479E-16</v>
      </c>
      <c r="BI171" s="22">
        <f t="shared" si="17"/>
        <v>-3.8857805861880479E-16</v>
      </c>
    </row>
    <row r="172" spans="2:61" x14ac:dyDescent="0.25">
      <c r="B172" s="312">
        <v>8</v>
      </c>
      <c r="C172" s="312" t="s">
        <v>473</v>
      </c>
      <c r="D172" s="312" t="s">
        <v>946</v>
      </c>
      <c r="E172" s="312">
        <v>9</v>
      </c>
      <c r="F172" s="312">
        <v>3</v>
      </c>
      <c r="G172" s="313" t="s">
        <v>180</v>
      </c>
      <c r="H172" s="313"/>
      <c r="I172" s="346">
        <v>6173.06</v>
      </c>
      <c r="J172" s="317">
        <v>686.40000000000055</v>
      </c>
      <c r="K172" s="317">
        <v>5486.66</v>
      </c>
      <c r="L172" s="317">
        <v>0</v>
      </c>
      <c r="M172" s="317"/>
      <c r="N172" s="319">
        <v>0.1239</v>
      </c>
      <c r="O172" s="319">
        <v>9.3600000000000003E-2</v>
      </c>
      <c r="P172" s="319">
        <v>0.2757</v>
      </c>
      <c r="Q172" s="319">
        <v>7.5700000000000003E-2</v>
      </c>
      <c r="R172" s="319">
        <v>1.6199999999999999E-2</v>
      </c>
      <c r="S172" s="319">
        <v>0.24940000000000001</v>
      </c>
      <c r="T172" s="319">
        <v>0</v>
      </c>
      <c r="U172" s="319">
        <v>0.63149999999999995</v>
      </c>
      <c r="V172" s="319">
        <v>1.6978</v>
      </c>
      <c r="W172" s="319">
        <v>3.2800000000000003E-2</v>
      </c>
      <c r="X172" s="319">
        <v>0.1845</v>
      </c>
      <c r="Y172" s="319">
        <v>0</v>
      </c>
      <c r="Z172" s="319">
        <v>2.0459000000000001</v>
      </c>
      <c r="AA172" s="319">
        <v>0.16400000000000001</v>
      </c>
      <c r="AB172" s="319">
        <v>0.33579999999999999</v>
      </c>
      <c r="AC172" s="319">
        <v>0.1217</v>
      </c>
      <c r="AD172" s="319">
        <v>0.1255</v>
      </c>
      <c r="AE172" s="319">
        <v>3.15E-2</v>
      </c>
      <c r="AF172" s="319">
        <v>9.8299999999999998E-2</v>
      </c>
      <c r="AG172" s="319">
        <v>3.0200000000000001E-2</v>
      </c>
      <c r="AH172" s="319">
        <v>0</v>
      </c>
      <c r="AI172" s="319">
        <v>1.1572</v>
      </c>
      <c r="AJ172" s="319">
        <v>1.5705</v>
      </c>
      <c r="AK172" s="319">
        <v>8.3500000000000005E-2</v>
      </c>
      <c r="AL172" s="319">
        <v>0.39889999999999998</v>
      </c>
      <c r="AM172" s="319">
        <v>3.7400000000000003E-2</v>
      </c>
      <c r="AN172" s="319">
        <v>6.1000000000000004E-3</v>
      </c>
      <c r="AO172" s="319">
        <v>0.40250000000000002</v>
      </c>
      <c r="AP172" s="319">
        <v>0.82920000000000005</v>
      </c>
      <c r="AQ172" s="319">
        <v>0</v>
      </c>
      <c r="AR172" s="319">
        <v>0.41299999999999998</v>
      </c>
      <c r="AS172" s="319">
        <v>0.54100000000000004</v>
      </c>
      <c r="AT172" s="331">
        <v>0.23649999999999999</v>
      </c>
      <c r="AU172" s="336">
        <v>8.6725000000000012</v>
      </c>
      <c r="AV172" s="329">
        <v>11.360300000000001</v>
      </c>
      <c r="AW172" s="337">
        <v>4.9669000000000016</v>
      </c>
      <c r="AX172" s="334"/>
      <c r="AY172" s="323">
        <v>6.9057000000000004</v>
      </c>
      <c r="AZ172" s="323">
        <v>9.5849000000000011</v>
      </c>
      <c r="BA172" s="323">
        <v>4.1638000000000002</v>
      </c>
      <c r="BB172" s="319"/>
      <c r="BC172" s="321">
        <f t="shared" si="12"/>
        <v>1.2558466194592874</v>
      </c>
      <c r="BD172" s="321">
        <f t="shared" si="13"/>
        <v>1.1852288495445962</v>
      </c>
      <c r="BE172" s="321">
        <f t="shared" si="14"/>
        <v>1.1928766991690287</v>
      </c>
      <c r="BG172" s="22">
        <f t="shared" si="15"/>
        <v>1.5543122344752192E-15</v>
      </c>
      <c r="BH172" s="22">
        <f t="shared" si="16"/>
        <v>6.3837823915946501E-16</v>
      </c>
      <c r="BI172" s="22">
        <f t="shared" si="17"/>
        <v>1.9706458687096529E-15</v>
      </c>
    </row>
    <row r="173" spans="2:61" x14ac:dyDescent="0.25">
      <c r="B173" s="312">
        <v>10</v>
      </c>
      <c r="C173" s="312" t="s">
        <v>477</v>
      </c>
      <c r="D173" s="312" t="s">
        <v>946</v>
      </c>
      <c r="E173" s="312">
        <v>9</v>
      </c>
      <c r="F173" s="312">
        <v>3</v>
      </c>
      <c r="G173" s="313" t="s">
        <v>181</v>
      </c>
      <c r="H173" s="313"/>
      <c r="I173" s="346">
        <v>6437.8</v>
      </c>
      <c r="J173" s="317">
        <v>534.80000000000018</v>
      </c>
      <c r="K173" s="317">
        <v>5736.2</v>
      </c>
      <c r="L173" s="317">
        <v>166.8</v>
      </c>
      <c r="M173" s="317"/>
      <c r="N173" s="319">
        <v>0.18060000000000001</v>
      </c>
      <c r="O173" s="319">
        <v>8.9800000000000005E-2</v>
      </c>
      <c r="P173" s="319">
        <v>0.27389999999999998</v>
      </c>
      <c r="Q173" s="319">
        <v>7.4800000000000005E-2</v>
      </c>
      <c r="R173" s="319">
        <v>2.0500000000000001E-2</v>
      </c>
      <c r="S173" s="319">
        <v>0.2414</v>
      </c>
      <c r="T173" s="319">
        <v>0</v>
      </c>
      <c r="U173" s="319">
        <v>0.63149999999999995</v>
      </c>
      <c r="V173" s="319">
        <v>1.7923</v>
      </c>
      <c r="W173" s="319">
        <v>0</v>
      </c>
      <c r="X173" s="319">
        <v>0.13020000000000001</v>
      </c>
      <c r="Y173" s="319">
        <v>0</v>
      </c>
      <c r="Z173" s="319">
        <v>1.782</v>
      </c>
      <c r="AA173" s="319">
        <v>0.2341</v>
      </c>
      <c r="AB173" s="319">
        <v>0.32200000000000001</v>
      </c>
      <c r="AC173" s="319">
        <v>0.1207</v>
      </c>
      <c r="AD173" s="319">
        <v>0.12</v>
      </c>
      <c r="AE173" s="319">
        <v>3.9800000000000002E-2</v>
      </c>
      <c r="AF173" s="319">
        <v>9.5600000000000004E-2</v>
      </c>
      <c r="AG173" s="319">
        <v>0.03</v>
      </c>
      <c r="AH173" s="319">
        <v>0</v>
      </c>
      <c r="AI173" s="319">
        <v>1.8917999999999999</v>
      </c>
      <c r="AJ173" s="319">
        <v>1.3754999999999999</v>
      </c>
      <c r="AK173" s="319">
        <v>7.8899999999999998E-2</v>
      </c>
      <c r="AL173" s="319">
        <v>0.28520000000000001</v>
      </c>
      <c r="AM173" s="319">
        <v>3.7600000000000001E-2</v>
      </c>
      <c r="AN173" s="319">
        <v>6.1000000000000004E-3</v>
      </c>
      <c r="AO173" s="319">
        <v>0.19400000000000001</v>
      </c>
      <c r="AP173" s="319">
        <v>0.5766</v>
      </c>
      <c r="AQ173" s="319">
        <v>0</v>
      </c>
      <c r="AR173" s="319">
        <v>0.4128</v>
      </c>
      <c r="AS173" s="319">
        <v>0.53120000000000001</v>
      </c>
      <c r="AT173" s="331">
        <v>0.22550000000000001</v>
      </c>
      <c r="AU173" s="336">
        <v>8.6688000000000009</v>
      </c>
      <c r="AV173" s="329">
        <v>11.1561</v>
      </c>
      <c r="AW173" s="337">
        <v>4.7350000000000003</v>
      </c>
      <c r="AX173" s="334"/>
      <c r="AY173" s="323">
        <v>6.8265000000000002</v>
      </c>
      <c r="AZ173" s="323">
        <v>9.6157000000000004</v>
      </c>
      <c r="BA173" s="323">
        <v>4.1424000000000003</v>
      </c>
      <c r="BB173" s="319"/>
      <c r="BC173" s="321">
        <f t="shared" si="12"/>
        <v>1.2698747528015821</v>
      </c>
      <c r="BD173" s="321">
        <f t="shared" si="13"/>
        <v>1.1601963455598656</v>
      </c>
      <c r="BE173" s="321">
        <f t="shared" si="14"/>
        <v>1.1430571649285439</v>
      </c>
      <c r="BG173" s="22">
        <f t="shared" si="15"/>
        <v>1.3322676295501878E-15</v>
      </c>
      <c r="BH173" s="22">
        <f t="shared" si="16"/>
        <v>0</v>
      </c>
      <c r="BI173" s="22">
        <f t="shared" si="17"/>
        <v>-4.163336342344337E-16</v>
      </c>
    </row>
    <row r="174" spans="2:61" x14ac:dyDescent="0.25">
      <c r="B174" s="312">
        <v>11</v>
      </c>
      <c r="C174" s="312" t="s">
        <v>479</v>
      </c>
      <c r="D174" s="312" t="s">
        <v>946</v>
      </c>
      <c r="E174" s="312">
        <v>9</v>
      </c>
      <c r="F174" s="312">
        <v>3</v>
      </c>
      <c r="G174" s="313" t="s">
        <v>182</v>
      </c>
      <c r="H174" s="313"/>
      <c r="I174" s="346">
        <v>6401.5</v>
      </c>
      <c r="J174" s="317">
        <v>702.19999999999982</v>
      </c>
      <c r="K174" s="317">
        <v>5699.3</v>
      </c>
      <c r="L174" s="317">
        <v>0</v>
      </c>
      <c r="M174" s="317"/>
      <c r="N174" s="319">
        <v>0.1794</v>
      </c>
      <c r="O174" s="319">
        <v>9.0300000000000005E-2</v>
      </c>
      <c r="P174" s="319">
        <v>0.27729999999999999</v>
      </c>
      <c r="Q174" s="319">
        <v>7.5499999999999998E-2</v>
      </c>
      <c r="R174" s="319">
        <v>2.06E-2</v>
      </c>
      <c r="S174" s="319">
        <v>0.24279999999999999</v>
      </c>
      <c r="T174" s="319">
        <v>0</v>
      </c>
      <c r="U174" s="319">
        <v>0.63149999999999995</v>
      </c>
      <c r="V174" s="319">
        <v>1.804</v>
      </c>
      <c r="W174" s="319">
        <v>0</v>
      </c>
      <c r="X174" s="319">
        <v>0.13339999999999999</v>
      </c>
      <c r="Y174" s="319">
        <v>0</v>
      </c>
      <c r="Z174" s="319">
        <v>1.7323</v>
      </c>
      <c r="AA174" s="319">
        <v>0.23300000000000001</v>
      </c>
      <c r="AB174" s="319">
        <v>0.32379999999999998</v>
      </c>
      <c r="AC174" s="319">
        <v>0.12230000000000001</v>
      </c>
      <c r="AD174" s="319">
        <v>0.1205</v>
      </c>
      <c r="AE174" s="319">
        <v>4.0099999999999997E-2</v>
      </c>
      <c r="AF174" s="319">
        <v>9.6199999999999994E-2</v>
      </c>
      <c r="AG174" s="319">
        <v>3.0099999999999998E-2</v>
      </c>
      <c r="AH174" s="319">
        <v>0</v>
      </c>
      <c r="AI174" s="319">
        <v>1.8655999999999999</v>
      </c>
      <c r="AJ174" s="319">
        <v>1.4125000000000001</v>
      </c>
      <c r="AK174" s="319">
        <v>8.3900000000000002E-2</v>
      </c>
      <c r="AL174" s="319">
        <v>0.3594</v>
      </c>
      <c r="AM174" s="319">
        <v>3.6200000000000003E-2</v>
      </c>
      <c r="AN174" s="319">
        <v>5.8999999999999999E-3</v>
      </c>
      <c r="AO174" s="319">
        <v>0.14879999999999999</v>
      </c>
      <c r="AP174" s="319">
        <v>0.5585</v>
      </c>
      <c r="AQ174" s="319">
        <v>0</v>
      </c>
      <c r="AR174" s="319">
        <v>0.41310000000000002</v>
      </c>
      <c r="AS174" s="319">
        <v>0.53120000000000001</v>
      </c>
      <c r="AT174" s="331">
        <v>0.2238</v>
      </c>
      <c r="AU174" s="336">
        <v>8.6744999999999983</v>
      </c>
      <c r="AV174" s="329">
        <v>11.155099999999999</v>
      </c>
      <c r="AW174" s="337">
        <v>4.6988999999999983</v>
      </c>
      <c r="AX174" s="334"/>
      <c r="AY174" s="323">
        <v>6.8468000000000009</v>
      </c>
      <c r="AZ174" s="323">
        <v>9.6313000000000013</v>
      </c>
      <c r="BA174" s="323">
        <v>4.1144000000000016</v>
      </c>
      <c r="BB174" s="319"/>
      <c r="BC174" s="321">
        <f t="shared" si="12"/>
        <v>1.2669422211836183</v>
      </c>
      <c r="BD174" s="321">
        <f t="shared" si="13"/>
        <v>1.1582133253039566</v>
      </c>
      <c r="BE174" s="321">
        <f t="shared" si="14"/>
        <v>1.1420620260548309</v>
      </c>
      <c r="BG174" s="22">
        <f t="shared" si="15"/>
        <v>0</v>
      </c>
      <c r="BH174" s="22">
        <f t="shared" si="16"/>
        <v>0</v>
      </c>
      <c r="BI174" s="22">
        <f t="shared" si="17"/>
        <v>0</v>
      </c>
    </row>
    <row r="175" spans="2:61" x14ac:dyDescent="0.25">
      <c r="B175" s="312">
        <v>12</v>
      </c>
      <c r="C175" s="312" t="s">
        <v>481</v>
      </c>
      <c r="D175" s="312" t="s">
        <v>946</v>
      </c>
      <c r="E175" s="312">
        <v>9</v>
      </c>
      <c r="F175" s="312">
        <v>3</v>
      </c>
      <c r="G175" s="313" t="s">
        <v>183</v>
      </c>
      <c r="H175" s="313"/>
      <c r="I175" s="346">
        <v>6416.8</v>
      </c>
      <c r="J175" s="317">
        <v>705.10000000000036</v>
      </c>
      <c r="K175" s="317">
        <v>5711.7</v>
      </c>
      <c r="L175" s="317">
        <v>0</v>
      </c>
      <c r="M175" s="317"/>
      <c r="N175" s="319">
        <v>0.16239999999999999</v>
      </c>
      <c r="O175" s="319">
        <v>0.1032</v>
      </c>
      <c r="P175" s="319">
        <v>0.27529999999999999</v>
      </c>
      <c r="Q175" s="319">
        <v>7.5499999999999998E-2</v>
      </c>
      <c r="R175" s="319">
        <v>2.06E-2</v>
      </c>
      <c r="S175" s="319">
        <v>0.2422</v>
      </c>
      <c r="T175" s="319">
        <v>0</v>
      </c>
      <c r="U175" s="319">
        <v>0.63149999999999995</v>
      </c>
      <c r="V175" s="319">
        <v>1.6309</v>
      </c>
      <c r="W175" s="319">
        <v>3.15E-2</v>
      </c>
      <c r="X175" s="319">
        <v>0.1331</v>
      </c>
      <c r="Y175" s="319">
        <v>0</v>
      </c>
      <c r="Z175" s="319">
        <v>2.0695999999999999</v>
      </c>
      <c r="AA175" s="319">
        <v>0.21229999999999999</v>
      </c>
      <c r="AB175" s="319">
        <v>0.36969999999999997</v>
      </c>
      <c r="AC175" s="319">
        <v>0.1235</v>
      </c>
      <c r="AD175" s="319">
        <v>0.12529999999999999</v>
      </c>
      <c r="AE175" s="319">
        <v>0.04</v>
      </c>
      <c r="AF175" s="319">
        <v>9.5899999999999999E-2</v>
      </c>
      <c r="AG175" s="319">
        <v>0.03</v>
      </c>
      <c r="AH175" s="319">
        <v>0</v>
      </c>
      <c r="AI175" s="319">
        <v>1.2831999999999999</v>
      </c>
      <c r="AJ175" s="319">
        <v>1.3853</v>
      </c>
      <c r="AK175" s="319">
        <v>8.4199999999999997E-2</v>
      </c>
      <c r="AL175" s="319">
        <v>0.34499999999999997</v>
      </c>
      <c r="AM175" s="319">
        <v>3.8800000000000001E-2</v>
      </c>
      <c r="AN175" s="319">
        <v>6.3E-3</v>
      </c>
      <c r="AO175" s="319">
        <v>0.20569999999999999</v>
      </c>
      <c r="AP175" s="319">
        <v>0.54369999999999996</v>
      </c>
      <c r="AQ175" s="319">
        <v>0</v>
      </c>
      <c r="AR175" s="319">
        <v>0.40289999999999998</v>
      </c>
      <c r="AS175" s="319">
        <v>0.51319999999999999</v>
      </c>
      <c r="AT175" s="331">
        <v>0.24199999999999999</v>
      </c>
      <c r="AU175" s="336">
        <v>8.4615000000000009</v>
      </c>
      <c r="AV175" s="329">
        <v>10.777899999999999</v>
      </c>
      <c r="AW175" s="337">
        <v>5.0814000000000004</v>
      </c>
      <c r="AX175" s="334"/>
      <c r="AY175" s="323">
        <v>6.6631000000000018</v>
      </c>
      <c r="AZ175" s="323">
        <v>9.2100000000000009</v>
      </c>
      <c r="BA175" s="323">
        <v>4.3402000000000012</v>
      </c>
      <c r="BB175" s="319"/>
      <c r="BC175" s="321">
        <f t="shared" si="12"/>
        <v>1.2699043988533865</v>
      </c>
      <c r="BD175" s="321">
        <f t="shared" si="13"/>
        <v>1.1702388707926166</v>
      </c>
      <c r="BE175" s="321">
        <f t="shared" si="14"/>
        <v>1.1707755402976818</v>
      </c>
      <c r="BG175" s="22">
        <f t="shared" si="15"/>
        <v>3.1641356201816961E-15</v>
      </c>
      <c r="BH175" s="22">
        <f t="shared" si="16"/>
        <v>0</v>
      </c>
      <c r="BI175" s="22">
        <f t="shared" si="17"/>
        <v>-6.106226635438361E-16</v>
      </c>
    </row>
    <row r="176" spans="2:61" x14ac:dyDescent="0.25">
      <c r="B176" s="312">
        <v>13</v>
      </c>
      <c r="C176" s="312" t="s">
        <v>483</v>
      </c>
      <c r="D176" s="312" t="s">
        <v>946</v>
      </c>
      <c r="E176" s="312">
        <v>9</v>
      </c>
      <c r="F176" s="312">
        <v>1</v>
      </c>
      <c r="G176" s="313" t="s">
        <v>184</v>
      </c>
      <c r="H176" s="313"/>
      <c r="I176" s="346">
        <v>6528.35</v>
      </c>
      <c r="J176" s="317">
        <v>423.75</v>
      </c>
      <c r="K176" s="317">
        <v>5946.5</v>
      </c>
      <c r="L176" s="317">
        <v>158.1</v>
      </c>
      <c r="M176" s="317"/>
      <c r="N176" s="319">
        <v>8.8099999999999998E-2</v>
      </c>
      <c r="O176" s="319">
        <v>4.0099999999999997E-2</v>
      </c>
      <c r="P176" s="319">
        <v>0.29370000000000002</v>
      </c>
      <c r="Q176" s="319">
        <v>6.3200000000000006E-2</v>
      </c>
      <c r="R176" s="319">
        <v>2.1999999999999999E-2</v>
      </c>
      <c r="S176" s="319">
        <v>0.18990000000000001</v>
      </c>
      <c r="T176" s="319">
        <v>0</v>
      </c>
      <c r="U176" s="319">
        <v>0.63149999999999995</v>
      </c>
      <c r="V176" s="319">
        <v>1.1526000000000001</v>
      </c>
      <c r="W176" s="319">
        <v>0</v>
      </c>
      <c r="X176" s="319">
        <v>0.1163</v>
      </c>
      <c r="Y176" s="319">
        <v>0</v>
      </c>
      <c r="Z176" s="319">
        <v>1.5318000000000001</v>
      </c>
      <c r="AA176" s="319">
        <v>0.12659999999999999</v>
      </c>
      <c r="AB176" s="319">
        <v>0.1444</v>
      </c>
      <c r="AC176" s="319">
        <v>0.1265</v>
      </c>
      <c r="AD176" s="319">
        <v>6.7000000000000004E-2</v>
      </c>
      <c r="AE176" s="319">
        <v>4.2900000000000001E-2</v>
      </c>
      <c r="AF176" s="319">
        <v>4.1000000000000002E-2</v>
      </c>
      <c r="AG176" s="319">
        <v>0</v>
      </c>
      <c r="AH176" s="319">
        <v>0</v>
      </c>
      <c r="AI176" s="319">
        <v>2.1714000000000002</v>
      </c>
      <c r="AJ176" s="319">
        <v>1.1459999999999999</v>
      </c>
      <c r="AK176" s="319">
        <v>8.8800000000000004E-2</v>
      </c>
      <c r="AL176" s="319">
        <v>0.58720000000000006</v>
      </c>
      <c r="AM176" s="319">
        <v>3.8300000000000001E-2</v>
      </c>
      <c r="AN176" s="319">
        <v>6.1999999999999998E-3</v>
      </c>
      <c r="AO176" s="319">
        <v>6.4199999999999993E-2</v>
      </c>
      <c r="AP176" s="319">
        <v>0.5222</v>
      </c>
      <c r="AQ176" s="319">
        <v>0</v>
      </c>
      <c r="AR176" s="319">
        <v>0.38140000000000002</v>
      </c>
      <c r="AS176" s="319">
        <v>0.46510000000000001</v>
      </c>
      <c r="AT176" s="331">
        <v>0.18290000000000001</v>
      </c>
      <c r="AU176" s="336">
        <v>8.0084999999999997</v>
      </c>
      <c r="AV176" s="329">
        <v>9.7669999999999995</v>
      </c>
      <c r="AW176" s="337">
        <v>3.8412000000000006</v>
      </c>
      <c r="AX176" s="334"/>
      <c r="AY176" s="323">
        <v>6.0818999999999992</v>
      </c>
      <c r="AZ176" s="323">
        <v>8.0916999999999994</v>
      </c>
      <c r="BA176" s="323">
        <v>3.4810999999999996</v>
      </c>
      <c r="BB176" s="319"/>
      <c r="BC176" s="321">
        <f t="shared" si="12"/>
        <v>1.3167760074976571</v>
      </c>
      <c r="BD176" s="321">
        <f t="shared" si="13"/>
        <v>1.2070393118874896</v>
      </c>
      <c r="BE176" s="321">
        <f t="shared" si="14"/>
        <v>1.1034443135790415</v>
      </c>
      <c r="BG176" s="22">
        <f t="shared" si="15"/>
        <v>-7.7715611723760958E-16</v>
      </c>
      <c r="BH176" s="22">
        <f t="shared" si="16"/>
        <v>9.298117831235686E-16</v>
      </c>
      <c r="BI176" s="22">
        <f t="shared" si="17"/>
        <v>2.6367796834847468E-16</v>
      </c>
    </row>
    <row r="177" spans="2:61" x14ac:dyDescent="0.25">
      <c r="B177" s="312">
        <v>25</v>
      </c>
      <c r="C177" s="312" t="s">
        <v>507</v>
      </c>
      <c r="D177" s="312"/>
      <c r="E177" s="312">
        <v>9</v>
      </c>
      <c r="F177" s="312">
        <v>4</v>
      </c>
      <c r="G177" s="313" t="s">
        <v>186</v>
      </c>
      <c r="H177" s="313"/>
      <c r="I177" s="346">
        <v>7846.3</v>
      </c>
      <c r="J177" s="317">
        <v>689.30000000000018</v>
      </c>
      <c r="K177" s="317">
        <v>7027.5</v>
      </c>
      <c r="L177" s="317">
        <v>129.5</v>
      </c>
      <c r="M177" s="317"/>
      <c r="N177" s="319">
        <v>0.17050000000000001</v>
      </c>
      <c r="O177" s="319">
        <v>9.7900000000000001E-2</v>
      </c>
      <c r="P177" s="319">
        <v>0.3044</v>
      </c>
      <c r="Q177" s="319">
        <v>6.6199999999999995E-2</v>
      </c>
      <c r="R177" s="319">
        <v>2.24E-2</v>
      </c>
      <c r="S177" s="319">
        <v>0.2918</v>
      </c>
      <c r="T177" s="319">
        <v>0</v>
      </c>
      <c r="U177" s="319">
        <v>0.63149999999999995</v>
      </c>
      <c r="V177" s="319">
        <v>1.8131999999999999</v>
      </c>
      <c r="W177" s="319">
        <v>2.5600000000000001E-2</v>
      </c>
      <c r="X177" s="319">
        <v>0.1411</v>
      </c>
      <c r="Y177" s="319">
        <v>0</v>
      </c>
      <c r="Z177" s="319">
        <v>2.9615999999999998</v>
      </c>
      <c r="AA177" s="319">
        <v>0.22109999999999999</v>
      </c>
      <c r="AB177" s="319">
        <v>0.35110000000000002</v>
      </c>
      <c r="AC177" s="319">
        <v>0.1065</v>
      </c>
      <c r="AD177" s="319">
        <v>8.4500000000000006E-2</v>
      </c>
      <c r="AE177" s="319">
        <v>4.36E-2</v>
      </c>
      <c r="AF177" s="319">
        <v>0.11600000000000001</v>
      </c>
      <c r="AG177" s="319">
        <v>2.8799999999999999E-2</v>
      </c>
      <c r="AH177" s="319">
        <v>0</v>
      </c>
      <c r="AI177" s="319">
        <v>0.71689999999999998</v>
      </c>
      <c r="AJ177" s="319">
        <v>1.7350000000000001</v>
      </c>
      <c r="AK177" s="319">
        <v>8.8300000000000003E-2</v>
      </c>
      <c r="AL177" s="319">
        <v>0.29380000000000001</v>
      </c>
      <c r="AM177" s="319">
        <v>3.2500000000000001E-2</v>
      </c>
      <c r="AN177" s="319">
        <v>5.3E-3</v>
      </c>
      <c r="AO177" s="319">
        <v>0.1207</v>
      </c>
      <c r="AP177" s="319">
        <v>0.49199999999999999</v>
      </c>
      <c r="AQ177" s="319">
        <v>0</v>
      </c>
      <c r="AR177" s="319">
        <v>0.43159999999999998</v>
      </c>
      <c r="AS177" s="319">
        <v>0.54810000000000003</v>
      </c>
      <c r="AT177" s="331">
        <v>0.2883</v>
      </c>
      <c r="AU177" s="336">
        <v>9.0630999999999986</v>
      </c>
      <c r="AV177" s="329">
        <v>11.510399999999999</v>
      </c>
      <c r="AW177" s="337">
        <v>6.0533999999999999</v>
      </c>
      <c r="AX177" s="334"/>
      <c r="AY177" s="323">
        <v>7.1374000000000004</v>
      </c>
      <c r="AZ177" s="323">
        <v>9.9029000000000007</v>
      </c>
      <c r="BA177" s="323">
        <v>5.1220999999999997</v>
      </c>
      <c r="BB177" s="319"/>
      <c r="BC177" s="321">
        <f t="shared" si="12"/>
        <v>1.2698041303555914</v>
      </c>
      <c r="BD177" s="321">
        <f t="shared" si="13"/>
        <v>1.1623261872784738</v>
      </c>
      <c r="BE177" s="321">
        <f t="shared" si="14"/>
        <v>1.1818199566584018</v>
      </c>
      <c r="BG177" s="22">
        <f t="shared" si="15"/>
        <v>0</v>
      </c>
      <c r="BH177" s="22">
        <f t="shared" si="16"/>
        <v>8.6042284408449632E-16</v>
      </c>
      <c r="BI177" s="22">
        <f t="shared" si="17"/>
        <v>1.3045120539345589E-15</v>
      </c>
    </row>
    <row r="178" spans="2:61" x14ac:dyDescent="0.25">
      <c r="B178" s="312">
        <v>27</v>
      </c>
      <c r="C178" s="312" t="s">
        <v>511</v>
      </c>
      <c r="D178" s="312"/>
      <c r="E178" s="312">
        <v>9</v>
      </c>
      <c r="F178" s="312">
        <v>5</v>
      </c>
      <c r="G178" s="313" t="s">
        <v>187</v>
      </c>
      <c r="H178" s="313"/>
      <c r="I178" s="346">
        <v>9470.6</v>
      </c>
      <c r="J178" s="317">
        <v>1014.3000000000011</v>
      </c>
      <c r="K178" s="317">
        <v>8456.2999999999993</v>
      </c>
      <c r="L178" s="317">
        <v>0</v>
      </c>
      <c r="M178" s="317"/>
      <c r="N178" s="319">
        <v>0.17680000000000001</v>
      </c>
      <c r="O178" s="319">
        <v>0.1048</v>
      </c>
      <c r="P178" s="319">
        <v>0.32490000000000002</v>
      </c>
      <c r="Q178" s="319">
        <v>6.5500000000000003E-2</v>
      </c>
      <c r="R178" s="319">
        <v>2.3199999999999998E-2</v>
      </c>
      <c r="S178" s="319">
        <v>0.3468</v>
      </c>
      <c r="T178" s="319">
        <v>0</v>
      </c>
      <c r="U178" s="319">
        <v>0.63149999999999995</v>
      </c>
      <c r="V178" s="319">
        <v>1.9120999999999999</v>
      </c>
      <c r="W178" s="319">
        <v>2.1299999999999999E-2</v>
      </c>
      <c r="X178" s="319">
        <v>0.14949999999999999</v>
      </c>
      <c r="Y178" s="319">
        <v>0</v>
      </c>
      <c r="Z178" s="319">
        <v>2.6452</v>
      </c>
      <c r="AA178" s="319">
        <v>0.23019999999999999</v>
      </c>
      <c r="AB178" s="319">
        <v>0.37069999999999997</v>
      </c>
      <c r="AC178" s="319">
        <v>9.1600000000000001E-2</v>
      </c>
      <c r="AD178" s="319">
        <v>7.46E-2</v>
      </c>
      <c r="AE178" s="319">
        <v>4.5100000000000001E-2</v>
      </c>
      <c r="AF178" s="319">
        <v>0.14399999999999999</v>
      </c>
      <c r="AG178" s="319">
        <v>2.9700000000000001E-2</v>
      </c>
      <c r="AH178" s="319">
        <v>0</v>
      </c>
      <c r="AI178" s="319">
        <v>1.0528999999999999</v>
      </c>
      <c r="AJ178" s="319">
        <v>1.5384</v>
      </c>
      <c r="AK178" s="319">
        <v>7.0699999999999999E-2</v>
      </c>
      <c r="AL178" s="319">
        <v>0.37680000000000002</v>
      </c>
      <c r="AM178" s="319">
        <v>2.76E-2</v>
      </c>
      <c r="AN178" s="319">
        <v>4.4999999999999997E-3</v>
      </c>
      <c r="AO178" s="319">
        <v>0.20710000000000001</v>
      </c>
      <c r="AP178" s="319">
        <v>0.49580000000000002</v>
      </c>
      <c r="AQ178" s="319">
        <v>0</v>
      </c>
      <c r="AR178" s="319">
        <v>0.43659999999999999</v>
      </c>
      <c r="AS178" s="319">
        <v>0.55810000000000004</v>
      </c>
      <c r="AT178" s="331">
        <v>0.27779999999999999</v>
      </c>
      <c r="AU178" s="336">
        <v>9.1686999999999994</v>
      </c>
      <c r="AV178" s="329">
        <v>11.7194</v>
      </c>
      <c r="AW178" s="337">
        <v>5.8346999999999989</v>
      </c>
      <c r="AX178" s="334"/>
      <c r="AY178" s="323">
        <v>7.2199000000000009</v>
      </c>
      <c r="AZ178" s="323">
        <v>10.126500000000002</v>
      </c>
      <c r="BA178" s="323">
        <v>4.9135000000000009</v>
      </c>
      <c r="BB178" s="319"/>
      <c r="BC178" s="321">
        <f t="shared" si="12"/>
        <v>1.2699206360198891</v>
      </c>
      <c r="BD178" s="321">
        <f t="shared" si="13"/>
        <v>1.1573001530637435</v>
      </c>
      <c r="BE178" s="321">
        <f t="shared" si="14"/>
        <v>1.187483463925918</v>
      </c>
      <c r="BG178" s="22">
        <f t="shared" si="15"/>
        <v>1.609823385706477E-15</v>
      </c>
      <c r="BH178" s="22">
        <f t="shared" si="16"/>
        <v>1.7763568394002505E-15</v>
      </c>
      <c r="BI178" s="22">
        <f t="shared" si="17"/>
        <v>-1.3322676295501878E-15</v>
      </c>
    </row>
    <row r="179" spans="2:61" x14ac:dyDescent="0.25">
      <c r="B179" s="312">
        <v>29</v>
      </c>
      <c r="C179" s="312" t="s">
        <v>515</v>
      </c>
      <c r="D179" s="312"/>
      <c r="E179" s="312">
        <v>9</v>
      </c>
      <c r="F179" s="312">
        <v>4</v>
      </c>
      <c r="G179" s="313" t="s">
        <v>188</v>
      </c>
      <c r="H179" s="313"/>
      <c r="I179" s="346">
        <v>7768.2</v>
      </c>
      <c r="J179" s="317">
        <v>283.60000000000036</v>
      </c>
      <c r="K179" s="317">
        <v>7037.2</v>
      </c>
      <c r="L179" s="317">
        <v>447.4</v>
      </c>
      <c r="M179" s="317"/>
      <c r="N179" s="319">
        <v>0.17180000000000001</v>
      </c>
      <c r="O179" s="319">
        <v>9.8900000000000002E-2</v>
      </c>
      <c r="P179" s="319">
        <v>0.30120000000000002</v>
      </c>
      <c r="Q179" s="319">
        <v>6.3399999999999998E-2</v>
      </c>
      <c r="R179" s="319">
        <v>2.2599999999999999E-2</v>
      </c>
      <c r="S179" s="319">
        <v>0.28420000000000001</v>
      </c>
      <c r="T179" s="319">
        <v>0</v>
      </c>
      <c r="U179" s="319">
        <v>0.63149999999999995</v>
      </c>
      <c r="V179" s="319">
        <v>1.948</v>
      </c>
      <c r="W179" s="319">
        <v>0</v>
      </c>
      <c r="X179" s="319">
        <v>0.14249999999999999</v>
      </c>
      <c r="Y179" s="319">
        <v>0</v>
      </c>
      <c r="Z179" s="319">
        <v>2.9409000000000001</v>
      </c>
      <c r="AA179" s="319">
        <v>0.2223</v>
      </c>
      <c r="AB179" s="319">
        <v>0.35460000000000003</v>
      </c>
      <c r="AC179" s="319">
        <v>9.7600000000000006E-2</v>
      </c>
      <c r="AD179" s="319">
        <v>6.7500000000000004E-2</v>
      </c>
      <c r="AE179" s="319">
        <v>4.3999999999999997E-2</v>
      </c>
      <c r="AF179" s="319">
        <v>0.115</v>
      </c>
      <c r="AG179" s="319">
        <v>2.9000000000000001E-2</v>
      </c>
      <c r="AH179" s="319">
        <v>0</v>
      </c>
      <c r="AI179" s="319">
        <v>0.78800000000000003</v>
      </c>
      <c r="AJ179" s="319">
        <v>1.8079000000000001</v>
      </c>
      <c r="AK179" s="319">
        <v>9.4899999999999998E-2</v>
      </c>
      <c r="AL179" s="319">
        <v>0.32540000000000002</v>
      </c>
      <c r="AM179" s="319">
        <v>3.2800000000000003E-2</v>
      </c>
      <c r="AN179" s="319">
        <v>5.3E-3</v>
      </c>
      <c r="AO179" s="319">
        <v>0.27289999999999998</v>
      </c>
      <c r="AP179" s="319">
        <v>0.39419999999999999</v>
      </c>
      <c r="AQ179" s="319">
        <v>0</v>
      </c>
      <c r="AR179" s="319">
        <v>0.44569999999999999</v>
      </c>
      <c r="AS179" s="319">
        <v>0.56279999999999997</v>
      </c>
      <c r="AT179" s="331">
        <v>0.28599999999999998</v>
      </c>
      <c r="AU179" s="336">
        <v>9.3599000000000014</v>
      </c>
      <c r="AV179" s="329">
        <v>11.8192</v>
      </c>
      <c r="AW179" s="337">
        <v>6.0060000000000002</v>
      </c>
      <c r="AX179" s="334"/>
      <c r="AY179" s="323">
        <v>7.4379000000000008</v>
      </c>
      <c r="AZ179" s="323">
        <v>10.360100000000001</v>
      </c>
      <c r="BA179" s="323">
        <v>5.0378000000000007</v>
      </c>
      <c r="BB179" s="319"/>
      <c r="BC179" s="321">
        <f t="shared" si="12"/>
        <v>1.2584062705871282</v>
      </c>
      <c r="BD179" s="321">
        <f t="shared" si="13"/>
        <v>1.1408384088956669</v>
      </c>
      <c r="BE179" s="321">
        <f t="shared" si="14"/>
        <v>1.1921870657826827</v>
      </c>
      <c r="BG179" s="22">
        <f t="shared" si="15"/>
        <v>1.3877787807814457E-15</v>
      </c>
      <c r="BH179" s="22">
        <f t="shared" si="16"/>
        <v>1.27675647831893E-15</v>
      </c>
      <c r="BI179" s="22">
        <f t="shared" si="17"/>
        <v>8.3266726846886741E-16</v>
      </c>
    </row>
    <row r="180" spans="2:61" x14ac:dyDescent="0.25">
      <c r="B180" s="312">
        <v>35</v>
      </c>
      <c r="C180" s="312" t="s">
        <v>528</v>
      </c>
      <c r="D180" s="312" t="s">
        <v>390</v>
      </c>
      <c r="E180" s="312">
        <v>9</v>
      </c>
      <c r="F180" s="312">
        <v>5</v>
      </c>
      <c r="G180" s="313" t="s">
        <v>189</v>
      </c>
      <c r="H180" s="313"/>
      <c r="I180" s="346">
        <v>10572.8</v>
      </c>
      <c r="J180" s="317">
        <v>1130.0999999999985</v>
      </c>
      <c r="K180" s="317">
        <v>9442.7000000000007</v>
      </c>
      <c r="L180" s="317">
        <v>0</v>
      </c>
      <c r="M180" s="317"/>
      <c r="N180" s="319">
        <v>0.12770000000000001</v>
      </c>
      <c r="O180" s="319">
        <v>9.0700000000000003E-2</v>
      </c>
      <c r="P180" s="319">
        <v>0.29920000000000002</v>
      </c>
      <c r="Q180" s="319">
        <v>6.7799999999999999E-2</v>
      </c>
      <c r="R180" s="319">
        <v>2.0799999999999999E-2</v>
      </c>
      <c r="S180" s="319">
        <v>0.27060000000000001</v>
      </c>
      <c r="T180" s="319">
        <v>0</v>
      </c>
      <c r="U180" s="319">
        <v>0.63149999999999995</v>
      </c>
      <c r="V180" s="319">
        <v>1.7123999999999999</v>
      </c>
      <c r="W180" s="319">
        <v>1.9E-2</v>
      </c>
      <c r="X180" s="319">
        <v>0.1346</v>
      </c>
      <c r="Y180" s="319">
        <v>0</v>
      </c>
      <c r="Z180" s="319">
        <v>1.6656</v>
      </c>
      <c r="AA180" s="319">
        <v>0.16819999999999999</v>
      </c>
      <c r="AB180" s="319">
        <v>0.3251</v>
      </c>
      <c r="AC180" s="319">
        <v>0.10349999999999999</v>
      </c>
      <c r="AD180" s="319">
        <v>8.9099999999999999E-2</v>
      </c>
      <c r="AE180" s="319">
        <v>4.0399999999999998E-2</v>
      </c>
      <c r="AF180" s="319">
        <v>7.4899999999999994E-2</v>
      </c>
      <c r="AG180" s="319">
        <v>2.98E-2</v>
      </c>
      <c r="AH180" s="319">
        <v>0</v>
      </c>
      <c r="AI180" s="319">
        <v>1.9403999999999999</v>
      </c>
      <c r="AJ180" s="319">
        <v>1.5662</v>
      </c>
      <c r="AK180" s="319">
        <v>7.85E-2</v>
      </c>
      <c r="AL180" s="319">
        <v>0.35809999999999997</v>
      </c>
      <c r="AM180" s="319">
        <v>3.6900000000000002E-2</v>
      </c>
      <c r="AN180" s="319">
        <v>6.0000000000000001E-3</v>
      </c>
      <c r="AO180" s="319">
        <v>0.15759999999999999</v>
      </c>
      <c r="AP180" s="319">
        <v>0.38640000000000002</v>
      </c>
      <c r="AQ180" s="319">
        <v>0</v>
      </c>
      <c r="AR180" s="319">
        <v>0.41420000000000001</v>
      </c>
      <c r="AS180" s="319">
        <v>0.52010000000000001</v>
      </c>
      <c r="AT180" s="331">
        <v>0.21299999999999999</v>
      </c>
      <c r="AU180" s="336">
        <v>8.6974</v>
      </c>
      <c r="AV180" s="329">
        <v>10.921100000000001</v>
      </c>
      <c r="AW180" s="337">
        <v>4.4738999999999995</v>
      </c>
      <c r="AX180" s="334"/>
      <c r="AY180" s="323">
        <v>6.8488000000000016</v>
      </c>
      <c r="AZ180" s="323">
        <v>9.2313000000000009</v>
      </c>
      <c r="BA180" s="323">
        <v>4.0606000000000009</v>
      </c>
      <c r="BB180" s="319"/>
      <c r="BC180" s="321">
        <f t="shared" si="12"/>
        <v>1.2699158976755049</v>
      </c>
      <c r="BD180" s="321">
        <f t="shared" si="13"/>
        <v>1.183051141226046</v>
      </c>
      <c r="BE180" s="321">
        <f t="shared" si="14"/>
        <v>1.1017829877358023</v>
      </c>
      <c r="BG180" s="22">
        <f t="shared" si="15"/>
        <v>-7.7715611723760958E-16</v>
      </c>
      <c r="BH180" s="22">
        <f t="shared" si="16"/>
        <v>4.7184478546569153E-16</v>
      </c>
      <c r="BI180" s="22">
        <f t="shared" si="17"/>
        <v>-1.3045120539345589E-15</v>
      </c>
    </row>
    <row r="181" spans="2:61" x14ac:dyDescent="0.25">
      <c r="B181" s="312">
        <v>36</v>
      </c>
      <c r="C181" s="312" t="s">
        <v>530</v>
      </c>
      <c r="D181" s="312" t="s">
        <v>390</v>
      </c>
      <c r="E181" s="312">
        <v>9</v>
      </c>
      <c r="F181" s="312">
        <v>1</v>
      </c>
      <c r="G181" s="313" t="s">
        <v>190</v>
      </c>
      <c r="H181" s="313"/>
      <c r="I181" s="346">
        <v>6376.8</v>
      </c>
      <c r="J181" s="317">
        <v>232.10000000000036</v>
      </c>
      <c r="K181" s="317">
        <v>5739.7</v>
      </c>
      <c r="L181" s="317">
        <v>405</v>
      </c>
      <c r="M181" s="317"/>
      <c r="N181" s="319">
        <v>9.0300000000000005E-2</v>
      </c>
      <c r="O181" s="319">
        <v>4.1000000000000002E-2</v>
      </c>
      <c r="P181" s="319">
        <v>0.30620000000000003</v>
      </c>
      <c r="Q181" s="319">
        <v>6.3600000000000004E-2</v>
      </c>
      <c r="R181" s="319">
        <v>2.2599999999999999E-2</v>
      </c>
      <c r="S181" s="319">
        <v>0.19439999999999999</v>
      </c>
      <c r="T181" s="319">
        <v>0</v>
      </c>
      <c r="U181" s="319">
        <v>0.63149999999999995</v>
      </c>
      <c r="V181" s="319">
        <v>1.1941999999999999</v>
      </c>
      <c r="W181" s="319">
        <v>0</v>
      </c>
      <c r="X181" s="319">
        <v>0.11899999999999999</v>
      </c>
      <c r="Y181" s="319">
        <v>0</v>
      </c>
      <c r="Z181" s="319">
        <v>1.3519000000000001</v>
      </c>
      <c r="AA181" s="319">
        <v>0.13</v>
      </c>
      <c r="AB181" s="319">
        <v>0.14779999999999999</v>
      </c>
      <c r="AC181" s="319">
        <v>0.1229</v>
      </c>
      <c r="AD181" s="319">
        <v>6.9199999999999998E-2</v>
      </c>
      <c r="AE181" s="319">
        <v>4.3900000000000002E-2</v>
      </c>
      <c r="AF181" s="319">
        <v>4.2000000000000003E-2</v>
      </c>
      <c r="AG181" s="319">
        <v>0</v>
      </c>
      <c r="AH181" s="319">
        <v>0</v>
      </c>
      <c r="AI181" s="319">
        <v>2.4478</v>
      </c>
      <c r="AJ181" s="319">
        <v>1.2587999999999999</v>
      </c>
      <c r="AK181" s="319">
        <v>9.11E-2</v>
      </c>
      <c r="AL181" s="319">
        <v>0.57050000000000001</v>
      </c>
      <c r="AM181" s="319">
        <v>3.9300000000000002E-2</v>
      </c>
      <c r="AN181" s="319">
        <v>6.4000000000000003E-3</v>
      </c>
      <c r="AO181" s="319">
        <v>9.3600000000000003E-2</v>
      </c>
      <c r="AP181" s="319">
        <v>0.505</v>
      </c>
      <c r="AQ181" s="319">
        <v>0</v>
      </c>
      <c r="AR181" s="319">
        <v>0.39419999999999999</v>
      </c>
      <c r="AS181" s="319">
        <v>0.47920000000000001</v>
      </c>
      <c r="AT181" s="331">
        <v>0.1757</v>
      </c>
      <c r="AU181" s="336">
        <v>8.2780000000000005</v>
      </c>
      <c r="AV181" s="329">
        <v>10.062200000000001</v>
      </c>
      <c r="AW181" s="337">
        <v>3.6887999999999996</v>
      </c>
      <c r="AX181" s="334"/>
      <c r="AY181" s="323">
        <v>6.5185000000000013</v>
      </c>
      <c r="AZ181" s="323">
        <v>8.5789000000000009</v>
      </c>
      <c r="BA181" s="323">
        <v>3.5449000000000006</v>
      </c>
      <c r="BB181" s="319"/>
      <c r="BC181" s="321">
        <f t="shared" si="12"/>
        <v>1.2699240622842676</v>
      </c>
      <c r="BD181" s="321">
        <f t="shared" si="13"/>
        <v>1.1729009546678477</v>
      </c>
      <c r="BE181" s="321">
        <f t="shared" si="14"/>
        <v>1.0405935287314168</v>
      </c>
      <c r="BG181" s="22">
        <f t="shared" si="15"/>
        <v>1.8318679906315083E-15</v>
      </c>
      <c r="BH181" s="22">
        <f t="shared" si="16"/>
        <v>-2.4841240175987878E-15</v>
      </c>
      <c r="BI181" s="22">
        <f t="shared" si="17"/>
        <v>0</v>
      </c>
    </row>
    <row r="182" spans="2:61" x14ac:dyDescent="0.25">
      <c r="B182" s="312">
        <v>37</v>
      </c>
      <c r="C182" s="312" t="s">
        <v>532</v>
      </c>
      <c r="D182" s="312" t="s">
        <v>390</v>
      </c>
      <c r="E182" s="312">
        <v>9</v>
      </c>
      <c r="F182" s="312">
        <v>2</v>
      </c>
      <c r="G182" s="313" t="s">
        <v>191</v>
      </c>
      <c r="H182" s="313"/>
      <c r="I182" s="346">
        <v>3775.4</v>
      </c>
      <c r="J182" s="317">
        <v>402.5</v>
      </c>
      <c r="K182" s="317">
        <v>3372.9</v>
      </c>
      <c r="L182" s="317">
        <v>0</v>
      </c>
      <c r="M182" s="317"/>
      <c r="N182" s="319">
        <v>0.14399999999999999</v>
      </c>
      <c r="O182" s="319">
        <v>6.9199999999999998E-2</v>
      </c>
      <c r="P182" s="319">
        <v>0.3019</v>
      </c>
      <c r="Q182" s="319">
        <v>6.8500000000000005E-2</v>
      </c>
      <c r="R182" s="319">
        <v>2.3300000000000001E-2</v>
      </c>
      <c r="S182" s="319">
        <v>0.20119999999999999</v>
      </c>
      <c r="T182" s="319">
        <v>0</v>
      </c>
      <c r="U182" s="319">
        <v>0.63149999999999995</v>
      </c>
      <c r="V182" s="319">
        <v>2.0320999999999998</v>
      </c>
      <c r="W182" s="319">
        <v>0</v>
      </c>
      <c r="X182" s="319">
        <v>0.15079999999999999</v>
      </c>
      <c r="Y182" s="319">
        <v>0</v>
      </c>
      <c r="Z182" s="319">
        <v>1.9574</v>
      </c>
      <c r="AA182" s="319">
        <v>0.19089999999999999</v>
      </c>
      <c r="AB182" s="319">
        <v>0.24940000000000001</v>
      </c>
      <c r="AC182" s="319">
        <v>0.1012</v>
      </c>
      <c r="AD182" s="319">
        <v>9.2100000000000001E-2</v>
      </c>
      <c r="AE182" s="319">
        <v>4.53E-2</v>
      </c>
      <c r="AF182" s="319">
        <v>3.9699999999999999E-2</v>
      </c>
      <c r="AG182" s="319">
        <v>3.04E-2</v>
      </c>
      <c r="AH182" s="319">
        <v>0</v>
      </c>
      <c r="AI182" s="319">
        <v>2.1534</v>
      </c>
      <c r="AJ182" s="319">
        <v>1.5085999999999999</v>
      </c>
      <c r="AK182" s="319">
        <v>8.5300000000000001E-2</v>
      </c>
      <c r="AL182" s="319">
        <v>0.47120000000000001</v>
      </c>
      <c r="AM182" s="319">
        <v>3.5999999999999997E-2</v>
      </c>
      <c r="AN182" s="319">
        <v>5.7999999999999996E-3</v>
      </c>
      <c r="AO182" s="319">
        <v>0.2303</v>
      </c>
      <c r="AP182" s="319">
        <v>0.4143</v>
      </c>
      <c r="AQ182" s="319">
        <v>0</v>
      </c>
      <c r="AR182" s="319">
        <v>0.43940000000000001</v>
      </c>
      <c r="AS182" s="319">
        <v>0.56169999999999998</v>
      </c>
      <c r="AT182" s="331">
        <v>0.22120000000000001</v>
      </c>
      <c r="AU182" s="336">
        <v>9.2268000000000008</v>
      </c>
      <c r="AV182" s="329">
        <v>11.795500000000001</v>
      </c>
      <c r="AW182" s="337">
        <v>4.6451000000000011</v>
      </c>
      <c r="AX182" s="334"/>
      <c r="AY182" s="323">
        <v>7.2655000000000012</v>
      </c>
      <c r="AZ182" s="323">
        <v>10.124300000000002</v>
      </c>
      <c r="BA182" s="323">
        <v>4.1232000000000006</v>
      </c>
      <c r="BB182" s="319"/>
      <c r="BC182" s="321">
        <f t="shared" si="12"/>
        <v>1.2699470098410295</v>
      </c>
      <c r="BD182" s="321">
        <f t="shared" si="13"/>
        <v>1.165068202246081</v>
      </c>
      <c r="BE182" s="321">
        <f t="shared" si="14"/>
        <v>1.1265764454792395</v>
      </c>
      <c r="BG182" s="22">
        <f t="shared" si="15"/>
        <v>-1.1657341758564144E-15</v>
      </c>
      <c r="BH182" s="22">
        <f t="shared" si="16"/>
        <v>9.1593399531575415E-16</v>
      </c>
      <c r="BI182" s="22">
        <f t="shared" si="17"/>
        <v>1.3600232051658168E-15</v>
      </c>
    </row>
    <row r="183" spans="2:61" x14ac:dyDescent="0.25">
      <c r="B183" s="312">
        <v>38</v>
      </c>
      <c r="C183" s="312" t="s">
        <v>534</v>
      </c>
      <c r="D183" s="312" t="s">
        <v>390</v>
      </c>
      <c r="E183" s="312">
        <v>9</v>
      </c>
      <c r="F183" s="312">
        <v>2</v>
      </c>
      <c r="G183" s="313" t="s">
        <v>192</v>
      </c>
      <c r="H183" s="313"/>
      <c r="I183" s="346">
        <v>4600</v>
      </c>
      <c r="J183" s="317">
        <v>567.19999999999982</v>
      </c>
      <c r="K183" s="317">
        <v>4032.8</v>
      </c>
      <c r="L183" s="317">
        <v>0</v>
      </c>
      <c r="M183" s="317"/>
      <c r="N183" s="319">
        <v>0.11650000000000001</v>
      </c>
      <c r="O183" s="319">
        <v>5.6800000000000003E-2</v>
      </c>
      <c r="P183" s="319">
        <v>0.28260000000000002</v>
      </c>
      <c r="Q183" s="319">
        <v>8.2699999999999996E-2</v>
      </c>
      <c r="R183" s="319">
        <v>4.3400000000000001E-2</v>
      </c>
      <c r="S183" s="319">
        <v>0.29849999999999999</v>
      </c>
      <c r="T183" s="319">
        <v>0</v>
      </c>
      <c r="U183" s="319">
        <v>0.63149999999999995</v>
      </c>
      <c r="V183" s="319">
        <v>1.6996</v>
      </c>
      <c r="W183" s="319">
        <v>0</v>
      </c>
      <c r="X183" s="319">
        <v>0.12379999999999999</v>
      </c>
      <c r="Y183" s="319">
        <v>0</v>
      </c>
      <c r="Z183" s="319">
        <v>1.8629</v>
      </c>
      <c r="AA183" s="319">
        <v>0.15409999999999999</v>
      </c>
      <c r="AB183" s="319">
        <v>0.20480000000000001</v>
      </c>
      <c r="AC183" s="319">
        <v>0.1158</v>
      </c>
      <c r="AD183" s="319">
        <v>0.21590000000000001</v>
      </c>
      <c r="AE183" s="319">
        <v>8.4500000000000006E-2</v>
      </c>
      <c r="AF183" s="319">
        <v>0.14169999999999999</v>
      </c>
      <c r="AG183" s="319">
        <v>3.1199999999999999E-2</v>
      </c>
      <c r="AH183" s="319">
        <v>0</v>
      </c>
      <c r="AI183" s="319">
        <v>2.7563</v>
      </c>
      <c r="AJ183" s="319">
        <v>1.601</v>
      </c>
      <c r="AK183" s="319">
        <v>7.6600000000000001E-2</v>
      </c>
      <c r="AL183" s="319">
        <v>0.4919</v>
      </c>
      <c r="AM183" s="319">
        <v>2.8899999999999999E-2</v>
      </c>
      <c r="AN183" s="319">
        <v>4.7000000000000002E-3</v>
      </c>
      <c r="AO183" s="319">
        <v>0.35110000000000002</v>
      </c>
      <c r="AP183" s="319">
        <v>0.48509999999999998</v>
      </c>
      <c r="AQ183" s="319">
        <v>0</v>
      </c>
      <c r="AR183" s="319">
        <v>0.4879</v>
      </c>
      <c r="AS183" s="319">
        <v>0.59709999999999996</v>
      </c>
      <c r="AT183" s="331">
        <v>0.2278</v>
      </c>
      <c r="AU183" s="336">
        <v>10.245100000000001</v>
      </c>
      <c r="AV183" s="329">
        <v>12.539</v>
      </c>
      <c r="AW183" s="337">
        <v>4.7847000000000008</v>
      </c>
      <c r="AX183" s="334"/>
      <c r="AY183" s="323">
        <v>8.0673999999999992</v>
      </c>
      <c r="AZ183" s="323">
        <v>10.743599999999997</v>
      </c>
      <c r="BA183" s="323">
        <v>4.287399999999999</v>
      </c>
      <c r="BB183" s="319"/>
      <c r="BC183" s="321">
        <f t="shared" si="12"/>
        <v>1.2699382700746216</v>
      </c>
      <c r="BD183" s="321">
        <f t="shared" si="13"/>
        <v>1.1671134442831084</v>
      </c>
      <c r="BE183" s="321">
        <f t="shared" si="14"/>
        <v>1.1159910435228815</v>
      </c>
      <c r="BG183" s="22">
        <f t="shared" si="15"/>
        <v>-2.7200464103316335E-15</v>
      </c>
      <c r="BH183" s="22">
        <f t="shared" si="16"/>
        <v>3.3861802251067274E-15</v>
      </c>
      <c r="BI183" s="22">
        <f t="shared" si="17"/>
        <v>0</v>
      </c>
    </row>
    <row r="184" spans="2:61" x14ac:dyDescent="0.25">
      <c r="B184" s="312">
        <v>39</v>
      </c>
      <c r="C184" s="312" t="s">
        <v>536</v>
      </c>
      <c r="D184" s="312" t="s">
        <v>390</v>
      </c>
      <c r="E184" s="312">
        <v>9</v>
      </c>
      <c r="F184" s="312">
        <v>4</v>
      </c>
      <c r="G184" s="313" t="s">
        <v>194</v>
      </c>
      <c r="H184" s="313"/>
      <c r="I184" s="346">
        <v>8346.5</v>
      </c>
      <c r="J184" s="317">
        <v>940.5</v>
      </c>
      <c r="K184" s="317">
        <v>7406</v>
      </c>
      <c r="L184" s="317">
        <v>0</v>
      </c>
      <c r="M184" s="317"/>
      <c r="N184" s="319">
        <v>8.3699999999999997E-2</v>
      </c>
      <c r="O184" s="319">
        <v>4.5900000000000003E-2</v>
      </c>
      <c r="P184" s="319">
        <v>0.30349999999999999</v>
      </c>
      <c r="Q184" s="319">
        <v>6.4000000000000001E-2</v>
      </c>
      <c r="R184" s="319">
        <v>4.7899999999999998E-2</v>
      </c>
      <c r="S184" s="319">
        <v>0.37230000000000002</v>
      </c>
      <c r="T184" s="319">
        <v>0</v>
      </c>
      <c r="U184" s="319">
        <v>0.63149999999999995</v>
      </c>
      <c r="V184" s="319">
        <v>1.7204999999999999</v>
      </c>
      <c r="W184" s="319">
        <v>2.4299999999999999E-2</v>
      </c>
      <c r="X184" s="319">
        <v>0.13450000000000001</v>
      </c>
      <c r="Y184" s="319">
        <v>0</v>
      </c>
      <c r="Z184" s="319">
        <v>2.9251</v>
      </c>
      <c r="AA184" s="319">
        <v>0.1143</v>
      </c>
      <c r="AB184" s="319">
        <v>0.16650000000000001</v>
      </c>
      <c r="AC184" s="319">
        <v>9.9500000000000005E-2</v>
      </c>
      <c r="AD184" s="319">
        <v>0.1046</v>
      </c>
      <c r="AE184" s="319">
        <v>9.3100000000000002E-2</v>
      </c>
      <c r="AF184" s="319">
        <v>0.1757</v>
      </c>
      <c r="AG184" s="319">
        <v>2.87E-2</v>
      </c>
      <c r="AH184" s="319">
        <v>0</v>
      </c>
      <c r="AI184" s="319">
        <v>1.611</v>
      </c>
      <c r="AJ184" s="319">
        <v>1.4811000000000001</v>
      </c>
      <c r="AK184" s="319">
        <v>8.6699999999999999E-2</v>
      </c>
      <c r="AL184" s="319">
        <v>0.51349999999999996</v>
      </c>
      <c r="AM184" s="319">
        <v>3.9100000000000003E-2</v>
      </c>
      <c r="AN184" s="319">
        <v>6.3E-3</v>
      </c>
      <c r="AO184" s="319">
        <v>0.34289999999999998</v>
      </c>
      <c r="AP184" s="319">
        <v>0.50880000000000003</v>
      </c>
      <c r="AQ184" s="319">
        <v>0</v>
      </c>
      <c r="AR184" s="319">
        <v>0.47360000000000002</v>
      </c>
      <c r="AS184" s="319">
        <v>0.58630000000000004</v>
      </c>
      <c r="AT184" s="331">
        <v>0.27610000000000001</v>
      </c>
      <c r="AU184" s="336">
        <v>9.9449999999999985</v>
      </c>
      <c r="AV184" s="329">
        <v>12.311299999999999</v>
      </c>
      <c r="AW184" s="337">
        <v>5.7989999999999995</v>
      </c>
      <c r="AX184" s="334"/>
      <c r="AY184" s="323">
        <v>7.8311000000000011</v>
      </c>
      <c r="AZ184" s="323">
        <v>10.704800000000001</v>
      </c>
      <c r="BA184" s="323">
        <v>4.9242000000000008</v>
      </c>
      <c r="BB184" s="319"/>
      <c r="BC184" s="321">
        <f t="shared" si="12"/>
        <v>1.26993653509724</v>
      </c>
      <c r="BD184" s="321">
        <f t="shared" si="13"/>
        <v>1.1500728645093787</v>
      </c>
      <c r="BE184" s="321">
        <f t="shared" si="14"/>
        <v>1.177653222858535</v>
      </c>
      <c r="BG184" s="22">
        <f t="shared" si="15"/>
        <v>1.7763568394002505E-15</v>
      </c>
      <c r="BH184" s="22">
        <f t="shared" si="16"/>
        <v>0</v>
      </c>
      <c r="BI184" s="22">
        <f t="shared" si="17"/>
        <v>-4.9960036108132044E-16</v>
      </c>
    </row>
    <row r="185" spans="2:61" x14ac:dyDescent="0.25">
      <c r="B185" s="312">
        <v>40</v>
      </c>
      <c r="C185" s="312" t="s">
        <v>538</v>
      </c>
      <c r="D185" s="312" t="s">
        <v>390</v>
      </c>
      <c r="E185" s="312">
        <v>9</v>
      </c>
      <c r="F185" s="312">
        <v>2</v>
      </c>
      <c r="G185" s="313" t="s">
        <v>195</v>
      </c>
      <c r="H185" s="313"/>
      <c r="I185" s="346">
        <v>4944</v>
      </c>
      <c r="J185" s="317">
        <v>568.89999999999964</v>
      </c>
      <c r="K185" s="317">
        <v>4375.1000000000004</v>
      </c>
      <c r="L185" s="317">
        <v>0</v>
      </c>
      <c r="M185" s="317"/>
      <c r="N185" s="319">
        <v>0.13639999999999999</v>
      </c>
      <c r="O185" s="319">
        <v>5.7200000000000001E-2</v>
      </c>
      <c r="P185" s="319">
        <v>0.29580000000000001</v>
      </c>
      <c r="Q185" s="319">
        <v>6.7100000000000007E-2</v>
      </c>
      <c r="R185" s="319">
        <v>5.5E-2</v>
      </c>
      <c r="S185" s="319">
        <v>0.28110000000000002</v>
      </c>
      <c r="T185" s="319">
        <v>0</v>
      </c>
      <c r="U185" s="319">
        <v>0.63149999999999995</v>
      </c>
      <c r="V185" s="319">
        <v>1.4838</v>
      </c>
      <c r="W185" s="319">
        <v>0</v>
      </c>
      <c r="X185" s="319">
        <v>0.12479999999999999</v>
      </c>
      <c r="Y185" s="319">
        <v>0</v>
      </c>
      <c r="Z185" s="319">
        <v>2.9249000000000001</v>
      </c>
      <c r="AA185" s="319">
        <v>0.1875</v>
      </c>
      <c r="AB185" s="319">
        <v>0.20599999999999999</v>
      </c>
      <c r="AC185" s="319">
        <v>0.1028</v>
      </c>
      <c r="AD185" s="319">
        <v>0.12180000000000001</v>
      </c>
      <c r="AE185" s="319">
        <v>0.1069</v>
      </c>
      <c r="AF185" s="319">
        <v>0.1348</v>
      </c>
      <c r="AG185" s="319">
        <v>3.0800000000000001E-2</v>
      </c>
      <c r="AH185" s="319">
        <v>0</v>
      </c>
      <c r="AI185" s="319">
        <v>1.7955000000000001</v>
      </c>
      <c r="AJ185" s="319">
        <v>1.3920999999999999</v>
      </c>
      <c r="AK185" s="319">
        <v>8.4199999999999997E-2</v>
      </c>
      <c r="AL185" s="319">
        <v>0.47610000000000002</v>
      </c>
      <c r="AM185" s="319">
        <v>3.95E-2</v>
      </c>
      <c r="AN185" s="319">
        <v>6.4000000000000003E-3</v>
      </c>
      <c r="AO185" s="319">
        <v>0.35699999999999998</v>
      </c>
      <c r="AP185" s="319">
        <v>0.47320000000000001</v>
      </c>
      <c r="AQ185" s="319">
        <v>0</v>
      </c>
      <c r="AR185" s="319">
        <v>0.48080000000000001</v>
      </c>
      <c r="AS185" s="319">
        <v>0.5786</v>
      </c>
      <c r="AT185" s="331">
        <v>0.2797</v>
      </c>
      <c r="AU185" s="336">
        <v>10.096</v>
      </c>
      <c r="AV185" s="329">
        <v>12.1508</v>
      </c>
      <c r="AW185" s="337">
        <v>5.8742000000000001</v>
      </c>
      <c r="AX185" s="334"/>
      <c r="AY185" s="323">
        <v>7.9501999999999997</v>
      </c>
      <c r="AZ185" s="323">
        <v>10.303300000000002</v>
      </c>
      <c r="BA185" s="323">
        <v>5.0072000000000001</v>
      </c>
      <c r="BB185" s="319"/>
      <c r="BC185" s="321">
        <f t="shared" si="12"/>
        <v>1.2699051596186259</v>
      </c>
      <c r="BD185" s="321">
        <f t="shared" si="13"/>
        <v>1.1793114827288342</v>
      </c>
      <c r="BE185" s="321">
        <f t="shared" si="14"/>
        <v>1.1731506630452149</v>
      </c>
      <c r="BG185" s="22">
        <f t="shared" si="15"/>
        <v>-1.9984014443252818E-15</v>
      </c>
      <c r="BH185" s="22">
        <f t="shared" si="16"/>
        <v>-2.2204460492503131E-16</v>
      </c>
      <c r="BI185" s="22">
        <f t="shared" si="17"/>
        <v>-2.4424906541753444E-15</v>
      </c>
    </row>
    <row r="186" spans="2:61" x14ac:dyDescent="0.25">
      <c r="B186" s="312">
        <v>41</v>
      </c>
      <c r="C186" s="312" t="s">
        <v>540</v>
      </c>
      <c r="D186" s="312" t="s">
        <v>390</v>
      </c>
      <c r="E186" s="312">
        <v>9</v>
      </c>
      <c r="F186" s="312">
        <v>2</v>
      </c>
      <c r="G186" s="313" t="s">
        <v>196</v>
      </c>
      <c r="H186" s="313"/>
      <c r="I186" s="346">
        <v>3774.7</v>
      </c>
      <c r="J186" s="317">
        <v>398.89999999999964</v>
      </c>
      <c r="K186" s="317">
        <v>3375.8</v>
      </c>
      <c r="L186" s="317">
        <v>0</v>
      </c>
      <c r="M186" s="317"/>
      <c r="N186" s="319">
        <v>0.18129999999999999</v>
      </c>
      <c r="O186" s="319">
        <v>6.9199999999999998E-2</v>
      </c>
      <c r="P186" s="319">
        <v>0.30209999999999998</v>
      </c>
      <c r="Q186" s="319">
        <v>6.8900000000000003E-2</v>
      </c>
      <c r="R186" s="319">
        <v>2.3300000000000001E-2</v>
      </c>
      <c r="S186" s="319">
        <v>0.20760000000000001</v>
      </c>
      <c r="T186" s="319">
        <v>0</v>
      </c>
      <c r="U186" s="319">
        <v>0.63149999999999995</v>
      </c>
      <c r="V186" s="319">
        <v>2.0304000000000002</v>
      </c>
      <c r="W186" s="319">
        <v>0</v>
      </c>
      <c r="X186" s="319">
        <v>0.15079999999999999</v>
      </c>
      <c r="Y186" s="319">
        <v>0</v>
      </c>
      <c r="Z186" s="319">
        <v>1.7565</v>
      </c>
      <c r="AA186" s="319">
        <v>0.23619999999999999</v>
      </c>
      <c r="AB186" s="319">
        <v>0.24940000000000001</v>
      </c>
      <c r="AC186" s="319">
        <v>0.1024</v>
      </c>
      <c r="AD186" s="319">
        <v>9.2600000000000002E-2</v>
      </c>
      <c r="AE186" s="319">
        <v>4.53E-2</v>
      </c>
      <c r="AF186" s="319">
        <v>4.8599999999999997E-2</v>
      </c>
      <c r="AG186" s="319">
        <v>2.5399999999999999E-2</v>
      </c>
      <c r="AH186" s="319">
        <v>0</v>
      </c>
      <c r="AI186" s="319">
        <v>2.0287999999999999</v>
      </c>
      <c r="AJ186" s="319">
        <v>1.4542999999999999</v>
      </c>
      <c r="AK186" s="319">
        <v>8.3900000000000002E-2</v>
      </c>
      <c r="AL186" s="319">
        <v>0.48949999999999999</v>
      </c>
      <c r="AM186" s="319">
        <v>3.56E-2</v>
      </c>
      <c r="AN186" s="319">
        <v>5.7999999999999996E-3</v>
      </c>
      <c r="AO186" s="319">
        <v>0.32500000000000001</v>
      </c>
      <c r="AP186" s="319">
        <v>0.46</v>
      </c>
      <c r="AQ186" s="319">
        <v>0</v>
      </c>
      <c r="AR186" s="319">
        <v>0.43070000000000003</v>
      </c>
      <c r="AS186" s="319">
        <v>0.55520000000000003</v>
      </c>
      <c r="AT186" s="331">
        <v>0.21579999999999999</v>
      </c>
      <c r="AU186" s="336">
        <v>9.0447000000000006</v>
      </c>
      <c r="AV186" s="329">
        <v>11.659600000000001</v>
      </c>
      <c r="AW186" s="337">
        <v>4.5322000000000013</v>
      </c>
      <c r="AX186" s="334"/>
      <c r="AY186" s="323">
        <v>7.1222000000000012</v>
      </c>
      <c r="AZ186" s="323">
        <v>10.2615</v>
      </c>
      <c r="BA186" s="323">
        <v>4.0702000000000007</v>
      </c>
      <c r="BB186" s="319"/>
      <c r="BC186" s="321">
        <f t="shared" si="12"/>
        <v>1.2699306394091712</v>
      </c>
      <c r="BD186" s="321">
        <f t="shared" si="13"/>
        <v>1.1362471373580862</v>
      </c>
      <c r="BE186" s="321">
        <f t="shared" si="14"/>
        <v>1.1135079357279742</v>
      </c>
      <c r="BG186" s="22">
        <f t="shared" si="15"/>
        <v>0</v>
      </c>
      <c r="BH186" s="22">
        <f t="shared" si="16"/>
        <v>0</v>
      </c>
      <c r="BI186" s="22">
        <f t="shared" si="17"/>
        <v>1.4710455076283324E-15</v>
      </c>
    </row>
    <row r="187" spans="2:61" x14ac:dyDescent="0.25">
      <c r="B187" s="312">
        <v>42</v>
      </c>
      <c r="C187" s="312" t="s">
        <v>542</v>
      </c>
      <c r="D187" s="312" t="s">
        <v>390</v>
      </c>
      <c r="E187" s="312">
        <v>9</v>
      </c>
      <c r="F187" s="312">
        <v>2</v>
      </c>
      <c r="G187" s="313" t="s">
        <v>197</v>
      </c>
      <c r="H187" s="313"/>
      <c r="I187" s="346">
        <v>3993</v>
      </c>
      <c r="J187" s="317">
        <v>442</v>
      </c>
      <c r="K187" s="317">
        <v>3551</v>
      </c>
      <c r="L187" s="317">
        <v>0</v>
      </c>
      <c r="M187" s="317"/>
      <c r="N187" s="319">
        <v>0.1079</v>
      </c>
      <c r="O187" s="319">
        <v>5.6800000000000003E-2</v>
      </c>
      <c r="P187" s="319">
        <v>0.28899999999999998</v>
      </c>
      <c r="Q187" s="319">
        <v>6.6100000000000006E-2</v>
      </c>
      <c r="R187" s="319">
        <v>5.2499999999999998E-2</v>
      </c>
      <c r="S187" s="319">
        <v>0.31690000000000002</v>
      </c>
      <c r="T187" s="319">
        <v>0</v>
      </c>
      <c r="U187" s="319">
        <v>0.63149999999999995</v>
      </c>
      <c r="V187" s="319">
        <v>1.9301999999999999</v>
      </c>
      <c r="W187" s="319">
        <v>0</v>
      </c>
      <c r="X187" s="319">
        <v>0.1426</v>
      </c>
      <c r="Y187" s="319">
        <v>0</v>
      </c>
      <c r="Z187" s="319">
        <v>2.331</v>
      </c>
      <c r="AA187" s="319">
        <v>0.1459</v>
      </c>
      <c r="AB187" s="319">
        <v>0.20530000000000001</v>
      </c>
      <c r="AC187" s="319">
        <v>0.12139999999999999</v>
      </c>
      <c r="AD187" s="319">
        <v>0.1011</v>
      </c>
      <c r="AE187" s="319">
        <v>0.1022</v>
      </c>
      <c r="AF187" s="319">
        <v>0.1396</v>
      </c>
      <c r="AG187" s="319">
        <v>2.8000000000000001E-2</v>
      </c>
      <c r="AH187" s="319">
        <v>0</v>
      </c>
      <c r="AI187" s="319">
        <v>1.9164000000000001</v>
      </c>
      <c r="AJ187" s="319">
        <v>1.7116</v>
      </c>
      <c r="AK187" s="319">
        <v>8.2400000000000001E-2</v>
      </c>
      <c r="AL187" s="319">
        <v>0.46939999999999998</v>
      </c>
      <c r="AM187" s="319">
        <v>3.9E-2</v>
      </c>
      <c r="AN187" s="319">
        <v>6.3E-3</v>
      </c>
      <c r="AO187" s="319">
        <v>0.27610000000000001</v>
      </c>
      <c r="AP187" s="319">
        <v>0.41689999999999999</v>
      </c>
      <c r="AQ187" s="319">
        <v>0</v>
      </c>
      <c r="AR187" s="319">
        <v>0.46700000000000003</v>
      </c>
      <c r="AS187" s="319">
        <v>0.58430000000000004</v>
      </c>
      <c r="AT187" s="331">
        <v>0.24829999999999999</v>
      </c>
      <c r="AU187" s="336">
        <v>9.8059999999999992</v>
      </c>
      <c r="AV187" s="329">
        <v>12.270399999999999</v>
      </c>
      <c r="AW187" s="337">
        <v>5.2137999999999991</v>
      </c>
      <c r="AX187" s="334"/>
      <c r="AY187" s="323">
        <v>7.7217000000000002</v>
      </c>
      <c r="AZ187" s="323">
        <v>10.541100000000002</v>
      </c>
      <c r="BA187" s="323">
        <v>4.572000000000001</v>
      </c>
      <c r="BB187" s="319"/>
      <c r="BC187" s="321">
        <f t="shared" si="12"/>
        <v>1.2699276066151235</v>
      </c>
      <c r="BD187" s="321">
        <f t="shared" si="13"/>
        <v>1.1640530874386921</v>
      </c>
      <c r="BE187" s="321">
        <f t="shared" si="14"/>
        <v>1.1403762029746278</v>
      </c>
      <c r="BG187" s="22">
        <f t="shared" si="15"/>
        <v>-3.6082248300317588E-15</v>
      </c>
      <c r="BH187" s="22">
        <f t="shared" si="16"/>
        <v>-1.2628786905111156E-15</v>
      </c>
      <c r="BI187" s="22">
        <f t="shared" si="17"/>
        <v>-8.1878948066105295E-16</v>
      </c>
    </row>
    <row r="188" spans="2:61" x14ac:dyDescent="0.25">
      <c r="B188" s="312">
        <v>43</v>
      </c>
      <c r="C188" s="312" t="s">
        <v>544</v>
      </c>
      <c r="D188" s="312" t="s">
        <v>390</v>
      </c>
      <c r="E188" s="312">
        <v>9</v>
      </c>
      <c r="F188" s="312">
        <v>2</v>
      </c>
      <c r="G188" s="313" t="s">
        <v>198</v>
      </c>
      <c r="H188" s="313"/>
      <c r="I188" s="346">
        <v>4492.5</v>
      </c>
      <c r="J188" s="317">
        <v>498.80000000000018</v>
      </c>
      <c r="K188" s="317">
        <v>3993.7</v>
      </c>
      <c r="L188" s="317">
        <v>0</v>
      </c>
      <c r="M188" s="317"/>
      <c r="N188" s="319">
        <v>0.11219999999999999</v>
      </c>
      <c r="O188" s="319">
        <v>5.8200000000000002E-2</v>
      </c>
      <c r="P188" s="319">
        <v>0.29360000000000003</v>
      </c>
      <c r="Q188" s="319">
        <v>7.4200000000000002E-2</v>
      </c>
      <c r="R188" s="319">
        <v>5.6000000000000001E-2</v>
      </c>
      <c r="S188" s="319">
        <v>0.28170000000000001</v>
      </c>
      <c r="T188" s="319">
        <v>0</v>
      </c>
      <c r="U188" s="319">
        <v>0.63149999999999995</v>
      </c>
      <c r="V188" s="319">
        <v>1.7161999999999999</v>
      </c>
      <c r="W188" s="319">
        <v>0</v>
      </c>
      <c r="X188" s="319">
        <v>0.12670000000000001</v>
      </c>
      <c r="Y188" s="319">
        <v>0</v>
      </c>
      <c r="Z188" s="319">
        <v>2.3603999999999998</v>
      </c>
      <c r="AA188" s="319">
        <v>0.1492</v>
      </c>
      <c r="AB188" s="319">
        <v>0.2097</v>
      </c>
      <c r="AC188" s="319">
        <v>0.1016</v>
      </c>
      <c r="AD188" s="319">
        <v>0.1797</v>
      </c>
      <c r="AE188" s="319">
        <v>0.109</v>
      </c>
      <c r="AF188" s="319">
        <v>0.1241</v>
      </c>
      <c r="AG188" s="319">
        <v>2.64E-2</v>
      </c>
      <c r="AH188" s="319">
        <v>0</v>
      </c>
      <c r="AI188" s="319">
        <v>2.2235999999999998</v>
      </c>
      <c r="AJ188" s="319">
        <v>1.4924999999999999</v>
      </c>
      <c r="AK188" s="319">
        <v>8.2299999999999998E-2</v>
      </c>
      <c r="AL188" s="319">
        <v>0.49819999999999998</v>
      </c>
      <c r="AM188" s="319">
        <v>3.8199999999999998E-2</v>
      </c>
      <c r="AN188" s="319">
        <v>6.1999999999999998E-3</v>
      </c>
      <c r="AO188" s="319">
        <v>0.34100000000000003</v>
      </c>
      <c r="AP188" s="319">
        <v>0.44059999999999999</v>
      </c>
      <c r="AQ188" s="319">
        <v>0</v>
      </c>
      <c r="AR188" s="319">
        <v>0.4788</v>
      </c>
      <c r="AS188" s="319">
        <v>0.5867</v>
      </c>
      <c r="AT188" s="331">
        <v>0.251</v>
      </c>
      <c r="AU188" s="336">
        <v>10.055</v>
      </c>
      <c r="AV188" s="329">
        <v>12.319700000000001</v>
      </c>
      <c r="AW188" s="337">
        <v>5.2719000000000014</v>
      </c>
      <c r="AX188" s="334"/>
      <c r="AY188" s="323">
        <v>7.9177999999999997</v>
      </c>
      <c r="AZ188" s="323">
        <v>10.6088</v>
      </c>
      <c r="BA188" s="323">
        <v>4.4998999999999993</v>
      </c>
      <c r="BB188" s="319"/>
      <c r="BC188" s="321">
        <f t="shared" si="12"/>
        <v>1.2699234635883705</v>
      </c>
      <c r="BD188" s="321">
        <f t="shared" si="13"/>
        <v>1.1612717743759897</v>
      </c>
      <c r="BE188" s="321">
        <f t="shared" si="14"/>
        <v>1.1715593679859557</v>
      </c>
      <c r="BG188" s="22">
        <f t="shared" si="15"/>
        <v>2.0539125955565396E-15</v>
      </c>
      <c r="BH188" s="22">
        <f t="shared" si="16"/>
        <v>1.1102230246251565E-15</v>
      </c>
      <c r="BI188" s="22">
        <f t="shared" si="17"/>
        <v>8.8817841970012523E-16</v>
      </c>
    </row>
    <row r="189" spans="2:61" x14ac:dyDescent="0.25">
      <c r="B189" s="312">
        <v>44</v>
      </c>
      <c r="C189" s="312" t="s">
        <v>546</v>
      </c>
      <c r="D189" s="312" t="s">
        <v>390</v>
      </c>
      <c r="E189" s="312">
        <v>9</v>
      </c>
      <c r="F189" s="312">
        <v>2</v>
      </c>
      <c r="G189" s="313" t="s">
        <v>199</v>
      </c>
      <c r="H189" s="313"/>
      <c r="I189" s="346">
        <v>6412.8</v>
      </c>
      <c r="J189" s="317">
        <v>712.90000000000055</v>
      </c>
      <c r="K189" s="317">
        <v>5699.9</v>
      </c>
      <c r="L189" s="317">
        <v>0</v>
      </c>
      <c r="M189" s="317"/>
      <c r="N189" s="319">
        <v>0.17630000000000001</v>
      </c>
      <c r="O189" s="319">
        <v>6.4199999999999993E-2</v>
      </c>
      <c r="P189" s="319">
        <v>0.29649999999999999</v>
      </c>
      <c r="Q189" s="319">
        <v>6.83E-2</v>
      </c>
      <c r="R189" s="319">
        <v>5.9200000000000003E-2</v>
      </c>
      <c r="S189" s="319">
        <v>0.2397</v>
      </c>
      <c r="T189" s="319">
        <v>0</v>
      </c>
      <c r="U189" s="319">
        <v>0.63149999999999995</v>
      </c>
      <c r="V189" s="319">
        <v>1.2024999999999999</v>
      </c>
      <c r="W189" s="319">
        <v>0</v>
      </c>
      <c r="X189" s="319">
        <v>0.1221</v>
      </c>
      <c r="Y189" s="319">
        <v>0</v>
      </c>
      <c r="Z189" s="319">
        <v>3.0169000000000001</v>
      </c>
      <c r="AA189" s="319">
        <v>0.24640000000000001</v>
      </c>
      <c r="AB189" s="319">
        <v>0.23</v>
      </c>
      <c r="AC189" s="319">
        <v>0.1033</v>
      </c>
      <c r="AD189" s="319">
        <v>0.1358</v>
      </c>
      <c r="AE189" s="319">
        <v>0.11509999999999999</v>
      </c>
      <c r="AF189" s="319">
        <v>0.13489999999999999</v>
      </c>
      <c r="AG189" s="319">
        <v>2.7E-2</v>
      </c>
      <c r="AH189" s="319">
        <v>0</v>
      </c>
      <c r="AI189" s="319">
        <v>1.6012</v>
      </c>
      <c r="AJ189" s="319">
        <v>1.0885</v>
      </c>
      <c r="AK189" s="319">
        <v>8.0399999999999999E-2</v>
      </c>
      <c r="AL189" s="319">
        <v>0.40160000000000001</v>
      </c>
      <c r="AM189" s="319">
        <v>3.6999999999999998E-2</v>
      </c>
      <c r="AN189" s="319">
        <v>6.0000000000000001E-3</v>
      </c>
      <c r="AO189" s="319">
        <v>0.26390000000000002</v>
      </c>
      <c r="AP189" s="319">
        <v>0.71009999999999995</v>
      </c>
      <c r="AQ189" s="319">
        <v>0</v>
      </c>
      <c r="AR189" s="319">
        <v>0.45729999999999998</v>
      </c>
      <c r="AS189" s="319">
        <v>0.55289999999999995</v>
      </c>
      <c r="AT189" s="331">
        <v>0.28949999999999998</v>
      </c>
      <c r="AU189" s="336">
        <v>9.6030999999999995</v>
      </c>
      <c r="AV189" s="329">
        <v>11.6113</v>
      </c>
      <c r="AW189" s="337">
        <v>6.0800999999999998</v>
      </c>
      <c r="AX189" s="334"/>
      <c r="AY189" s="323">
        <v>7.5621999999999989</v>
      </c>
      <c r="AZ189" s="323">
        <v>9.6942999999999984</v>
      </c>
      <c r="BA189" s="323">
        <v>4.9473999999999991</v>
      </c>
      <c r="BB189" s="319"/>
      <c r="BC189" s="321">
        <f t="shared" si="12"/>
        <v>1.2698817804342653</v>
      </c>
      <c r="BD189" s="321">
        <f t="shared" si="13"/>
        <v>1.1977450666886729</v>
      </c>
      <c r="BE189" s="321">
        <f t="shared" si="14"/>
        <v>1.2289485386263495</v>
      </c>
      <c r="BG189" s="22">
        <f t="shared" si="15"/>
        <v>-7.2164496600635175E-16</v>
      </c>
      <c r="BH189" s="22">
        <f t="shared" si="16"/>
        <v>-8.3266726846886741E-16</v>
      </c>
      <c r="BI189" s="22">
        <f t="shared" si="17"/>
        <v>-1.4988010832439613E-15</v>
      </c>
    </row>
    <row r="190" spans="2:61" x14ac:dyDescent="0.25">
      <c r="B190" s="312">
        <v>45</v>
      </c>
      <c r="C190" s="312" t="s">
        <v>548</v>
      </c>
      <c r="D190" s="312" t="s">
        <v>390</v>
      </c>
      <c r="E190" s="312">
        <v>9</v>
      </c>
      <c r="F190" s="312">
        <v>2</v>
      </c>
      <c r="G190" s="313" t="s">
        <v>200</v>
      </c>
      <c r="H190" s="313"/>
      <c r="I190" s="346">
        <v>3984</v>
      </c>
      <c r="J190" s="317">
        <v>442</v>
      </c>
      <c r="K190" s="317">
        <v>3542</v>
      </c>
      <c r="L190" s="317">
        <v>0</v>
      </c>
      <c r="M190" s="317"/>
      <c r="N190" s="319">
        <v>0.1211</v>
      </c>
      <c r="O190" s="319">
        <v>5.7599999999999998E-2</v>
      </c>
      <c r="P190" s="319">
        <v>0.31740000000000002</v>
      </c>
      <c r="Q190" s="319">
        <v>7.2700000000000001E-2</v>
      </c>
      <c r="R190" s="319">
        <v>5.2699999999999997E-2</v>
      </c>
      <c r="S190" s="319">
        <v>0.31759999999999999</v>
      </c>
      <c r="T190" s="319">
        <v>0</v>
      </c>
      <c r="U190" s="319">
        <v>0.63149999999999995</v>
      </c>
      <c r="V190" s="319">
        <v>1.9351</v>
      </c>
      <c r="W190" s="319">
        <v>0</v>
      </c>
      <c r="X190" s="319">
        <v>0.1429</v>
      </c>
      <c r="Y190" s="319">
        <v>0</v>
      </c>
      <c r="Z190" s="319">
        <v>2.5384000000000002</v>
      </c>
      <c r="AA190" s="319">
        <v>0.16159999999999999</v>
      </c>
      <c r="AB190" s="319">
        <v>0.20810000000000001</v>
      </c>
      <c r="AC190" s="319">
        <v>8.8099999999999998E-2</v>
      </c>
      <c r="AD190" s="319">
        <v>0.1336</v>
      </c>
      <c r="AE190" s="319">
        <v>0.1024</v>
      </c>
      <c r="AF190" s="319">
        <v>0.1399</v>
      </c>
      <c r="AG190" s="319">
        <v>2.8000000000000001E-2</v>
      </c>
      <c r="AH190" s="319">
        <v>0</v>
      </c>
      <c r="AI190" s="319">
        <v>1.3545</v>
      </c>
      <c r="AJ190" s="319">
        <v>1.8905000000000001</v>
      </c>
      <c r="AK190" s="319">
        <v>8.3000000000000004E-2</v>
      </c>
      <c r="AL190" s="319">
        <v>0.54400000000000004</v>
      </c>
      <c r="AM190" s="319">
        <v>3.8800000000000001E-2</v>
      </c>
      <c r="AN190" s="319">
        <v>6.3E-3</v>
      </c>
      <c r="AO190" s="319">
        <v>0.34560000000000002</v>
      </c>
      <c r="AP190" s="319">
        <v>0.49980000000000002</v>
      </c>
      <c r="AQ190" s="319">
        <v>0</v>
      </c>
      <c r="AR190" s="319">
        <v>0.46879999999999999</v>
      </c>
      <c r="AS190" s="319">
        <v>0.59060000000000001</v>
      </c>
      <c r="AT190" s="331">
        <v>0.2621</v>
      </c>
      <c r="AU190" s="336">
        <v>9.8450999999999986</v>
      </c>
      <c r="AV190" s="329">
        <v>12.4018</v>
      </c>
      <c r="AW190" s="337">
        <v>5.5037999999999991</v>
      </c>
      <c r="AX190" s="334"/>
      <c r="AY190" s="323">
        <v>7.7525000000000013</v>
      </c>
      <c r="AZ190" s="323">
        <v>10.722700000000001</v>
      </c>
      <c r="BA190" s="323">
        <v>4.7279000000000009</v>
      </c>
      <c r="BB190" s="319"/>
      <c r="BC190" s="321">
        <f t="shared" si="12"/>
        <v>1.2699258303772973</v>
      </c>
      <c r="BD190" s="321">
        <f t="shared" si="13"/>
        <v>1.156593022279836</v>
      </c>
      <c r="BE190" s="321">
        <f t="shared" si="14"/>
        <v>1.1641109160515235</v>
      </c>
      <c r="BG190" s="22">
        <f t="shared" si="15"/>
        <v>6.6613381477509392E-16</v>
      </c>
      <c r="BH190" s="22">
        <f t="shared" si="16"/>
        <v>0</v>
      </c>
      <c r="BI190" s="22">
        <f t="shared" si="17"/>
        <v>-1.915134717478395E-15</v>
      </c>
    </row>
    <row r="191" spans="2:61" x14ac:dyDescent="0.25">
      <c r="B191" s="312">
        <v>46</v>
      </c>
      <c r="C191" s="312" t="s">
        <v>550</v>
      </c>
      <c r="D191" s="312" t="s">
        <v>390</v>
      </c>
      <c r="E191" s="312">
        <v>9</v>
      </c>
      <c r="F191" s="312">
        <v>2</v>
      </c>
      <c r="G191" s="313" t="s">
        <v>201</v>
      </c>
      <c r="H191" s="313"/>
      <c r="I191" s="346">
        <v>3750.4</v>
      </c>
      <c r="J191" s="317">
        <v>411.70000000000027</v>
      </c>
      <c r="K191" s="317">
        <v>3338.7</v>
      </c>
      <c r="L191" s="317">
        <v>0</v>
      </c>
      <c r="M191" s="317"/>
      <c r="N191" s="319">
        <v>0.13159999999999999</v>
      </c>
      <c r="O191" s="319">
        <v>6.9599999999999995E-2</v>
      </c>
      <c r="P191" s="319">
        <v>0.30270000000000002</v>
      </c>
      <c r="Q191" s="319">
        <v>6.7900000000000002E-2</v>
      </c>
      <c r="R191" s="319">
        <v>2.3400000000000001E-2</v>
      </c>
      <c r="S191" s="319">
        <v>0.2074</v>
      </c>
      <c r="T191" s="319">
        <v>0</v>
      </c>
      <c r="U191" s="319">
        <v>0.63149999999999995</v>
      </c>
      <c r="V191" s="319">
        <v>2.0529000000000002</v>
      </c>
      <c r="W191" s="319">
        <v>0</v>
      </c>
      <c r="X191" s="319">
        <v>0.15179999999999999</v>
      </c>
      <c r="Y191" s="319">
        <v>0</v>
      </c>
      <c r="Z191" s="319">
        <v>1.9976</v>
      </c>
      <c r="AA191" s="319">
        <v>0.1754</v>
      </c>
      <c r="AB191" s="319">
        <v>0.251</v>
      </c>
      <c r="AC191" s="319">
        <v>0.10100000000000001</v>
      </c>
      <c r="AD191" s="319">
        <v>9.3100000000000002E-2</v>
      </c>
      <c r="AE191" s="319">
        <v>4.5600000000000002E-2</v>
      </c>
      <c r="AF191" s="319">
        <v>4.2299999999999997E-2</v>
      </c>
      <c r="AG191" s="319">
        <v>3.2500000000000001E-2</v>
      </c>
      <c r="AH191" s="319">
        <v>0</v>
      </c>
      <c r="AI191" s="319">
        <v>1.7786</v>
      </c>
      <c r="AJ191" s="319">
        <v>1.5629</v>
      </c>
      <c r="AK191" s="319">
        <v>8.1199999999999994E-2</v>
      </c>
      <c r="AL191" s="319">
        <v>0.498</v>
      </c>
      <c r="AM191" s="319">
        <v>3.6200000000000003E-2</v>
      </c>
      <c r="AN191" s="319">
        <v>5.8999999999999999E-3</v>
      </c>
      <c r="AO191" s="319">
        <v>0.18490000000000001</v>
      </c>
      <c r="AP191" s="319">
        <v>0.26350000000000001</v>
      </c>
      <c r="AQ191" s="319">
        <v>0</v>
      </c>
      <c r="AR191" s="319">
        <v>0.42359999999999998</v>
      </c>
      <c r="AS191" s="319">
        <v>0.53939999999999999</v>
      </c>
      <c r="AT191" s="331">
        <v>0.22239999999999999</v>
      </c>
      <c r="AU191" s="336">
        <v>8.8956999999999997</v>
      </c>
      <c r="AV191" s="329">
        <v>11.3279</v>
      </c>
      <c r="AW191" s="337">
        <v>4.6700999999999988</v>
      </c>
      <c r="AX191" s="334"/>
      <c r="AY191" s="323">
        <v>7.0047999999999995</v>
      </c>
      <c r="AZ191" s="323">
        <v>9.9209999999999994</v>
      </c>
      <c r="BA191" s="323">
        <v>4.1115999999999993</v>
      </c>
      <c r="BB191" s="319"/>
      <c r="BC191" s="321">
        <f t="shared" si="12"/>
        <v>1.2699434673366834</v>
      </c>
      <c r="BD191" s="321">
        <f t="shared" si="13"/>
        <v>1.1418103013809091</v>
      </c>
      <c r="BE191" s="321">
        <f t="shared" si="14"/>
        <v>1.1358351979764567</v>
      </c>
      <c r="BG191" s="22">
        <f t="shared" si="15"/>
        <v>0</v>
      </c>
      <c r="BH191" s="22">
        <f t="shared" si="16"/>
        <v>-1.3322676295501878E-15</v>
      </c>
      <c r="BI191" s="22">
        <f t="shared" si="17"/>
        <v>-8.8817841970012523E-16</v>
      </c>
    </row>
    <row r="192" spans="2:61" x14ac:dyDescent="0.25">
      <c r="B192" s="312">
        <v>49</v>
      </c>
      <c r="C192" s="312" t="s">
        <v>556</v>
      </c>
      <c r="D192" s="312" t="s">
        <v>390</v>
      </c>
      <c r="E192" s="312">
        <v>9</v>
      </c>
      <c r="F192" s="312">
        <v>1</v>
      </c>
      <c r="G192" s="313" t="s">
        <v>202</v>
      </c>
      <c r="H192" s="313"/>
      <c r="I192" s="346">
        <v>2449.6999999999998</v>
      </c>
      <c r="J192" s="317">
        <v>301.79999999999973</v>
      </c>
      <c r="K192" s="317">
        <v>2147.9</v>
      </c>
      <c r="L192" s="317">
        <v>0</v>
      </c>
      <c r="M192" s="317"/>
      <c r="N192" s="319">
        <v>0.1464</v>
      </c>
      <c r="O192" s="319">
        <v>0.1353</v>
      </c>
      <c r="P192" s="319">
        <v>0.31159999999999999</v>
      </c>
      <c r="Q192" s="319">
        <v>6.4699999999999994E-2</v>
      </c>
      <c r="R192" s="319">
        <v>3.0200000000000001E-2</v>
      </c>
      <c r="S192" s="319">
        <v>0.1908</v>
      </c>
      <c r="T192" s="319">
        <v>0</v>
      </c>
      <c r="U192" s="319">
        <v>0.63149999999999995</v>
      </c>
      <c r="V192" s="319">
        <v>0.9204</v>
      </c>
      <c r="W192" s="319">
        <v>0</v>
      </c>
      <c r="X192" s="319">
        <v>0.1033</v>
      </c>
      <c r="Y192" s="319">
        <v>0</v>
      </c>
      <c r="Z192" s="319">
        <v>1.4388000000000001</v>
      </c>
      <c r="AA192" s="319">
        <v>0.1923</v>
      </c>
      <c r="AB192" s="319">
        <v>0.34089999999999998</v>
      </c>
      <c r="AC192" s="319">
        <v>9.1999999999999998E-2</v>
      </c>
      <c r="AD192" s="319">
        <v>8.2000000000000003E-2</v>
      </c>
      <c r="AE192" s="319">
        <v>5.8700000000000002E-2</v>
      </c>
      <c r="AF192" s="319">
        <v>5.1700000000000003E-2</v>
      </c>
      <c r="AG192" s="319">
        <v>3.0700000000000002E-2</v>
      </c>
      <c r="AH192" s="319">
        <v>0</v>
      </c>
      <c r="AI192" s="319">
        <v>2.7732999999999999</v>
      </c>
      <c r="AJ192" s="319">
        <v>1.1444000000000001</v>
      </c>
      <c r="AK192" s="319">
        <v>9.2700000000000005E-2</v>
      </c>
      <c r="AL192" s="319">
        <v>0.35560000000000003</v>
      </c>
      <c r="AM192" s="319">
        <v>3.4000000000000002E-2</v>
      </c>
      <c r="AN192" s="319">
        <v>5.4999999999999997E-3</v>
      </c>
      <c r="AO192" s="319">
        <v>0.16689999999999999</v>
      </c>
      <c r="AP192" s="319">
        <v>0.42170000000000002</v>
      </c>
      <c r="AQ192" s="319">
        <v>0</v>
      </c>
      <c r="AR192" s="319">
        <v>0.42370000000000002</v>
      </c>
      <c r="AS192" s="319">
        <v>0.49080000000000001</v>
      </c>
      <c r="AT192" s="331">
        <v>0.20169999999999999</v>
      </c>
      <c r="AU192" s="336">
        <v>8.8970000000000002</v>
      </c>
      <c r="AV192" s="329">
        <v>10.3062</v>
      </c>
      <c r="AW192" s="337">
        <v>4.2347999999999999</v>
      </c>
      <c r="AX192" s="334"/>
      <c r="AY192" s="323">
        <v>7.0060000000000002</v>
      </c>
      <c r="AZ192" s="323">
        <v>8.8481000000000005</v>
      </c>
      <c r="BA192" s="323">
        <v>3.9281000000000001</v>
      </c>
      <c r="BB192" s="319"/>
      <c r="BC192" s="321">
        <f t="shared" si="12"/>
        <v>1.2699115044247788</v>
      </c>
      <c r="BD192" s="321">
        <f t="shared" si="13"/>
        <v>1.1647924413150845</v>
      </c>
      <c r="BE192" s="321">
        <f t="shared" si="14"/>
        <v>1.0780784603243299</v>
      </c>
      <c r="BG192" s="22">
        <f t="shared" si="15"/>
        <v>-2.4424906541753444E-15</v>
      </c>
      <c r="BH192" s="22">
        <f t="shared" si="16"/>
        <v>-1.27675647831893E-15</v>
      </c>
      <c r="BI192" s="22">
        <f t="shared" si="17"/>
        <v>1.3877787807814457E-15</v>
      </c>
    </row>
    <row r="193" spans="2:61" x14ac:dyDescent="0.25">
      <c r="B193" s="312">
        <v>54</v>
      </c>
      <c r="C193" s="312" t="s">
        <v>566</v>
      </c>
      <c r="D193" s="312" t="s">
        <v>390</v>
      </c>
      <c r="E193" s="312">
        <v>9</v>
      </c>
      <c r="F193" s="312">
        <v>2</v>
      </c>
      <c r="G193" s="313" t="s">
        <v>203</v>
      </c>
      <c r="H193" s="313"/>
      <c r="I193" s="346">
        <v>3989.9</v>
      </c>
      <c r="J193" s="317">
        <v>447.70000000000027</v>
      </c>
      <c r="K193" s="317">
        <v>3542.2</v>
      </c>
      <c r="L193" s="317">
        <v>0</v>
      </c>
      <c r="M193" s="317"/>
      <c r="N193" s="319">
        <v>0.1188</v>
      </c>
      <c r="O193" s="319">
        <v>5.8200000000000002E-2</v>
      </c>
      <c r="P193" s="319">
        <v>0.29349999999999998</v>
      </c>
      <c r="Q193" s="319">
        <v>6.4100000000000004E-2</v>
      </c>
      <c r="R193" s="319">
        <v>5.21E-2</v>
      </c>
      <c r="S193" s="319">
        <v>0.27639999999999998</v>
      </c>
      <c r="T193" s="319">
        <v>0</v>
      </c>
      <c r="U193" s="319">
        <v>0.63149999999999995</v>
      </c>
      <c r="V193" s="319">
        <v>1.9350000000000001</v>
      </c>
      <c r="W193" s="319">
        <v>0</v>
      </c>
      <c r="X193" s="319">
        <v>0.14269999999999999</v>
      </c>
      <c r="Y193" s="319">
        <v>0</v>
      </c>
      <c r="Z193" s="319">
        <v>2.1572</v>
      </c>
      <c r="AA193" s="319">
        <v>0.15909999999999999</v>
      </c>
      <c r="AB193" s="319">
        <v>0.2102</v>
      </c>
      <c r="AC193" s="319">
        <v>0.104</v>
      </c>
      <c r="AD193" s="319">
        <v>0.1042</v>
      </c>
      <c r="AE193" s="319">
        <v>0.1013</v>
      </c>
      <c r="AF193" s="319">
        <v>8.43E-2</v>
      </c>
      <c r="AG193" s="319">
        <v>2.7699999999999999E-2</v>
      </c>
      <c r="AH193" s="319">
        <v>0</v>
      </c>
      <c r="AI193" s="319">
        <v>2.4611999999999998</v>
      </c>
      <c r="AJ193" s="319">
        <v>1.5952</v>
      </c>
      <c r="AK193" s="319">
        <v>8.2299999999999998E-2</v>
      </c>
      <c r="AL193" s="319">
        <v>0.54400000000000004</v>
      </c>
      <c r="AM193" s="319">
        <v>3.8800000000000001E-2</v>
      </c>
      <c r="AN193" s="319">
        <v>6.3E-3</v>
      </c>
      <c r="AO193" s="319">
        <v>0.23089999999999999</v>
      </c>
      <c r="AP193" s="319">
        <v>0.46760000000000002</v>
      </c>
      <c r="AQ193" s="319">
        <v>0</v>
      </c>
      <c r="AR193" s="319">
        <v>0.47720000000000001</v>
      </c>
      <c r="AS193" s="319">
        <v>0.59730000000000005</v>
      </c>
      <c r="AT193" s="331">
        <v>0.2356</v>
      </c>
      <c r="AU193" s="336">
        <v>10.0212</v>
      </c>
      <c r="AV193" s="329">
        <v>12.543900000000001</v>
      </c>
      <c r="AW193" s="337">
        <v>4.9482999999999997</v>
      </c>
      <c r="AX193" s="334"/>
      <c r="AY193" s="323">
        <v>7.8911000000000007</v>
      </c>
      <c r="AZ193" s="323">
        <v>10.746600000000001</v>
      </c>
      <c r="BA193" s="323">
        <v>4.3909000000000011</v>
      </c>
      <c r="BB193" s="319"/>
      <c r="BC193" s="321">
        <f t="shared" si="12"/>
        <v>1.2699370176527986</v>
      </c>
      <c r="BD193" s="321">
        <f t="shared" si="13"/>
        <v>1.1672435933225391</v>
      </c>
      <c r="BE193" s="321">
        <f t="shared" si="14"/>
        <v>1.1269443622036481</v>
      </c>
      <c r="BG193" s="22">
        <f t="shared" si="15"/>
        <v>3.0531133177191805E-15</v>
      </c>
      <c r="BH193" s="22">
        <f t="shared" si="16"/>
        <v>-1.124100812432971E-15</v>
      </c>
      <c r="BI193" s="22">
        <f t="shared" si="17"/>
        <v>-6.8001160258290838E-16</v>
      </c>
    </row>
    <row r="194" spans="2:61" x14ac:dyDescent="0.25">
      <c r="B194" s="312">
        <v>55</v>
      </c>
      <c r="C194" s="312" t="s">
        <v>568</v>
      </c>
      <c r="D194" s="312" t="s">
        <v>390</v>
      </c>
      <c r="E194" s="312">
        <v>9</v>
      </c>
      <c r="F194" s="312">
        <v>2</v>
      </c>
      <c r="G194" s="313" t="s">
        <v>204</v>
      </c>
      <c r="H194" s="313"/>
      <c r="I194" s="346">
        <v>4478.3999999999996</v>
      </c>
      <c r="J194" s="317">
        <v>496.99999999999955</v>
      </c>
      <c r="K194" s="317">
        <v>3981.4</v>
      </c>
      <c r="L194" s="317">
        <v>0</v>
      </c>
      <c r="M194" s="317"/>
      <c r="N194" s="319">
        <v>0.1663</v>
      </c>
      <c r="O194" s="319">
        <v>6.08E-2</v>
      </c>
      <c r="P194" s="319">
        <v>0.29430000000000001</v>
      </c>
      <c r="Q194" s="319">
        <v>7.3899999999999993E-2</v>
      </c>
      <c r="R194" s="319">
        <v>5.5800000000000002E-2</v>
      </c>
      <c r="S194" s="319">
        <v>0.29010000000000002</v>
      </c>
      <c r="T194" s="319">
        <v>0</v>
      </c>
      <c r="U194" s="319">
        <v>0.63149999999999995</v>
      </c>
      <c r="V194" s="319">
        <v>1.7215</v>
      </c>
      <c r="W194" s="319">
        <v>0</v>
      </c>
      <c r="X194" s="319">
        <v>0.12709999999999999</v>
      </c>
      <c r="Y194" s="319">
        <v>0</v>
      </c>
      <c r="Z194" s="319">
        <v>2.7890999999999999</v>
      </c>
      <c r="AA194" s="319">
        <v>0.22850000000000001</v>
      </c>
      <c r="AB194" s="319">
        <v>0.219</v>
      </c>
      <c r="AC194" s="319">
        <v>0.10249999999999999</v>
      </c>
      <c r="AD194" s="319">
        <v>0.1782</v>
      </c>
      <c r="AE194" s="319">
        <v>0.1085</v>
      </c>
      <c r="AF194" s="319">
        <v>0.13109999999999999</v>
      </c>
      <c r="AG194" s="319">
        <v>2.81E-2</v>
      </c>
      <c r="AH194" s="319">
        <v>0</v>
      </c>
      <c r="AI194" s="319">
        <v>1.2503</v>
      </c>
      <c r="AJ194" s="319">
        <v>1.6389</v>
      </c>
      <c r="AK194" s="319">
        <v>8.2100000000000006E-2</v>
      </c>
      <c r="AL194" s="319">
        <v>0.54100000000000004</v>
      </c>
      <c r="AM194" s="319">
        <v>3.8600000000000002E-2</v>
      </c>
      <c r="AN194" s="319">
        <v>6.3E-3</v>
      </c>
      <c r="AO194" s="319">
        <v>0.27739999999999998</v>
      </c>
      <c r="AP194" s="319">
        <v>0.44979999999999998</v>
      </c>
      <c r="AQ194" s="319">
        <v>0</v>
      </c>
      <c r="AR194" s="319">
        <v>0.46600000000000003</v>
      </c>
      <c r="AS194" s="319">
        <v>0.57450000000000001</v>
      </c>
      <c r="AT194" s="331">
        <v>0.28060000000000002</v>
      </c>
      <c r="AU194" s="336">
        <v>9.785400000000001</v>
      </c>
      <c r="AV194" s="329">
        <v>12.065200000000003</v>
      </c>
      <c r="AW194" s="337">
        <v>5.8924000000000012</v>
      </c>
      <c r="AX194" s="334"/>
      <c r="AY194" s="323">
        <v>7.7055000000000016</v>
      </c>
      <c r="AZ194" s="323">
        <v>10.2349</v>
      </c>
      <c r="BA194" s="323">
        <v>4.972500000000001</v>
      </c>
      <c r="BB194" s="319"/>
      <c r="BC194" s="321">
        <f t="shared" si="12"/>
        <v>1.2699240802024527</v>
      </c>
      <c r="BD194" s="321">
        <f t="shared" si="13"/>
        <v>1.1788292997488987</v>
      </c>
      <c r="BE194" s="321">
        <f t="shared" si="14"/>
        <v>1.1849974861739567</v>
      </c>
      <c r="BG194" s="22">
        <f t="shared" si="15"/>
        <v>0</v>
      </c>
      <c r="BH194" s="22">
        <f t="shared" si="16"/>
        <v>0</v>
      </c>
      <c r="BI194" s="22">
        <f t="shared" si="17"/>
        <v>3.0531133177191805E-16</v>
      </c>
    </row>
    <row r="195" spans="2:61" x14ac:dyDescent="0.25">
      <c r="B195" s="312">
        <v>56</v>
      </c>
      <c r="C195" s="312" t="s">
        <v>570</v>
      </c>
      <c r="D195" s="312" t="s">
        <v>390</v>
      </c>
      <c r="E195" s="312">
        <v>9</v>
      </c>
      <c r="F195" s="312">
        <v>2</v>
      </c>
      <c r="G195" s="313" t="s">
        <v>205</v>
      </c>
      <c r="H195" s="313"/>
      <c r="I195" s="346">
        <v>6372.18</v>
      </c>
      <c r="J195" s="317">
        <v>706.80000000000018</v>
      </c>
      <c r="K195" s="317">
        <v>5665.38</v>
      </c>
      <c r="L195" s="317">
        <v>0</v>
      </c>
      <c r="M195" s="317"/>
      <c r="N195" s="319">
        <v>0.19620000000000001</v>
      </c>
      <c r="O195" s="319">
        <v>6.9699999999999998E-2</v>
      </c>
      <c r="P195" s="319">
        <v>0.31590000000000001</v>
      </c>
      <c r="Q195" s="319">
        <v>7.2999999999999995E-2</v>
      </c>
      <c r="R195" s="319">
        <v>5.1700000000000003E-2</v>
      </c>
      <c r="S195" s="319">
        <v>0.21809999999999999</v>
      </c>
      <c r="T195" s="319">
        <v>0</v>
      </c>
      <c r="U195" s="319">
        <v>0.63149999999999995</v>
      </c>
      <c r="V195" s="319">
        <v>1.2098</v>
      </c>
      <c r="W195" s="319">
        <v>0</v>
      </c>
      <c r="X195" s="319">
        <v>0.1229</v>
      </c>
      <c r="Y195" s="319">
        <v>0</v>
      </c>
      <c r="Z195" s="319">
        <v>2.8060999999999998</v>
      </c>
      <c r="AA195" s="319">
        <v>0.27139999999999997</v>
      </c>
      <c r="AB195" s="319">
        <v>0.24959999999999999</v>
      </c>
      <c r="AC195" s="319">
        <v>0.09</v>
      </c>
      <c r="AD195" s="319">
        <v>0.1678</v>
      </c>
      <c r="AE195" s="319">
        <v>0.10059999999999999</v>
      </c>
      <c r="AF195" s="319">
        <v>0.1046</v>
      </c>
      <c r="AG195" s="319">
        <v>2.7099999999999999E-2</v>
      </c>
      <c r="AH195" s="319">
        <v>0</v>
      </c>
      <c r="AI195" s="319">
        <v>0.74050000000000005</v>
      </c>
      <c r="AJ195" s="319">
        <v>1.1852</v>
      </c>
      <c r="AK195" s="319">
        <v>8.3099999999999993E-2</v>
      </c>
      <c r="AL195" s="319">
        <v>0.41149999999999998</v>
      </c>
      <c r="AM195" s="319">
        <v>3.85E-2</v>
      </c>
      <c r="AN195" s="319">
        <v>6.1999999999999998E-3</v>
      </c>
      <c r="AO195" s="319">
        <v>0.44669999999999999</v>
      </c>
      <c r="AP195" s="319">
        <v>0.44769999999999999</v>
      </c>
      <c r="AQ195" s="319">
        <v>0</v>
      </c>
      <c r="AR195" s="319">
        <v>0.4204</v>
      </c>
      <c r="AS195" s="319">
        <v>0.50329999999999997</v>
      </c>
      <c r="AT195" s="331">
        <v>0.28120000000000001</v>
      </c>
      <c r="AU195" s="336">
        <v>8.8282999999999987</v>
      </c>
      <c r="AV195" s="329">
        <v>10.568699999999996</v>
      </c>
      <c r="AW195" s="337">
        <v>5.905199999999998</v>
      </c>
      <c r="AX195" s="334"/>
      <c r="AY195" s="323">
        <v>6.9529000000000023</v>
      </c>
      <c r="AZ195" s="323">
        <v>8.8489000000000022</v>
      </c>
      <c r="BA195" s="323">
        <v>4.7387000000000015</v>
      </c>
      <c r="BB195" s="319"/>
      <c r="BC195" s="321">
        <f t="shared" si="12"/>
        <v>1.2697291777531672</v>
      </c>
      <c r="BD195" s="321">
        <f t="shared" si="13"/>
        <v>1.1943518403417366</v>
      </c>
      <c r="BE195" s="321">
        <f t="shared" si="14"/>
        <v>1.2461645599003939</v>
      </c>
      <c r="BG195" s="22">
        <f t="shared" si="15"/>
        <v>1.5543122344752192E-15</v>
      </c>
      <c r="BH195" s="22">
        <f t="shared" si="16"/>
        <v>-1.8041124150158794E-15</v>
      </c>
      <c r="BI195" s="22">
        <f t="shared" si="17"/>
        <v>-4.7184478546569153E-16</v>
      </c>
    </row>
    <row r="196" spans="2:61" x14ac:dyDescent="0.25">
      <c r="B196" s="312">
        <v>57</v>
      </c>
      <c r="C196" s="312" t="s">
        <v>572</v>
      </c>
      <c r="D196" s="312" t="s">
        <v>390</v>
      </c>
      <c r="E196" s="312">
        <v>9</v>
      </c>
      <c r="F196" s="312">
        <v>1</v>
      </c>
      <c r="G196" s="313" t="s">
        <v>206</v>
      </c>
      <c r="H196" s="313"/>
      <c r="I196" s="346">
        <v>1983.2</v>
      </c>
      <c r="J196" s="317">
        <v>219.79999999999995</v>
      </c>
      <c r="K196" s="317">
        <v>1763.4</v>
      </c>
      <c r="L196" s="317">
        <v>0</v>
      </c>
      <c r="M196" s="317"/>
      <c r="N196" s="319">
        <v>0.13719999999999999</v>
      </c>
      <c r="O196" s="319">
        <v>6.7699999999999996E-2</v>
      </c>
      <c r="P196" s="319">
        <v>0.29930000000000001</v>
      </c>
      <c r="Q196" s="319">
        <v>8.8300000000000003E-2</v>
      </c>
      <c r="R196" s="319">
        <v>5.79E-2</v>
      </c>
      <c r="S196" s="319">
        <v>0.27250000000000002</v>
      </c>
      <c r="T196" s="319">
        <v>0</v>
      </c>
      <c r="U196" s="319">
        <v>0.63149999999999995</v>
      </c>
      <c r="V196" s="319">
        <v>1.4637</v>
      </c>
      <c r="W196" s="319">
        <v>0</v>
      </c>
      <c r="X196" s="319">
        <v>0.14349999999999999</v>
      </c>
      <c r="Y196" s="319">
        <v>0</v>
      </c>
      <c r="Z196" s="319">
        <v>1.8082</v>
      </c>
      <c r="AA196" s="319">
        <v>0.18060000000000001</v>
      </c>
      <c r="AB196" s="319">
        <v>0.24410000000000001</v>
      </c>
      <c r="AC196" s="319">
        <v>0.1046</v>
      </c>
      <c r="AD196" s="319">
        <v>0.22550000000000001</v>
      </c>
      <c r="AE196" s="319">
        <v>0.11269999999999999</v>
      </c>
      <c r="AF196" s="319">
        <v>7.6399999999999996E-2</v>
      </c>
      <c r="AG196" s="319">
        <v>2.7099999999999999E-2</v>
      </c>
      <c r="AH196" s="319">
        <v>0</v>
      </c>
      <c r="AI196" s="319">
        <v>2.6368</v>
      </c>
      <c r="AJ196" s="319">
        <v>1.8089999999999999</v>
      </c>
      <c r="AK196" s="319">
        <v>8.5999999999999993E-2</v>
      </c>
      <c r="AL196" s="319">
        <v>0.54690000000000005</v>
      </c>
      <c r="AM196" s="319">
        <v>3.9899999999999998E-2</v>
      </c>
      <c r="AN196" s="319">
        <v>6.4999999999999997E-3</v>
      </c>
      <c r="AO196" s="319">
        <v>0.41499999999999998</v>
      </c>
      <c r="AP196" s="319">
        <v>0.58699999999999997</v>
      </c>
      <c r="AQ196" s="319">
        <v>0</v>
      </c>
      <c r="AR196" s="319">
        <v>0.50090000000000001</v>
      </c>
      <c r="AS196" s="319">
        <v>0.60340000000000005</v>
      </c>
      <c r="AT196" s="331">
        <v>0.23050000000000001</v>
      </c>
      <c r="AU196" s="336">
        <v>10.5181</v>
      </c>
      <c r="AV196" s="329">
        <v>12.6713</v>
      </c>
      <c r="AW196" s="337">
        <v>4.8400000000000007</v>
      </c>
      <c r="AX196" s="334"/>
      <c r="AY196" s="323">
        <v>8.2825000000000006</v>
      </c>
      <c r="AZ196" s="323">
        <v>10.779299999999999</v>
      </c>
      <c r="BA196" s="323">
        <v>4.2995999999999999</v>
      </c>
      <c r="BB196" s="319"/>
      <c r="BC196" s="321">
        <f t="shared" si="12"/>
        <v>1.2699185028674917</v>
      </c>
      <c r="BD196" s="321">
        <f t="shared" si="13"/>
        <v>1.1755216015882295</v>
      </c>
      <c r="BE196" s="321">
        <f t="shared" si="14"/>
        <v>1.1256861103358453</v>
      </c>
      <c r="BG196" s="22">
        <f t="shared" si="15"/>
        <v>0</v>
      </c>
      <c r="BH196" s="22">
        <f t="shared" si="16"/>
        <v>0</v>
      </c>
      <c r="BI196" s="22">
        <f t="shared" si="17"/>
        <v>0</v>
      </c>
    </row>
    <row r="197" spans="2:61" x14ac:dyDescent="0.25">
      <c r="B197" s="312">
        <v>58</v>
      </c>
      <c r="C197" s="312" t="s">
        <v>574</v>
      </c>
      <c r="D197" s="312" t="s">
        <v>390</v>
      </c>
      <c r="E197" s="312">
        <v>9</v>
      </c>
      <c r="F197" s="312">
        <v>2</v>
      </c>
      <c r="G197" s="313" t="s">
        <v>207</v>
      </c>
      <c r="H197" s="313"/>
      <c r="I197" s="346">
        <v>5220.3999999999996</v>
      </c>
      <c r="J197" s="317">
        <v>581.30000000000018</v>
      </c>
      <c r="K197" s="317">
        <v>4639.0999999999995</v>
      </c>
      <c r="L197" s="317">
        <v>0</v>
      </c>
      <c r="M197" s="317"/>
      <c r="N197" s="319">
        <v>0.1195</v>
      </c>
      <c r="O197" s="319">
        <v>6.8699999999999997E-2</v>
      </c>
      <c r="P197" s="319">
        <v>0.29360000000000003</v>
      </c>
      <c r="Q197" s="319">
        <v>6.2700000000000006E-2</v>
      </c>
      <c r="R197" s="319">
        <v>5.21E-2</v>
      </c>
      <c r="S197" s="319">
        <v>0.25319999999999998</v>
      </c>
      <c r="T197" s="319">
        <v>0</v>
      </c>
      <c r="U197" s="319">
        <v>0.63149999999999995</v>
      </c>
      <c r="V197" s="319">
        <v>1.1128</v>
      </c>
      <c r="W197" s="319">
        <v>0</v>
      </c>
      <c r="X197" s="319">
        <v>0.1363</v>
      </c>
      <c r="Y197" s="319">
        <v>0</v>
      </c>
      <c r="Z197" s="319">
        <v>2.4045000000000001</v>
      </c>
      <c r="AA197" s="319">
        <v>0.1651</v>
      </c>
      <c r="AB197" s="319">
        <v>0.2467</v>
      </c>
      <c r="AC197" s="319">
        <v>0.1043</v>
      </c>
      <c r="AD197" s="319">
        <v>9.5200000000000007E-2</v>
      </c>
      <c r="AE197" s="319">
        <v>0.1012</v>
      </c>
      <c r="AF197" s="319">
        <v>0.1163</v>
      </c>
      <c r="AG197" s="319">
        <v>2.7099999999999999E-2</v>
      </c>
      <c r="AH197" s="319">
        <v>0</v>
      </c>
      <c r="AI197" s="319">
        <v>2.5888</v>
      </c>
      <c r="AJ197" s="319">
        <v>1.2533000000000001</v>
      </c>
      <c r="AK197" s="319">
        <v>8.43E-2</v>
      </c>
      <c r="AL197" s="319">
        <v>0.47410000000000002</v>
      </c>
      <c r="AM197" s="319">
        <v>3.7699999999999997E-2</v>
      </c>
      <c r="AN197" s="319">
        <v>6.1000000000000004E-3</v>
      </c>
      <c r="AO197" s="319">
        <v>0.33310000000000001</v>
      </c>
      <c r="AP197" s="319">
        <v>0.44629999999999997</v>
      </c>
      <c r="AQ197" s="319">
        <v>0</v>
      </c>
      <c r="AR197" s="319">
        <v>0.48280000000000001</v>
      </c>
      <c r="AS197" s="319">
        <v>0.56069999999999998</v>
      </c>
      <c r="AT197" s="331">
        <v>0.25030000000000002</v>
      </c>
      <c r="AU197" s="336">
        <v>10.138199999999999</v>
      </c>
      <c r="AV197" s="329">
        <v>11.775200000000002</v>
      </c>
      <c r="AW197" s="337">
        <v>5.2564000000000002</v>
      </c>
      <c r="AX197" s="334"/>
      <c r="AY197" s="323">
        <v>7.9834000000000014</v>
      </c>
      <c r="AZ197" s="323">
        <v>9.9874000000000009</v>
      </c>
      <c r="BA197" s="323">
        <v>4.5813000000000024</v>
      </c>
      <c r="BB197" s="319"/>
      <c r="BC197" s="321">
        <f t="shared" si="12"/>
        <v>1.2699100633815164</v>
      </c>
      <c r="BD197" s="321">
        <f t="shared" si="13"/>
        <v>1.1790055469892065</v>
      </c>
      <c r="BE197" s="321">
        <f t="shared" si="14"/>
        <v>1.1473599196734545</v>
      </c>
      <c r="BG197" s="22">
        <f t="shared" si="15"/>
        <v>-7.2164496600635175E-16</v>
      </c>
      <c r="BH197" s="22">
        <f t="shared" si="16"/>
        <v>9.8532293435482643E-16</v>
      </c>
      <c r="BI197" s="22">
        <f t="shared" si="17"/>
        <v>-1.2490009027033011E-16</v>
      </c>
    </row>
    <row r="198" spans="2:61" x14ac:dyDescent="0.25">
      <c r="B198" s="312">
        <v>61</v>
      </c>
      <c r="C198" s="312" t="s">
        <v>580</v>
      </c>
      <c r="D198" s="312" t="s">
        <v>392</v>
      </c>
      <c r="E198" s="312">
        <v>9</v>
      </c>
      <c r="F198" s="312">
        <v>3</v>
      </c>
      <c r="G198" s="313" t="s">
        <v>208</v>
      </c>
      <c r="H198" s="313"/>
      <c r="I198" s="346">
        <v>5985.55</v>
      </c>
      <c r="J198" s="317">
        <v>653.65000000000055</v>
      </c>
      <c r="K198" s="317">
        <v>5331.9</v>
      </c>
      <c r="L198" s="317">
        <v>0</v>
      </c>
      <c r="M198" s="317"/>
      <c r="N198" s="319">
        <v>0.1908</v>
      </c>
      <c r="O198" s="319">
        <v>9.7799999999999998E-2</v>
      </c>
      <c r="P198" s="319">
        <v>0.28920000000000001</v>
      </c>
      <c r="Q198" s="319">
        <v>7.3499999999999996E-2</v>
      </c>
      <c r="R198" s="319">
        <v>2.1999999999999999E-2</v>
      </c>
      <c r="S198" s="319">
        <v>0.21870000000000001</v>
      </c>
      <c r="T198" s="319">
        <v>0</v>
      </c>
      <c r="U198" s="319">
        <v>0.63149999999999995</v>
      </c>
      <c r="V198" s="319">
        <v>1.9282999999999999</v>
      </c>
      <c r="W198" s="319">
        <v>0</v>
      </c>
      <c r="X198" s="319">
        <v>0.14269999999999999</v>
      </c>
      <c r="Y198" s="319">
        <v>0</v>
      </c>
      <c r="Z198" s="319">
        <v>1.9191</v>
      </c>
      <c r="AA198" s="319">
        <v>0.25469999999999998</v>
      </c>
      <c r="AB198" s="319">
        <v>0.3508</v>
      </c>
      <c r="AC198" s="319">
        <v>0.1174</v>
      </c>
      <c r="AD198" s="319">
        <v>0.12470000000000001</v>
      </c>
      <c r="AE198" s="319">
        <v>4.2799999999999998E-2</v>
      </c>
      <c r="AF198" s="319">
        <v>5.5399999999999998E-2</v>
      </c>
      <c r="AG198" s="319">
        <v>2.93E-2</v>
      </c>
      <c r="AH198" s="319">
        <v>0</v>
      </c>
      <c r="AI198" s="319">
        <v>2.0823</v>
      </c>
      <c r="AJ198" s="319">
        <v>1.5099</v>
      </c>
      <c r="AK198" s="319">
        <v>7.51E-2</v>
      </c>
      <c r="AL198" s="319">
        <v>0.30299999999999999</v>
      </c>
      <c r="AM198" s="319">
        <v>3.4299999999999997E-2</v>
      </c>
      <c r="AN198" s="319">
        <v>5.5999999999999999E-3</v>
      </c>
      <c r="AO198" s="319">
        <v>0.28449999999999998</v>
      </c>
      <c r="AP198" s="319">
        <v>0.58240000000000003</v>
      </c>
      <c r="AQ198" s="319">
        <v>0</v>
      </c>
      <c r="AR198" s="319">
        <v>0.44280000000000003</v>
      </c>
      <c r="AS198" s="319">
        <v>0.56830000000000003</v>
      </c>
      <c r="AT198" s="331">
        <v>0.23380000000000001</v>
      </c>
      <c r="AU198" s="336">
        <v>9.2979000000000003</v>
      </c>
      <c r="AV198" s="329">
        <v>11.934100000000001</v>
      </c>
      <c r="AW198" s="337">
        <v>4.9092000000000002</v>
      </c>
      <c r="AX198" s="334"/>
      <c r="AY198" s="323">
        <v>7.3215000000000003</v>
      </c>
      <c r="AZ198" s="323">
        <v>10.245199999999999</v>
      </c>
      <c r="BA198" s="323">
        <v>4.2656000000000001</v>
      </c>
      <c r="BB198" s="319"/>
      <c r="BC198" s="321">
        <f t="shared" si="12"/>
        <v>1.2699446834665027</v>
      </c>
      <c r="BD198" s="321">
        <f t="shared" si="13"/>
        <v>1.1648479287861635</v>
      </c>
      <c r="BE198" s="321">
        <f t="shared" si="14"/>
        <v>1.150881470367592</v>
      </c>
      <c r="BG198" s="22">
        <f t="shared" si="15"/>
        <v>3.3861802251067274E-15</v>
      </c>
      <c r="BH198" s="22">
        <f t="shared" si="16"/>
        <v>0</v>
      </c>
      <c r="BI198" s="22">
        <f t="shared" si="17"/>
        <v>0</v>
      </c>
    </row>
    <row r="199" spans="2:61" x14ac:dyDescent="0.25">
      <c r="B199" s="312">
        <v>66</v>
      </c>
      <c r="C199" s="312" t="s">
        <v>591</v>
      </c>
      <c r="D199" s="312" t="s">
        <v>392</v>
      </c>
      <c r="E199" s="312">
        <v>9</v>
      </c>
      <c r="F199" s="312">
        <v>2</v>
      </c>
      <c r="G199" s="313" t="s">
        <v>209</v>
      </c>
      <c r="H199" s="313"/>
      <c r="I199" s="346">
        <v>3996</v>
      </c>
      <c r="J199" s="317">
        <v>443.15000000000009</v>
      </c>
      <c r="K199" s="317">
        <v>3552.85</v>
      </c>
      <c r="L199" s="317">
        <v>0</v>
      </c>
      <c r="M199" s="317"/>
      <c r="N199" s="319">
        <v>0.12609999999999999</v>
      </c>
      <c r="O199" s="319">
        <v>6.54E-2</v>
      </c>
      <c r="P199" s="319">
        <v>0.30559999999999998</v>
      </c>
      <c r="Q199" s="319">
        <v>7.0800000000000002E-2</v>
      </c>
      <c r="R199" s="319">
        <v>6.8000000000000005E-2</v>
      </c>
      <c r="S199" s="319">
        <v>0.27689999999999998</v>
      </c>
      <c r="T199" s="319">
        <v>0</v>
      </c>
      <c r="U199" s="319">
        <v>0.63149999999999995</v>
      </c>
      <c r="V199" s="319">
        <v>1.9292</v>
      </c>
      <c r="W199" s="319">
        <v>0</v>
      </c>
      <c r="X199" s="319">
        <v>0.14249999999999999</v>
      </c>
      <c r="Y199" s="319">
        <v>0</v>
      </c>
      <c r="Z199" s="319">
        <v>2.0802</v>
      </c>
      <c r="AA199" s="319">
        <v>0.1676</v>
      </c>
      <c r="AB199" s="319">
        <v>0.2356</v>
      </c>
      <c r="AC199" s="319">
        <v>9.35E-2</v>
      </c>
      <c r="AD199" s="319">
        <v>0.11890000000000001</v>
      </c>
      <c r="AE199" s="319">
        <v>0.13220000000000001</v>
      </c>
      <c r="AF199" s="319">
        <v>8.48E-2</v>
      </c>
      <c r="AG199" s="319">
        <v>2.8000000000000001E-2</v>
      </c>
      <c r="AH199" s="319">
        <v>0</v>
      </c>
      <c r="AI199" s="319">
        <v>1.7381</v>
      </c>
      <c r="AJ199" s="319">
        <v>1.7806</v>
      </c>
      <c r="AK199" s="319">
        <v>8.0399999999999999E-2</v>
      </c>
      <c r="AL199" s="319">
        <v>0.50800000000000001</v>
      </c>
      <c r="AM199" s="319">
        <v>4.0800000000000003E-2</v>
      </c>
      <c r="AN199" s="319">
        <v>6.6E-3</v>
      </c>
      <c r="AO199" s="319">
        <v>0.4365</v>
      </c>
      <c r="AP199" s="319">
        <v>0.68469999999999998</v>
      </c>
      <c r="AQ199" s="319">
        <v>0</v>
      </c>
      <c r="AR199" s="319">
        <v>0.46089999999999998</v>
      </c>
      <c r="AS199" s="319">
        <v>0.59160000000000001</v>
      </c>
      <c r="AT199" s="331">
        <v>0.23780000000000001</v>
      </c>
      <c r="AU199" s="336">
        <v>9.6795000000000027</v>
      </c>
      <c r="AV199" s="329">
        <v>12.424100000000001</v>
      </c>
      <c r="AW199" s="337">
        <v>4.9932000000000007</v>
      </c>
      <c r="AX199" s="334"/>
      <c r="AY199" s="323">
        <v>7.6221999999999994</v>
      </c>
      <c r="AZ199" s="323">
        <v>10.774699999999999</v>
      </c>
      <c r="BA199" s="323">
        <v>4.3689</v>
      </c>
      <c r="BB199" s="319"/>
      <c r="BC199" s="321">
        <f t="shared" si="12"/>
        <v>1.2699089501718668</v>
      </c>
      <c r="BD199" s="321">
        <f t="shared" si="13"/>
        <v>1.1530808282365173</v>
      </c>
      <c r="BE199" s="321">
        <f t="shared" si="14"/>
        <v>1.1428963812401292</v>
      </c>
      <c r="BG199" s="22">
        <f t="shared" si="15"/>
        <v>4.9960036108132044E-15</v>
      </c>
      <c r="BH199" s="22">
        <f t="shared" si="16"/>
        <v>0</v>
      </c>
      <c r="BI199" s="22">
        <f t="shared" si="17"/>
        <v>1.2212453270876722E-15</v>
      </c>
    </row>
    <row r="200" spans="2:61" x14ac:dyDescent="0.25">
      <c r="B200" s="312">
        <v>73</v>
      </c>
      <c r="C200" s="312" t="s">
        <v>605</v>
      </c>
      <c r="D200" s="312" t="s">
        <v>392</v>
      </c>
      <c r="E200" s="312">
        <v>9</v>
      </c>
      <c r="F200" s="312">
        <v>4</v>
      </c>
      <c r="G200" s="313" t="s">
        <v>210</v>
      </c>
      <c r="H200" s="313"/>
      <c r="I200" s="346">
        <v>10151.5</v>
      </c>
      <c r="J200" s="317">
        <v>1160.8000000000011</v>
      </c>
      <c r="K200" s="317">
        <v>8937.9</v>
      </c>
      <c r="L200" s="317">
        <v>52.8</v>
      </c>
      <c r="M200" s="317"/>
      <c r="N200" s="319">
        <v>0.1222</v>
      </c>
      <c r="O200" s="319">
        <v>5.5599999999999997E-2</v>
      </c>
      <c r="P200" s="319">
        <v>0.29899999999999999</v>
      </c>
      <c r="Q200" s="319">
        <v>6.7000000000000004E-2</v>
      </c>
      <c r="R200" s="319">
        <v>5.1200000000000002E-2</v>
      </c>
      <c r="S200" s="319">
        <v>0.35820000000000002</v>
      </c>
      <c r="T200" s="319">
        <v>0</v>
      </c>
      <c r="U200" s="319">
        <v>0.63149999999999995</v>
      </c>
      <c r="V200" s="319">
        <v>1.4121999999999999</v>
      </c>
      <c r="W200" s="319">
        <v>2.01E-2</v>
      </c>
      <c r="X200" s="319">
        <v>0.1293</v>
      </c>
      <c r="Y200" s="319">
        <v>0</v>
      </c>
      <c r="Z200" s="319">
        <v>3.1017000000000001</v>
      </c>
      <c r="AA200" s="319">
        <v>0.16869999999999999</v>
      </c>
      <c r="AB200" s="319">
        <v>0.20019999999999999</v>
      </c>
      <c r="AC200" s="319">
        <v>0.1123</v>
      </c>
      <c r="AD200" s="319">
        <v>7.9100000000000004E-2</v>
      </c>
      <c r="AE200" s="319">
        <v>9.9500000000000005E-2</v>
      </c>
      <c r="AF200" s="319">
        <v>0.16200000000000001</v>
      </c>
      <c r="AG200" s="319">
        <v>2.8799999999999999E-2</v>
      </c>
      <c r="AH200" s="319">
        <v>0</v>
      </c>
      <c r="AI200" s="319">
        <v>0.97260000000000002</v>
      </c>
      <c r="AJ200" s="319">
        <v>1.2715000000000001</v>
      </c>
      <c r="AK200" s="319">
        <v>6.9000000000000006E-2</v>
      </c>
      <c r="AL200" s="319">
        <v>0.3659</v>
      </c>
      <c r="AM200" s="319">
        <v>3.6799999999999999E-2</v>
      </c>
      <c r="AN200" s="319">
        <v>6.0000000000000001E-3</v>
      </c>
      <c r="AO200" s="319">
        <v>0.40179999999999999</v>
      </c>
      <c r="AP200" s="319">
        <v>0.5907</v>
      </c>
      <c r="AQ200" s="319">
        <v>0</v>
      </c>
      <c r="AR200" s="319">
        <v>0.4395</v>
      </c>
      <c r="AS200" s="319">
        <v>0.54059999999999997</v>
      </c>
      <c r="AT200" s="331">
        <v>0.28889999999999999</v>
      </c>
      <c r="AU200" s="336">
        <v>9.2294000000000018</v>
      </c>
      <c r="AV200" s="329">
        <v>11.3535</v>
      </c>
      <c r="AW200" s="337">
        <v>6.0670000000000019</v>
      </c>
      <c r="AX200" s="334"/>
      <c r="AY200" s="323">
        <v>7.2678000000000003</v>
      </c>
      <c r="AZ200" s="323">
        <v>9.6828000000000003</v>
      </c>
      <c r="BA200" s="323">
        <v>4.922200000000001</v>
      </c>
      <c r="BB200" s="319"/>
      <c r="BC200" s="321">
        <f t="shared" ref="BC200:BC238" si="18">AU200/AY200</f>
        <v>1.2699028591870996</v>
      </c>
      <c r="BD200" s="321">
        <f t="shared" ref="BD200:BD238" si="19">AV200/AZ200</f>
        <v>1.1725430660552734</v>
      </c>
      <c r="BE200" s="321">
        <f t="shared" ref="BE200:BE238" si="20">AW200/BA200</f>
        <v>1.2325789281215718</v>
      </c>
      <c r="BG200" s="22">
        <f t="shared" ref="BG200:BG238" si="21">AU200-N200-O200-P200-Q200-R200-S200-T200-U200-X200-Y200-Z200-AA200-AB200-AC200-AD200-AE200-AF200-AG200-AH200-AI200-AJ200-AK200-AL200-AM200-AN200-AO200-AQ200-AR200</f>
        <v>3.4972025275692431E-15</v>
      </c>
      <c r="BH200" s="22">
        <f t="shared" ref="BH200:BH238" si="22">AV200-AS200-AQ200-AP200-AO200-AN200-AM200-AL200-AK200-AJ200-AI200-AH200-AG200-AF200-AE200-AD200-AC200-AB200-AA200-Z200-Y200-X200-W200-V200-U200-T200-S200-R200-Q200-P200-O200-N200</f>
        <v>1.8041124150158794E-16</v>
      </c>
      <c r="BI200" s="22">
        <f t="shared" ref="BI200:BI238" si="23">AW200-AT200-AQ200-AN200-AM200-AK200-AH200-AG200-AF200-AE200-AD200-AC200-AB200-AA200-Z200-Y200-X200-U200-T200-S200-R200-Q200-P200-O200-N200</f>
        <v>4.0245584642661925E-16</v>
      </c>
    </row>
    <row r="201" spans="2:61" x14ac:dyDescent="0.25">
      <c r="B201" s="312">
        <v>81</v>
      </c>
      <c r="C201" s="312" t="s">
        <v>621</v>
      </c>
      <c r="D201" s="312" t="s">
        <v>392</v>
      </c>
      <c r="E201" s="312">
        <v>9</v>
      </c>
      <c r="F201" s="312">
        <v>4</v>
      </c>
      <c r="G201" s="313" t="s">
        <v>211</v>
      </c>
      <c r="H201" s="313"/>
      <c r="I201" s="346">
        <v>10179.6</v>
      </c>
      <c r="J201" s="317">
        <v>1125.6000000000004</v>
      </c>
      <c r="K201" s="317">
        <v>8960.4</v>
      </c>
      <c r="L201" s="317">
        <v>93.6</v>
      </c>
      <c r="M201" s="317"/>
      <c r="N201" s="319">
        <v>0.12239999999999999</v>
      </c>
      <c r="O201" s="319">
        <v>5.1299999999999998E-2</v>
      </c>
      <c r="P201" s="319">
        <v>0.30990000000000001</v>
      </c>
      <c r="Q201" s="319">
        <v>6.7100000000000007E-2</v>
      </c>
      <c r="R201" s="319">
        <v>5.0999999999999997E-2</v>
      </c>
      <c r="S201" s="319">
        <v>0.3584</v>
      </c>
      <c r="T201" s="319">
        <v>0</v>
      </c>
      <c r="U201" s="319">
        <v>0.63149999999999995</v>
      </c>
      <c r="V201" s="319">
        <v>1.3029999999999999</v>
      </c>
      <c r="W201" s="319">
        <v>4.0099999999999997E-2</v>
      </c>
      <c r="X201" s="319">
        <v>0.12889999999999999</v>
      </c>
      <c r="Y201" s="319">
        <v>0</v>
      </c>
      <c r="Z201" s="319">
        <v>3.0225</v>
      </c>
      <c r="AA201" s="319">
        <v>0.16789999999999999</v>
      </c>
      <c r="AB201" s="319">
        <v>0.185</v>
      </c>
      <c r="AC201" s="319">
        <v>0.12720000000000001</v>
      </c>
      <c r="AD201" s="319">
        <v>8.1699999999999995E-2</v>
      </c>
      <c r="AE201" s="319">
        <v>9.9199999999999997E-2</v>
      </c>
      <c r="AF201" s="319">
        <v>0.16239999999999999</v>
      </c>
      <c r="AG201" s="319">
        <v>2.8899999999999999E-2</v>
      </c>
      <c r="AH201" s="319">
        <v>0</v>
      </c>
      <c r="AI201" s="319">
        <v>1.3212999999999999</v>
      </c>
      <c r="AJ201" s="319">
        <v>1.4906999999999999</v>
      </c>
      <c r="AK201" s="319">
        <v>8.3199999999999996E-2</v>
      </c>
      <c r="AL201" s="319">
        <v>0.36730000000000002</v>
      </c>
      <c r="AM201" s="319">
        <v>4.3799999999999999E-2</v>
      </c>
      <c r="AN201" s="319">
        <v>7.1000000000000004E-3</v>
      </c>
      <c r="AO201" s="319">
        <v>0.56240000000000001</v>
      </c>
      <c r="AP201" s="319">
        <v>0.78559999999999997</v>
      </c>
      <c r="AQ201" s="319">
        <v>0</v>
      </c>
      <c r="AR201" s="319">
        <v>0.47360000000000002</v>
      </c>
      <c r="AS201" s="319">
        <v>0.57999999999999996</v>
      </c>
      <c r="AT201" s="331">
        <v>0.28649999999999998</v>
      </c>
      <c r="AU201" s="336">
        <v>9.9446999999999974</v>
      </c>
      <c r="AV201" s="329">
        <v>12.179799999999998</v>
      </c>
      <c r="AW201" s="337">
        <v>6.0158999999999976</v>
      </c>
      <c r="AX201" s="334"/>
      <c r="AY201" s="323">
        <v>7.8309999999999995</v>
      </c>
      <c r="AZ201" s="323">
        <v>10.460799999999999</v>
      </c>
      <c r="BA201" s="323">
        <v>4.9322999999999997</v>
      </c>
      <c r="BB201" s="319"/>
      <c r="BC201" s="321">
        <f t="shared" si="18"/>
        <v>1.2699144425999231</v>
      </c>
      <c r="BD201" s="321">
        <f t="shared" si="19"/>
        <v>1.1643277760783113</v>
      </c>
      <c r="BE201" s="321">
        <f t="shared" si="20"/>
        <v>1.2196946657745875</v>
      </c>
      <c r="BG201" s="22">
        <f t="shared" si="21"/>
        <v>-1.5543122344752192E-15</v>
      </c>
      <c r="BH201" s="22">
        <f t="shared" si="22"/>
        <v>-3.6082248300317588E-16</v>
      </c>
      <c r="BI201" s="22">
        <f t="shared" si="23"/>
        <v>-2.3592239273284576E-15</v>
      </c>
    </row>
    <row r="202" spans="2:61" x14ac:dyDescent="0.25">
      <c r="B202" s="312">
        <v>82</v>
      </c>
      <c r="C202" s="312" t="s">
        <v>623</v>
      </c>
      <c r="D202" s="312" t="s">
        <v>392</v>
      </c>
      <c r="E202" s="312">
        <v>9</v>
      </c>
      <c r="F202" s="312">
        <v>4</v>
      </c>
      <c r="G202" s="313" t="s">
        <v>212</v>
      </c>
      <c r="H202" s="313"/>
      <c r="I202" s="346">
        <v>10253.1</v>
      </c>
      <c r="J202" s="317">
        <v>1233.8999999999996</v>
      </c>
      <c r="K202" s="317">
        <v>9019.2000000000007</v>
      </c>
      <c r="L202" s="317">
        <v>0</v>
      </c>
      <c r="M202" s="317"/>
      <c r="N202" s="319">
        <v>0.10440000000000001</v>
      </c>
      <c r="O202" s="319">
        <v>5.0299999999999997E-2</v>
      </c>
      <c r="P202" s="319">
        <v>0.29859999999999998</v>
      </c>
      <c r="Q202" s="319">
        <v>6.7299999999999999E-2</v>
      </c>
      <c r="R202" s="319">
        <v>5.0700000000000002E-2</v>
      </c>
      <c r="S202" s="319">
        <v>0.37440000000000001</v>
      </c>
      <c r="T202" s="319">
        <v>0</v>
      </c>
      <c r="U202" s="319">
        <v>0.63149999999999995</v>
      </c>
      <c r="V202" s="319">
        <v>1.3995</v>
      </c>
      <c r="W202" s="319">
        <v>1.9900000000000001E-2</v>
      </c>
      <c r="X202" s="319">
        <v>0.128</v>
      </c>
      <c r="Y202" s="319">
        <v>0</v>
      </c>
      <c r="Z202" s="319">
        <v>2.8561000000000001</v>
      </c>
      <c r="AA202" s="319">
        <v>0.1386</v>
      </c>
      <c r="AB202" s="319">
        <v>0.1812</v>
      </c>
      <c r="AC202" s="319">
        <v>0.13350000000000001</v>
      </c>
      <c r="AD202" s="319">
        <v>8.1500000000000003E-2</v>
      </c>
      <c r="AE202" s="319">
        <v>9.8500000000000004E-2</v>
      </c>
      <c r="AF202" s="319">
        <v>0.1716</v>
      </c>
      <c r="AG202" s="319">
        <v>3.0300000000000001E-2</v>
      </c>
      <c r="AH202" s="319">
        <v>0</v>
      </c>
      <c r="AI202" s="319">
        <v>1.3291999999999999</v>
      </c>
      <c r="AJ202" s="319">
        <v>1.4407000000000001</v>
      </c>
      <c r="AK202" s="319">
        <v>8.4699999999999998E-2</v>
      </c>
      <c r="AL202" s="319">
        <v>0.36470000000000002</v>
      </c>
      <c r="AM202" s="319">
        <v>3.5200000000000002E-2</v>
      </c>
      <c r="AN202" s="319">
        <v>5.7000000000000002E-3</v>
      </c>
      <c r="AO202" s="319">
        <v>0.26960000000000001</v>
      </c>
      <c r="AP202" s="319">
        <v>0.37880000000000003</v>
      </c>
      <c r="AQ202" s="319">
        <v>0</v>
      </c>
      <c r="AR202" s="319">
        <v>0.44629999999999997</v>
      </c>
      <c r="AS202" s="319">
        <v>0.53620000000000001</v>
      </c>
      <c r="AT202" s="331">
        <v>0.27610000000000001</v>
      </c>
      <c r="AU202" s="336">
        <v>9.3726000000000003</v>
      </c>
      <c r="AV202" s="329">
        <v>11.2607</v>
      </c>
      <c r="AW202" s="337">
        <v>5.7981999999999978</v>
      </c>
      <c r="AX202" s="334"/>
      <c r="AY202" s="323">
        <v>7.3803000000000001</v>
      </c>
      <c r="AZ202" s="323">
        <v>9.798</v>
      </c>
      <c r="BA202" s="323">
        <v>4.830000000000001</v>
      </c>
      <c r="BB202" s="319"/>
      <c r="BC202" s="321">
        <f t="shared" si="18"/>
        <v>1.2699483760822732</v>
      </c>
      <c r="BD202" s="321">
        <f t="shared" si="19"/>
        <v>1.1492855684833641</v>
      </c>
      <c r="BE202" s="321">
        <f t="shared" si="20"/>
        <v>1.2004554865424424</v>
      </c>
      <c r="BG202" s="22">
        <f t="shared" si="21"/>
        <v>0</v>
      </c>
      <c r="BH202" s="22">
        <f t="shared" si="22"/>
        <v>1.4988010832439613E-15</v>
      </c>
      <c r="BI202" s="22">
        <f t="shared" si="23"/>
        <v>-9.4368957093138306E-16</v>
      </c>
    </row>
    <row r="203" spans="2:61" x14ac:dyDescent="0.25">
      <c r="B203" s="312">
        <v>83</v>
      </c>
      <c r="C203" s="312" t="s">
        <v>625</v>
      </c>
      <c r="D203" s="312" t="s">
        <v>392</v>
      </c>
      <c r="E203" s="312">
        <v>9</v>
      </c>
      <c r="F203" s="312">
        <v>3</v>
      </c>
      <c r="G203" s="313" t="s">
        <v>213</v>
      </c>
      <c r="H203" s="313"/>
      <c r="I203" s="346">
        <v>7626</v>
      </c>
      <c r="J203" s="317">
        <v>845.80000000000018</v>
      </c>
      <c r="K203" s="317">
        <v>6780.2</v>
      </c>
      <c r="L203" s="317">
        <v>0</v>
      </c>
      <c r="M203" s="317"/>
      <c r="N203" s="319">
        <v>0.1099</v>
      </c>
      <c r="O203" s="319">
        <v>5.5100000000000003E-2</v>
      </c>
      <c r="P203" s="319">
        <v>0.2792</v>
      </c>
      <c r="Q203" s="319">
        <v>7.4300000000000005E-2</v>
      </c>
      <c r="R203" s="319">
        <v>5.3499999999999999E-2</v>
      </c>
      <c r="S203" s="319">
        <v>0.30199999999999999</v>
      </c>
      <c r="T203" s="319">
        <v>0</v>
      </c>
      <c r="U203" s="319">
        <v>0.63149999999999995</v>
      </c>
      <c r="V203" s="319">
        <v>1.1950000000000001</v>
      </c>
      <c r="W203" s="319">
        <v>5.2999999999999999E-2</v>
      </c>
      <c r="X203" s="319">
        <v>0.12130000000000001</v>
      </c>
      <c r="Y203" s="319">
        <v>0</v>
      </c>
      <c r="Z203" s="319">
        <v>2.6945999999999999</v>
      </c>
      <c r="AA203" s="319">
        <v>0.14510000000000001</v>
      </c>
      <c r="AB203" s="319">
        <v>0.1983</v>
      </c>
      <c r="AC203" s="319">
        <v>0.1313</v>
      </c>
      <c r="AD203" s="319">
        <v>0.11550000000000001</v>
      </c>
      <c r="AE203" s="319">
        <v>0.10390000000000001</v>
      </c>
      <c r="AF203" s="319">
        <v>0.14610000000000001</v>
      </c>
      <c r="AG203" s="319">
        <v>2.93E-2</v>
      </c>
      <c r="AH203" s="319">
        <v>0</v>
      </c>
      <c r="AI203" s="319">
        <v>2.0935999999999999</v>
      </c>
      <c r="AJ203" s="319">
        <v>1.3396999999999999</v>
      </c>
      <c r="AK203" s="319">
        <v>8.1100000000000005E-2</v>
      </c>
      <c r="AL203" s="319">
        <v>0.44469999999999998</v>
      </c>
      <c r="AM203" s="319">
        <v>3.8399999999999997E-2</v>
      </c>
      <c r="AN203" s="319">
        <v>6.1999999999999998E-3</v>
      </c>
      <c r="AO203" s="319">
        <v>0.3407</v>
      </c>
      <c r="AP203" s="319">
        <v>0.46949999999999997</v>
      </c>
      <c r="AQ203" s="319">
        <v>0</v>
      </c>
      <c r="AR203" s="319">
        <v>0.4768</v>
      </c>
      <c r="AS203" s="319">
        <v>0.56259999999999999</v>
      </c>
      <c r="AT203" s="331">
        <v>0.26579999999999998</v>
      </c>
      <c r="AU203" s="336">
        <v>10.012099999999998</v>
      </c>
      <c r="AV203" s="329">
        <v>11.815399999999999</v>
      </c>
      <c r="AW203" s="337">
        <v>5.5823999999999989</v>
      </c>
      <c r="AX203" s="334"/>
      <c r="AY203" s="323">
        <v>7.8838999999999988</v>
      </c>
      <c r="AZ203" s="323">
        <v>9.9117999999999977</v>
      </c>
      <c r="BA203" s="323">
        <v>4.741299999999999</v>
      </c>
      <c r="BB203" s="319"/>
      <c r="BC203" s="321">
        <f t="shared" si="18"/>
        <v>1.2699425411281218</v>
      </c>
      <c r="BD203" s="321">
        <f t="shared" si="19"/>
        <v>1.1920539155350189</v>
      </c>
      <c r="BE203" s="321">
        <f t="shared" si="20"/>
        <v>1.1773986037584629</v>
      </c>
      <c r="BG203" s="22">
        <f t="shared" si="21"/>
        <v>3.1086244689504383E-15</v>
      </c>
      <c r="BH203" s="22">
        <f t="shared" si="22"/>
        <v>-1.9428902930940239E-16</v>
      </c>
      <c r="BI203" s="22">
        <f t="shared" si="23"/>
        <v>-1.0824674490095276E-15</v>
      </c>
    </row>
    <row r="204" spans="2:61" x14ac:dyDescent="0.25">
      <c r="B204" s="312">
        <v>84</v>
      </c>
      <c r="C204" s="312" t="s">
        <v>627</v>
      </c>
      <c r="D204" s="312" t="s">
        <v>392</v>
      </c>
      <c r="E204" s="312">
        <v>9</v>
      </c>
      <c r="F204" s="312">
        <v>3</v>
      </c>
      <c r="G204" s="313" t="s">
        <v>214</v>
      </c>
      <c r="H204" s="313"/>
      <c r="I204" s="346">
        <v>7636.1</v>
      </c>
      <c r="J204" s="317">
        <v>845.60000000000036</v>
      </c>
      <c r="K204" s="317">
        <v>6790.5</v>
      </c>
      <c r="L204" s="317">
        <v>0</v>
      </c>
      <c r="M204" s="317"/>
      <c r="N204" s="319">
        <v>0.10979999999999999</v>
      </c>
      <c r="O204" s="319">
        <v>5.5E-2</v>
      </c>
      <c r="P204" s="319">
        <v>0.30370000000000003</v>
      </c>
      <c r="Q204" s="319">
        <v>7.3200000000000001E-2</v>
      </c>
      <c r="R204" s="319">
        <v>5.3400000000000003E-2</v>
      </c>
      <c r="S204" s="319">
        <v>0.30159999999999998</v>
      </c>
      <c r="T204" s="319">
        <v>0</v>
      </c>
      <c r="U204" s="319">
        <v>0.63149999999999995</v>
      </c>
      <c r="V204" s="319">
        <v>1.5141</v>
      </c>
      <c r="W204" s="319">
        <v>0</v>
      </c>
      <c r="X204" s="319">
        <v>0.1212</v>
      </c>
      <c r="Y204" s="319">
        <v>0</v>
      </c>
      <c r="Z204" s="319">
        <v>2.3433000000000002</v>
      </c>
      <c r="AA204" s="319">
        <v>0.1449</v>
      </c>
      <c r="AB204" s="319">
        <v>0.1981</v>
      </c>
      <c r="AC204" s="319">
        <v>0.1125</v>
      </c>
      <c r="AD204" s="319">
        <v>0.12509999999999999</v>
      </c>
      <c r="AE204" s="319">
        <v>0.1038</v>
      </c>
      <c r="AF204" s="319">
        <v>0.1459</v>
      </c>
      <c r="AG204" s="319">
        <v>2.93E-2</v>
      </c>
      <c r="AH204" s="319">
        <v>0</v>
      </c>
      <c r="AI204" s="319">
        <v>2.3611</v>
      </c>
      <c r="AJ204" s="319">
        <v>1.4258</v>
      </c>
      <c r="AK204" s="319">
        <v>8.09E-2</v>
      </c>
      <c r="AL204" s="319">
        <v>0.44479999999999997</v>
      </c>
      <c r="AM204" s="319">
        <v>3.8300000000000001E-2</v>
      </c>
      <c r="AN204" s="319">
        <v>6.1999999999999998E-3</v>
      </c>
      <c r="AO204" s="319">
        <v>0.32600000000000001</v>
      </c>
      <c r="AP204" s="319">
        <v>0.45729999999999998</v>
      </c>
      <c r="AQ204" s="319">
        <v>0</v>
      </c>
      <c r="AR204" s="319">
        <v>0.4768</v>
      </c>
      <c r="AS204" s="319">
        <v>0.57530000000000003</v>
      </c>
      <c r="AT204" s="331">
        <v>0.24890000000000001</v>
      </c>
      <c r="AU204" s="336">
        <v>10.012200000000002</v>
      </c>
      <c r="AV204" s="329">
        <v>12.082100000000002</v>
      </c>
      <c r="AW204" s="337">
        <v>5.2266000000000004</v>
      </c>
      <c r="AX204" s="334"/>
      <c r="AY204" s="323">
        <v>7.8841000000000001</v>
      </c>
      <c r="AZ204" s="323">
        <v>10.338000000000001</v>
      </c>
      <c r="BA204" s="323">
        <v>4.4821999999999997</v>
      </c>
      <c r="BB204" s="319"/>
      <c r="BC204" s="321">
        <f t="shared" si="18"/>
        <v>1.2699230096016034</v>
      </c>
      <c r="BD204" s="321">
        <f t="shared" si="19"/>
        <v>1.168707680402399</v>
      </c>
      <c r="BE204" s="321">
        <f t="shared" si="20"/>
        <v>1.1660791575565572</v>
      </c>
      <c r="BG204" s="22">
        <f t="shared" si="21"/>
        <v>2.2759572004815709E-15</v>
      </c>
      <c r="BH204" s="22">
        <f t="shared" si="22"/>
        <v>9.5756735873919752E-16</v>
      </c>
      <c r="BI204" s="22">
        <f t="shared" si="23"/>
        <v>1.8457457784393227E-15</v>
      </c>
    </row>
    <row r="205" spans="2:61" x14ac:dyDescent="0.25">
      <c r="B205" s="312">
        <v>85</v>
      </c>
      <c r="C205" s="312" t="s">
        <v>629</v>
      </c>
      <c r="D205" s="312" t="s">
        <v>392</v>
      </c>
      <c r="E205" s="312">
        <v>9</v>
      </c>
      <c r="F205" s="312">
        <v>3</v>
      </c>
      <c r="G205" s="313" t="s">
        <v>215</v>
      </c>
      <c r="H205" s="313"/>
      <c r="I205" s="346">
        <v>7614.7</v>
      </c>
      <c r="J205" s="317">
        <v>844.39999999999964</v>
      </c>
      <c r="K205" s="317">
        <v>6770.3</v>
      </c>
      <c r="L205" s="317">
        <v>0</v>
      </c>
      <c r="M205" s="317"/>
      <c r="N205" s="319">
        <v>0.1101</v>
      </c>
      <c r="O205" s="319">
        <v>5.5199999999999999E-2</v>
      </c>
      <c r="P205" s="319">
        <v>0.27889999999999998</v>
      </c>
      <c r="Q205" s="319">
        <v>7.4099999999999999E-2</v>
      </c>
      <c r="R205" s="319">
        <v>5.3499999999999999E-2</v>
      </c>
      <c r="S205" s="319">
        <v>0.3024</v>
      </c>
      <c r="T205" s="319">
        <v>0</v>
      </c>
      <c r="U205" s="319">
        <v>0.63149999999999995</v>
      </c>
      <c r="V205" s="319">
        <v>1.5185999999999999</v>
      </c>
      <c r="W205" s="319">
        <v>0</v>
      </c>
      <c r="X205" s="319">
        <v>0.1215</v>
      </c>
      <c r="Y205" s="319">
        <v>0</v>
      </c>
      <c r="Z205" s="319">
        <v>2.5270000000000001</v>
      </c>
      <c r="AA205" s="319">
        <v>0.1454</v>
      </c>
      <c r="AB205" s="319">
        <v>0.1986</v>
      </c>
      <c r="AC205" s="319">
        <v>0.1313</v>
      </c>
      <c r="AD205" s="319">
        <v>0.11269999999999999</v>
      </c>
      <c r="AE205" s="319">
        <v>0.1041</v>
      </c>
      <c r="AF205" s="319">
        <v>0.14630000000000001</v>
      </c>
      <c r="AG205" s="319">
        <v>2.93E-2</v>
      </c>
      <c r="AH205" s="319">
        <v>0</v>
      </c>
      <c r="AI205" s="319">
        <v>2.0749</v>
      </c>
      <c r="AJ205" s="319">
        <v>1.4522999999999999</v>
      </c>
      <c r="AK205" s="319">
        <v>8.1100000000000005E-2</v>
      </c>
      <c r="AL205" s="319">
        <v>0.45979999999999999</v>
      </c>
      <c r="AM205" s="319">
        <v>3.8399999999999997E-2</v>
      </c>
      <c r="AN205" s="319">
        <v>6.1999999999999998E-3</v>
      </c>
      <c r="AO205" s="319">
        <v>0.33989999999999998</v>
      </c>
      <c r="AP205" s="319">
        <v>0.49309999999999998</v>
      </c>
      <c r="AQ205" s="319">
        <v>0</v>
      </c>
      <c r="AR205" s="319">
        <v>0.47370000000000001</v>
      </c>
      <c r="AS205" s="319">
        <v>0.57430000000000003</v>
      </c>
      <c r="AT205" s="331">
        <v>0.25740000000000002</v>
      </c>
      <c r="AU205" s="336">
        <v>9.9481999999999999</v>
      </c>
      <c r="AV205" s="329">
        <v>12.060499999999998</v>
      </c>
      <c r="AW205" s="337">
        <v>5.4049999999999985</v>
      </c>
      <c r="AX205" s="334"/>
      <c r="AY205" s="323">
        <v>7.8335999999999997</v>
      </c>
      <c r="AZ205" s="323">
        <v>10.190100000000001</v>
      </c>
      <c r="BA205" s="323">
        <v>4.7239999999999993</v>
      </c>
      <c r="BB205" s="319"/>
      <c r="BC205" s="321">
        <f t="shared" si="18"/>
        <v>1.2699397467320261</v>
      </c>
      <c r="BD205" s="321">
        <f t="shared" si="19"/>
        <v>1.1835507011707438</v>
      </c>
      <c r="BE205" s="321">
        <f t="shared" si="20"/>
        <v>1.1441574936494494</v>
      </c>
      <c r="BG205" s="22">
        <f t="shared" si="21"/>
        <v>2.3314683517128287E-15</v>
      </c>
      <c r="BH205" s="22">
        <f t="shared" si="22"/>
        <v>-1.4432899320127035E-15</v>
      </c>
      <c r="BI205" s="22">
        <f t="shared" si="23"/>
        <v>-2.3314683517128287E-15</v>
      </c>
    </row>
    <row r="206" spans="2:61" x14ac:dyDescent="0.25">
      <c r="B206" s="312">
        <v>90</v>
      </c>
      <c r="C206" s="312" t="s">
        <v>640</v>
      </c>
      <c r="D206" s="312" t="s">
        <v>393</v>
      </c>
      <c r="E206" s="312">
        <v>9</v>
      </c>
      <c r="F206" s="312">
        <v>1</v>
      </c>
      <c r="G206" s="313" t="s">
        <v>216</v>
      </c>
      <c r="H206" s="313"/>
      <c r="I206" s="346">
        <v>2111.77</v>
      </c>
      <c r="J206" s="317">
        <v>115.39999999999986</v>
      </c>
      <c r="K206" s="317">
        <v>1872.97</v>
      </c>
      <c r="L206" s="317">
        <v>123.4</v>
      </c>
      <c r="M206" s="317"/>
      <c r="N206" s="319">
        <v>0.16889999999999999</v>
      </c>
      <c r="O206" s="319">
        <v>0.1023</v>
      </c>
      <c r="P206" s="319">
        <v>0.29170000000000001</v>
      </c>
      <c r="Q206" s="319">
        <v>6.8000000000000005E-2</v>
      </c>
      <c r="R206" s="319">
        <v>1.89E-2</v>
      </c>
      <c r="S206" s="319">
        <v>0.22009999999999999</v>
      </c>
      <c r="T206" s="319">
        <v>0</v>
      </c>
      <c r="U206" s="319">
        <v>0.63149999999999995</v>
      </c>
      <c r="V206" s="319">
        <v>1.8298000000000001</v>
      </c>
      <c r="W206" s="319">
        <v>0</v>
      </c>
      <c r="X206" s="319">
        <v>0.1348</v>
      </c>
      <c r="Y206" s="319">
        <v>0</v>
      </c>
      <c r="Z206" s="319">
        <v>2.1454</v>
      </c>
      <c r="AA206" s="319">
        <v>0.22220000000000001</v>
      </c>
      <c r="AB206" s="319">
        <v>0.34329999999999999</v>
      </c>
      <c r="AC206" s="319">
        <v>0.1177</v>
      </c>
      <c r="AD206" s="319">
        <v>9.3299999999999994E-2</v>
      </c>
      <c r="AE206" s="319">
        <v>3.6799999999999999E-2</v>
      </c>
      <c r="AF206" s="319">
        <v>5.8200000000000002E-2</v>
      </c>
      <c r="AG206" s="319">
        <v>3.1600000000000003E-2</v>
      </c>
      <c r="AH206" s="319">
        <v>0</v>
      </c>
      <c r="AI206" s="319">
        <v>1.0190999999999999</v>
      </c>
      <c r="AJ206" s="319">
        <v>1.4434</v>
      </c>
      <c r="AK206" s="319">
        <v>8.6300000000000002E-2</v>
      </c>
      <c r="AL206" s="319">
        <v>0.26650000000000001</v>
      </c>
      <c r="AM206" s="319">
        <v>3.8699999999999998E-2</v>
      </c>
      <c r="AN206" s="319">
        <v>6.3E-3</v>
      </c>
      <c r="AO206" s="319">
        <v>0.7288</v>
      </c>
      <c r="AP206" s="319">
        <v>0.55269999999999997</v>
      </c>
      <c r="AQ206" s="319">
        <v>0</v>
      </c>
      <c r="AR206" s="319">
        <v>0.41370000000000001</v>
      </c>
      <c r="AS206" s="319">
        <v>0.53280000000000005</v>
      </c>
      <c r="AT206" s="331">
        <v>0.24079999999999999</v>
      </c>
      <c r="AU206" s="336">
        <v>8.6875000000000018</v>
      </c>
      <c r="AV206" s="329">
        <v>11.189100000000002</v>
      </c>
      <c r="AW206" s="337">
        <v>5.0568000000000026</v>
      </c>
      <c r="AX206" s="334"/>
      <c r="AY206" s="323">
        <v>7.0577000000000005</v>
      </c>
      <c r="AZ206" s="323">
        <v>9.9920000000000009</v>
      </c>
      <c r="BA206" s="323">
        <v>4.2078000000000007</v>
      </c>
      <c r="BB206" s="319"/>
      <c r="BC206" s="321">
        <f t="shared" si="18"/>
        <v>1.230925088909985</v>
      </c>
      <c r="BD206" s="321">
        <f t="shared" si="19"/>
        <v>1.1198058446757406</v>
      </c>
      <c r="BE206" s="321">
        <f t="shared" si="20"/>
        <v>1.2017681448738062</v>
      </c>
      <c r="BG206" s="22">
        <f t="shared" si="21"/>
        <v>0</v>
      </c>
      <c r="BH206" s="22">
        <f t="shared" si="22"/>
        <v>8.3266726846886741E-16</v>
      </c>
      <c r="BI206" s="22">
        <f t="shared" si="23"/>
        <v>1.0547118733938987E-15</v>
      </c>
    </row>
    <row r="207" spans="2:61" x14ac:dyDescent="0.25">
      <c r="B207" s="312">
        <v>91</v>
      </c>
      <c r="C207" s="312" t="s">
        <v>642</v>
      </c>
      <c r="D207" s="312" t="s">
        <v>393</v>
      </c>
      <c r="E207" s="312">
        <v>9</v>
      </c>
      <c r="F207" s="312">
        <v>5</v>
      </c>
      <c r="G207" s="313" t="s">
        <v>217</v>
      </c>
      <c r="H207" s="313"/>
      <c r="I207" s="346">
        <v>9675.2999999999993</v>
      </c>
      <c r="J207" s="317">
        <v>972.79999999999927</v>
      </c>
      <c r="K207" s="317">
        <v>8567.9</v>
      </c>
      <c r="L207" s="317">
        <v>134.6</v>
      </c>
      <c r="M207" s="317"/>
      <c r="N207" s="319">
        <v>0.20519999999999999</v>
      </c>
      <c r="O207" s="319">
        <v>0.10199999999999999</v>
      </c>
      <c r="P207" s="319">
        <v>0.29360000000000003</v>
      </c>
      <c r="Q207" s="319">
        <v>6.3700000000000007E-2</v>
      </c>
      <c r="R207" s="319">
        <v>2.58E-2</v>
      </c>
      <c r="S207" s="319">
        <v>0.29809999999999998</v>
      </c>
      <c r="T207" s="319">
        <v>0</v>
      </c>
      <c r="U207" s="319">
        <v>0.63149999999999995</v>
      </c>
      <c r="V207" s="319">
        <v>2</v>
      </c>
      <c r="W207" s="319">
        <v>0</v>
      </c>
      <c r="X207" s="319">
        <v>0.14630000000000001</v>
      </c>
      <c r="Y207" s="319">
        <v>0</v>
      </c>
      <c r="Z207" s="319">
        <v>2.1583999999999999</v>
      </c>
      <c r="AA207" s="319">
        <v>0.27229999999999999</v>
      </c>
      <c r="AB207" s="319">
        <v>0.36559999999999998</v>
      </c>
      <c r="AC207" s="319">
        <v>0.13339999999999999</v>
      </c>
      <c r="AD207" s="319">
        <v>7.0400000000000004E-2</v>
      </c>
      <c r="AE207" s="319">
        <v>5.0200000000000002E-2</v>
      </c>
      <c r="AF207" s="319">
        <v>8.2699999999999996E-2</v>
      </c>
      <c r="AG207" s="319">
        <v>2.9600000000000001E-2</v>
      </c>
      <c r="AH207" s="319">
        <v>0</v>
      </c>
      <c r="AI207" s="319">
        <v>1.6553</v>
      </c>
      <c r="AJ207" s="319">
        <v>1.4077</v>
      </c>
      <c r="AK207" s="319">
        <v>7.22E-2</v>
      </c>
      <c r="AL207" s="319">
        <v>0.39929999999999999</v>
      </c>
      <c r="AM207" s="319">
        <v>2.86E-2</v>
      </c>
      <c r="AN207" s="319">
        <v>4.5999999999999999E-3</v>
      </c>
      <c r="AO207" s="319">
        <v>0.28749999999999998</v>
      </c>
      <c r="AP207" s="319">
        <v>0.438</v>
      </c>
      <c r="AQ207" s="319">
        <v>0</v>
      </c>
      <c r="AR207" s="319">
        <v>0.43919999999999998</v>
      </c>
      <c r="AS207" s="319">
        <v>0.56110000000000004</v>
      </c>
      <c r="AT207" s="331">
        <v>0.25169999999999998</v>
      </c>
      <c r="AU207" s="336">
        <v>9.2232000000000003</v>
      </c>
      <c r="AV207" s="329">
        <v>11.783100000000001</v>
      </c>
      <c r="AW207" s="337">
        <v>5.2858999999999998</v>
      </c>
      <c r="AX207" s="334"/>
      <c r="AY207" s="323">
        <v>7.2626999999999997</v>
      </c>
      <c r="AZ207" s="323">
        <v>10.2311</v>
      </c>
      <c r="BA207" s="323">
        <v>4.5179</v>
      </c>
      <c r="BB207" s="319"/>
      <c r="BC207" s="321">
        <f t="shared" si="18"/>
        <v>1.2699409310586973</v>
      </c>
      <c r="BD207" s="321">
        <f t="shared" si="19"/>
        <v>1.1516943437167071</v>
      </c>
      <c r="BE207" s="321">
        <f t="shared" si="20"/>
        <v>1.169990482303725</v>
      </c>
      <c r="BG207" s="22">
        <f t="shared" si="21"/>
        <v>4.9960036108132044E-16</v>
      </c>
      <c r="BH207" s="22">
        <f t="shared" si="22"/>
        <v>-1.8873791418627661E-15</v>
      </c>
      <c r="BI207" s="22">
        <f t="shared" si="23"/>
        <v>3.3306690738754696E-16</v>
      </c>
    </row>
    <row r="208" spans="2:61" x14ac:dyDescent="0.25">
      <c r="B208" s="312">
        <v>100</v>
      </c>
      <c r="C208" s="312" t="s">
        <v>660</v>
      </c>
      <c r="D208" s="312" t="s">
        <v>393</v>
      </c>
      <c r="E208" s="312">
        <v>9</v>
      </c>
      <c r="F208" s="312">
        <v>1</v>
      </c>
      <c r="G208" s="313" t="s">
        <v>218</v>
      </c>
      <c r="H208" s="313"/>
      <c r="I208" s="346">
        <v>2065.02</v>
      </c>
      <c r="J208" s="317">
        <v>49.200000000000045</v>
      </c>
      <c r="K208" s="317">
        <v>1829.52</v>
      </c>
      <c r="L208" s="317">
        <v>186.3</v>
      </c>
      <c r="M208" s="317"/>
      <c r="N208" s="319">
        <v>0.17599999999999999</v>
      </c>
      <c r="O208" s="319">
        <v>0.1134</v>
      </c>
      <c r="P208" s="319">
        <v>0.28170000000000001</v>
      </c>
      <c r="Q208" s="319">
        <v>6.5699999999999995E-2</v>
      </c>
      <c r="R208" s="319">
        <v>2.1299999999999999E-2</v>
      </c>
      <c r="S208" s="319">
        <v>0.2278</v>
      </c>
      <c r="T208" s="319">
        <v>0</v>
      </c>
      <c r="U208" s="319">
        <v>0.63149999999999995</v>
      </c>
      <c r="V208" s="319">
        <v>1.8732</v>
      </c>
      <c r="W208" s="319">
        <v>0</v>
      </c>
      <c r="X208" s="319">
        <v>0.13400000000000001</v>
      </c>
      <c r="Y208" s="319">
        <v>0</v>
      </c>
      <c r="Z208" s="319">
        <v>2.0295000000000001</v>
      </c>
      <c r="AA208" s="319">
        <v>0.23350000000000001</v>
      </c>
      <c r="AB208" s="319">
        <v>0.39529999999999998</v>
      </c>
      <c r="AC208" s="319">
        <v>0.1113</v>
      </c>
      <c r="AD208" s="319">
        <v>9.3799999999999994E-2</v>
      </c>
      <c r="AE208" s="319">
        <v>4.1399999999999999E-2</v>
      </c>
      <c r="AF208" s="319">
        <v>5.9499999999999997E-2</v>
      </c>
      <c r="AG208" s="319">
        <v>2.69E-2</v>
      </c>
      <c r="AH208" s="319">
        <v>0</v>
      </c>
      <c r="AI208" s="319">
        <v>1.2790999999999999</v>
      </c>
      <c r="AJ208" s="319">
        <v>1.5176000000000001</v>
      </c>
      <c r="AK208" s="319">
        <v>8.43E-2</v>
      </c>
      <c r="AL208" s="319">
        <v>0.443</v>
      </c>
      <c r="AM208" s="319">
        <v>2.9499999999999998E-2</v>
      </c>
      <c r="AN208" s="319">
        <v>4.7999999999999996E-3</v>
      </c>
      <c r="AO208" s="319">
        <v>0.2727</v>
      </c>
      <c r="AP208" s="319">
        <v>0.50919999999999999</v>
      </c>
      <c r="AQ208" s="319">
        <v>0</v>
      </c>
      <c r="AR208" s="319">
        <v>0.41370000000000001</v>
      </c>
      <c r="AS208" s="319">
        <v>0.53280000000000005</v>
      </c>
      <c r="AT208" s="331">
        <v>0.23810000000000001</v>
      </c>
      <c r="AU208" s="336">
        <v>8.6872999999999987</v>
      </c>
      <c r="AV208" s="329">
        <v>11.188799999999999</v>
      </c>
      <c r="AW208" s="337">
        <v>4.999299999999999</v>
      </c>
      <c r="AX208" s="334"/>
      <c r="AY208" s="323">
        <v>6.9756000000000009</v>
      </c>
      <c r="AZ208" s="323">
        <v>10.065200000000001</v>
      </c>
      <c r="BA208" s="323">
        <v>4.1984000000000012</v>
      </c>
      <c r="BB208" s="319"/>
      <c r="BC208" s="321">
        <f t="shared" si="18"/>
        <v>1.2453839096278452</v>
      </c>
      <c r="BD208" s="321">
        <f t="shared" si="19"/>
        <v>1.1116321583277031</v>
      </c>
      <c r="BE208" s="321">
        <f t="shared" si="20"/>
        <v>1.1907631478658531</v>
      </c>
      <c r="BG208" s="22">
        <f t="shared" si="21"/>
        <v>-2.7755575615628914E-15</v>
      </c>
      <c r="BH208" s="22">
        <f t="shared" si="22"/>
        <v>-1.609823385706477E-15</v>
      </c>
      <c r="BI208" s="22">
        <f t="shared" si="23"/>
        <v>-9.4368957093138306E-16</v>
      </c>
    </row>
    <row r="209" spans="2:61" x14ac:dyDescent="0.25">
      <c r="B209" s="312">
        <v>101</v>
      </c>
      <c r="C209" s="312" t="s">
        <v>662</v>
      </c>
      <c r="D209" s="312" t="s">
        <v>393</v>
      </c>
      <c r="E209" s="312">
        <v>9</v>
      </c>
      <c r="F209" s="312">
        <v>1</v>
      </c>
      <c r="G209" s="313" t="s">
        <v>219</v>
      </c>
      <c r="H209" s="313"/>
      <c r="I209" s="346">
        <v>1890.7</v>
      </c>
      <c r="J209" s="317">
        <v>33</v>
      </c>
      <c r="K209" s="317">
        <v>1677</v>
      </c>
      <c r="L209" s="317">
        <v>180.7</v>
      </c>
      <c r="M209" s="317"/>
      <c r="N209" s="319">
        <v>0.18579999999999999</v>
      </c>
      <c r="O209" s="319">
        <v>0.1045</v>
      </c>
      <c r="P209" s="319">
        <v>0.30880000000000002</v>
      </c>
      <c r="Q209" s="319">
        <v>6.9500000000000006E-2</v>
      </c>
      <c r="R209" s="319">
        <v>2.3300000000000001E-2</v>
      </c>
      <c r="S209" s="319">
        <v>0.248</v>
      </c>
      <c r="T209" s="319">
        <v>0</v>
      </c>
      <c r="U209" s="319">
        <v>0.63149999999999995</v>
      </c>
      <c r="V209" s="319">
        <v>2.0436000000000001</v>
      </c>
      <c r="W209" s="319">
        <v>0</v>
      </c>
      <c r="X209" s="319">
        <v>0.15060000000000001</v>
      </c>
      <c r="Y209" s="319">
        <v>0</v>
      </c>
      <c r="Z209" s="319">
        <v>2.3893</v>
      </c>
      <c r="AA209" s="319">
        <v>0.24329999999999999</v>
      </c>
      <c r="AB209" s="319">
        <v>0.37459999999999999</v>
      </c>
      <c r="AC209" s="319">
        <v>9.7199999999999995E-2</v>
      </c>
      <c r="AD209" s="319">
        <v>0.1011</v>
      </c>
      <c r="AE209" s="319">
        <v>4.5199999999999997E-2</v>
      </c>
      <c r="AF209" s="319">
        <v>6.2399999999999997E-2</v>
      </c>
      <c r="AG209" s="319">
        <v>3.1E-2</v>
      </c>
      <c r="AH209" s="319">
        <v>0</v>
      </c>
      <c r="AI209" s="319">
        <v>1.5644</v>
      </c>
      <c r="AJ209" s="319">
        <v>1.7196</v>
      </c>
      <c r="AK209" s="319">
        <v>7.8899999999999998E-2</v>
      </c>
      <c r="AL209" s="319">
        <v>0.4481</v>
      </c>
      <c r="AM209" s="319">
        <v>3.61E-2</v>
      </c>
      <c r="AN209" s="319">
        <v>5.8999999999999999E-3</v>
      </c>
      <c r="AO209" s="319">
        <v>0.33289999999999997</v>
      </c>
      <c r="AP209" s="319">
        <v>0.41360000000000002</v>
      </c>
      <c r="AQ209" s="319">
        <v>0</v>
      </c>
      <c r="AR209" s="319">
        <v>0.46260000000000001</v>
      </c>
      <c r="AS209" s="319">
        <v>0.58550000000000002</v>
      </c>
      <c r="AT209" s="331">
        <v>0.25940000000000002</v>
      </c>
      <c r="AU209" s="336">
        <v>9.7146000000000008</v>
      </c>
      <c r="AV209" s="329">
        <v>12.294700000000001</v>
      </c>
      <c r="AW209" s="337">
        <v>5.4464000000000006</v>
      </c>
      <c r="AX209" s="334"/>
      <c r="AY209" s="323">
        <v>7.6497000000000011</v>
      </c>
      <c r="AZ209" s="323">
        <v>10.662900000000002</v>
      </c>
      <c r="BA209" s="323">
        <v>4.6676000000000011</v>
      </c>
      <c r="BB209" s="319"/>
      <c r="BC209" s="321">
        <f t="shared" si="18"/>
        <v>1.2699321542021256</v>
      </c>
      <c r="BD209" s="321">
        <f t="shared" si="19"/>
        <v>1.1530352905869883</v>
      </c>
      <c r="BE209" s="321">
        <f t="shared" si="20"/>
        <v>1.1668523438169507</v>
      </c>
      <c r="BG209" s="22">
        <f t="shared" si="21"/>
        <v>1.2212453270876722E-15</v>
      </c>
      <c r="BH209" s="22">
        <f t="shared" si="22"/>
        <v>-2.4980018054066022E-16</v>
      </c>
      <c r="BI209" s="22">
        <f t="shared" si="23"/>
        <v>8.6042284408449632E-16</v>
      </c>
    </row>
    <row r="210" spans="2:61" x14ac:dyDescent="0.25">
      <c r="B210" s="312">
        <v>103</v>
      </c>
      <c r="C210" s="312" t="s">
        <v>666</v>
      </c>
      <c r="D210" s="312" t="s">
        <v>393</v>
      </c>
      <c r="E210" s="312">
        <v>9</v>
      </c>
      <c r="F210" s="312">
        <v>1</v>
      </c>
      <c r="G210" s="313" t="s">
        <v>220</v>
      </c>
      <c r="H210" s="313"/>
      <c r="I210" s="346">
        <v>2108.9</v>
      </c>
      <c r="J210" s="317">
        <v>115.20000000000005</v>
      </c>
      <c r="K210" s="317">
        <v>1884</v>
      </c>
      <c r="L210" s="317">
        <v>109.7</v>
      </c>
      <c r="M210" s="317"/>
      <c r="N210" s="319">
        <v>0.1875</v>
      </c>
      <c r="O210" s="319">
        <v>0.1205</v>
      </c>
      <c r="P210" s="319">
        <v>0.24970000000000001</v>
      </c>
      <c r="Q210" s="319">
        <v>6.2300000000000001E-2</v>
      </c>
      <c r="R210" s="319">
        <v>2.0799999999999999E-2</v>
      </c>
      <c r="S210" s="319">
        <v>0.21779999999999999</v>
      </c>
      <c r="T210" s="319">
        <v>0</v>
      </c>
      <c r="U210" s="319">
        <v>0.63149999999999995</v>
      </c>
      <c r="V210" s="319">
        <v>1.3063</v>
      </c>
      <c r="W210" s="319">
        <v>9.5399999999999999E-2</v>
      </c>
      <c r="X210" s="319">
        <v>0.1275</v>
      </c>
      <c r="Y210" s="319">
        <v>0</v>
      </c>
      <c r="Z210" s="319">
        <v>2.0821000000000001</v>
      </c>
      <c r="AA210" s="319">
        <v>0.24709999999999999</v>
      </c>
      <c r="AB210" s="319">
        <v>0.41120000000000001</v>
      </c>
      <c r="AC210" s="319">
        <v>0.1101</v>
      </c>
      <c r="AD210" s="319">
        <v>9.2399999999999996E-2</v>
      </c>
      <c r="AE210" s="319">
        <v>4.0500000000000001E-2</v>
      </c>
      <c r="AF210" s="319">
        <v>5.4800000000000001E-2</v>
      </c>
      <c r="AG210" s="319">
        <v>2.4299999999999999E-2</v>
      </c>
      <c r="AH210" s="319">
        <v>0</v>
      </c>
      <c r="AI210" s="319">
        <v>1.2619</v>
      </c>
      <c r="AJ210" s="319">
        <v>1.2121999999999999</v>
      </c>
      <c r="AK210" s="319">
        <v>9.6500000000000002E-2</v>
      </c>
      <c r="AL210" s="319">
        <v>0.53049999999999997</v>
      </c>
      <c r="AM210" s="319">
        <v>3.5799999999999998E-2</v>
      </c>
      <c r="AN210" s="319">
        <v>5.7999999999999996E-3</v>
      </c>
      <c r="AO210" s="319">
        <v>0.5696</v>
      </c>
      <c r="AP210" s="319">
        <v>0.5907</v>
      </c>
      <c r="AQ210" s="319">
        <v>0</v>
      </c>
      <c r="AR210" s="319">
        <v>0.41959999999999997</v>
      </c>
      <c r="AS210" s="319">
        <v>0.51919999999999999</v>
      </c>
      <c r="AT210" s="331">
        <v>0.2409</v>
      </c>
      <c r="AU210" s="336">
        <v>8.8120000000000012</v>
      </c>
      <c r="AV210" s="329">
        <v>10.904</v>
      </c>
      <c r="AW210" s="337">
        <v>5.0590999999999999</v>
      </c>
      <c r="AX210" s="334"/>
      <c r="AY210" s="323">
        <v>7.1145999999999985</v>
      </c>
      <c r="AZ210" s="323">
        <v>9.3766999999999996</v>
      </c>
      <c r="BA210" s="323">
        <v>4.3002999999999991</v>
      </c>
      <c r="BB210" s="319"/>
      <c r="BC210" s="321">
        <f t="shared" si="18"/>
        <v>1.2385798217749422</v>
      </c>
      <c r="BD210" s="321">
        <f t="shared" si="19"/>
        <v>1.1628824639798649</v>
      </c>
      <c r="BE210" s="321">
        <f t="shared" si="20"/>
        <v>1.1764528056182129</v>
      </c>
      <c r="BG210" s="22">
        <f t="shared" si="21"/>
        <v>0</v>
      </c>
      <c r="BH210" s="22">
        <f t="shared" si="22"/>
        <v>-2.7755575615628914E-16</v>
      </c>
      <c r="BI210" s="22">
        <f t="shared" si="23"/>
        <v>3.8857805861880479E-16</v>
      </c>
    </row>
    <row r="211" spans="2:61" x14ac:dyDescent="0.25">
      <c r="B211" s="312">
        <v>104</v>
      </c>
      <c r="C211" s="312" t="s">
        <v>668</v>
      </c>
      <c r="D211" s="312" t="s">
        <v>393</v>
      </c>
      <c r="E211" s="312">
        <v>9</v>
      </c>
      <c r="F211" s="312">
        <v>1</v>
      </c>
      <c r="G211" s="313" t="s">
        <v>221</v>
      </c>
      <c r="H211" s="313"/>
      <c r="I211" s="346">
        <v>1853</v>
      </c>
      <c r="J211" s="317">
        <v>165.39999999999986</v>
      </c>
      <c r="K211" s="317">
        <v>1655.4</v>
      </c>
      <c r="L211" s="317">
        <v>32.200000000000003</v>
      </c>
      <c r="M211" s="317"/>
      <c r="N211" s="319">
        <v>0.13350000000000001</v>
      </c>
      <c r="O211" s="319">
        <v>7.1300000000000002E-2</v>
      </c>
      <c r="P211" s="319">
        <v>0.30769999999999997</v>
      </c>
      <c r="Q211" s="319">
        <v>7.0800000000000002E-2</v>
      </c>
      <c r="R211" s="319">
        <v>2.3699999999999999E-2</v>
      </c>
      <c r="S211" s="319">
        <v>0.2356</v>
      </c>
      <c r="T211" s="319">
        <v>0</v>
      </c>
      <c r="U211" s="319">
        <v>0.63149999999999995</v>
      </c>
      <c r="V211" s="319">
        <v>2.0701999999999998</v>
      </c>
      <c r="W211" s="319">
        <v>0</v>
      </c>
      <c r="X211" s="319">
        <v>0.15359999999999999</v>
      </c>
      <c r="Y211" s="319">
        <v>0</v>
      </c>
      <c r="Z211" s="319">
        <v>1.7416</v>
      </c>
      <c r="AA211" s="319">
        <v>0.17949999999999999</v>
      </c>
      <c r="AB211" s="319">
        <v>0.25700000000000001</v>
      </c>
      <c r="AC211" s="319">
        <v>9.74E-2</v>
      </c>
      <c r="AD211" s="319">
        <v>0.1163</v>
      </c>
      <c r="AE211" s="319">
        <v>4.6100000000000002E-2</v>
      </c>
      <c r="AF211" s="319">
        <v>3.9600000000000003E-2</v>
      </c>
      <c r="AG211" s="319">
        <v>3.1300000000000001E-2</v>
      </c>
      <c r="AH211" s="319">
        <v>0</v>
      </c>
      <c r="AI211" s="319">
        <v>2.3759999999999999</v>
      </c>
      <c r="AJ211" s="319">
        <v>1.7146999999999999</v>
      </c>
      <c r="AK211" s="319">
        <v>7.8E-2</v>
      </c>
      <c r="AL211" s="319">
        <v>0.52180000000000004</v>
      </c>
      <c r="AM211" s="319">
        <v>3.44E-2</v>
      </c>
      <c r="AN211" s="319">
        <v>5.5999999999999999E-3</v>
      </c>
      <c r="AO211" s="319">
        <v>0.30420000000000003</v>
      </c>
      <c r="AP211" s="319">
        <v>0.37519999999999998</v>
      </c>
      <c r="AQ211" s="319">
        <v>0</v>
      </c>
      <c r="AR211" s="319">
        <v>0.45860000000000001</v>
      </c>
      <c r="AS211" s="319">
        <v>0.58079999999999998</v>
      </c>
      <c r="AT211" s="331">
        <v>0.2127</v>
      </c>
      <c r="AU211" s="336">
        <v>9.6297999999999995</v>
      </c>
      <c r="AV211" s="329">
        <v>12.197399999999998</v>
      </c>
      <c r="AW211" s="337">
        <v>4.4671999999999983</v>
      </c>
      <c r="AX211" s="334"/>
      <c r="AY211" s="323">
        <v>7.5829000000000004</v>
      </c>
      <c r="AZ211" s="323">
        <v>10.521899999999999</v>
      </c>
      <c r="BA211" s="323">
        <v>4.194399999999999</v>
      </c>
      <c r="BB211" s="319"/>
      <c r="BC211" s="321">
        <f t="shared" si="18"/>
        <v>1.2699363040525391</v>
      </c>
      <c r="BD211" s="321">
        <f t="shared" si="19"/>
        <v>1.1592393008867219</v>
      </c>
      <c r="BE211" s="321">
        <f t="shared" si="20"/>
        <v>1.0650390997520502</v>
      </c>
      <c r="BG211" s="22">
        <f t="shared" si="21"/>
        <v>-1.2212453270876722E-15</v>
      </c>
      <c r="BH211" s="22">
        <f t="shared" si="22"/>
        <v>0</v>
      </c>
      <c r="BI211" s="22">
        <f t="shared" si="23"/>
        <v>-1.8041124150158794E-15</v>
      </c>
    </row>
    <row r="212" spans="2:61" x14ac:dyDescent="0.25">
      <c r="B212" s="312">
        <v>115</v>
      </c>
      <c r="C212" s="312" t="s">
        <v>690</v>
      </c>
      <c r="D212" s="312" t="s">
        <v>393</v>
      </c>
      <c r="E212" s="312">
        <v>9</v>
      </c>
      <c r="F212" s="312">
        <v>2</v>
      </c>
      <c r="G212" s="313" t="s">
        <v>222</v>
      </c>
      <c r="H212" s="313"/>
      <c r="I212" s="346">
        <v>3721.7</v>
      </c>
      <c r="J212" s="317">
        <v>396.09999999999991</v>
      </c>
      <c r="K212" s="317">
        <v>3325.6</v>
      </c>
      <c r="L212" s="317">
        <v>0</v>
      </c>
      <c r="M212" s="317"/>
      <c r="N212" s="319">
        <v>0.18390000000000001</v>
      </c>
      <c r="O212" s="319">
        <v>0.1042</v>
      </c>
      <c r="P212" s="319">
        <v>0.29509999999999997</v>
      </c>
      <c r="Q212" s="319">
        <v>6.8199999999999997E-2</v>
      </c>
      <c r="R212" s="319">
        <v>2.3599999999999999E-2</v>
      </c>
      <c r="S212" s="319">
        <v>0.21060000000000001</v>
      </c>
      <c r="T212" s="319">
        <v>0</v>
      </c>
      <c r="U212" s="319">
        <v>0.63149999999999995</v>
      </c>
      <c r="V212" s="319">
        <v>1.4801</v>
      </c>
      <c r="W212" s="319">
        <v>0.1081</v>
      </c>
      <c r="X212" s="319">
        <v>0.153</v>
      </c>
      <c r="Y212" s="319">
        <v>0</v>
      </c>
      <c r="Z212" s="319">
        <v>2.5499999999999998</v>
      </c>
      <c r="AA212" s="319">
        <v>0.23960000000000001</v>
      </c>
      <c r="AB212" s="319">
        <v>0.37359999999999999</v>
      </c>
      <c r="AC212" s="319">
        <v>0.1094</v>
      </c>
      <c r="AD212" s="319">
        <v>0.1019</v>
      </c>
      <c r="AE212" s="319">
        <v>4.5900000000000003E-2</v>
      </c>
      <c r="AF212" s="319">
        <v>4.9200000000000001E-2</v>
      </c>
      <c r="AG212" s="319">
        <v>3.0599999999999999E-2</v>
      </c>
      <c r="AH212" s="319">
        <v>0</v>
      </c>
      <c r="AI212" s="319">
        <v>1.5797000000000001</v>
      </c>
      <c r="AJ212" s="319">
        <v>1.5866</v>
      </c>
      <c r="AK212" s="319">
        <v>8.0799999999999997E-2</v>
      </c>
      <c r="AL212" s="319">
        <v>0.4108</v>
      </c>
      <c r="AM212" s="319">
        <v>3.6700000000000003E-2</v>
      </c>
      <c r="AN212" s="319">
        <v>6.0000000000000001E-3</v>
      </c>
      <c r="AO212" s="319">
        <v>0.36159999999999998</v>
      </c>
      <c r="AP212" s="319">
        <v>0.46689999999999998</v>
      </c>
      <c r="AQ212" s="319">
        <v>0</v>
      </c>
      <c r="AR212" s="319">
        <v>0.46160000000000001</v>
      </c>
      <c r="AS212" s="319">
        <v>0.56440000000000001</v>
      </c>
      <c r="AT212" s="331">
        <v>0.26469999999999999</v>
      </c>
      <c r="AU212" s="336">
        <v>9.6940999999999988</v>
      </c>
      <c r="AV212" s="329">
        <v>11.852</v>
      </c>
      <c r="AW212" s="337">
        <v>5.5584999999999996</v>
      </c>
      <c r="AX212" s="334"/>
      <c r="AY212" s="323">
        <v>7.6335000000000006</v>
      </c>
      <c r="AZ212" s="323">
        <v>10.0587</v>
      </c>
      <c r="BA212" s="323">
        <v>4.6728000000000005</v>
      </c>
      <c r="BB212" s="319"/>
      <c r="BC212" s="321">
        <f t="shared" si="18"/>
        <v>1.2699417043295995</v>
      </c>
      <c r="BD212" s="321">
        <f t="shared" si="19"/>
        <v>1.178283475995904</v>
      </c>
      <c r="BE212" s="321">
        <f t="shared" si="20"/>
        <v>1.1895437425098441</v>
      </c>
      <c r="BG212" s="22">
        <f t="shared" si="21"/>
        <v>6.106226635438361E-16</v>
      </c>
      <c r="BH212" s="22">
        <f t="shared" si="22"/>
        <v>2.1649348980190553E-15</v>
      </c>
      <c r="BI212" s="22">
        <f t="shared" si="23"/>
        <v>6.106226635438361E-16</v>
      </c>
    </row>
    <row r="213" spans="2:61" x14ac:dyDescent="0.25">
      <c r="B213" s="312">
        <v>131</v>
      </c>
      <c r="C213" s="312" t="s">
        <v>722</v>
      </c>
      <c r="D213" s="312"/>
      <c r="E213" s="312">
        <v>9</v>
      </c>
      <c r="F213" s="312">
        <v>3</v>
      </c>
      <c r="G213" s="313" t="s">
        <v>223</v>
      </c>
      <c r="H213" s="313"/>
      <c r="I213" s="346">
        <v>6226.6</v>
      </c>
      <c r="J213" s="317">
        <v>513.69999999999982</v>
      </c>
      <c r="K213" s="317">
        <v>5645.6</v>
      </c>
      <c r="L213" s="317">
        <v>67.3</v>
      </c>
      <c r="M213" s="317"/>
      <c r="N213" s="319">
        <v>0.129</v>
      </c>
      <c r="O213" s="319">
        <v>0.10100000000000001</v>
      </c>
      <c r="P213" s="319">
        <v>0.28439999999999999</v>
      </c>
      <c r="Q213" s="319">
        <v>6.5199999999999994E-2</v>
      </c>
      <c r="R213" s="319">
        <v>2.12E-2</v>
      </c>
      <c r="S213" s="319">
        <v>0.24959999999999999</v>
      </c>
      <c r="T213" s="319">
        <v>0</v>
      </c>
      <c r="U213" s="319">
        <v>0.63149999999999995</v>
      </c>
      <c r="V213" s="319">
        <v>1.8210999999999999</v>
      </c>
      <c r="W213" s="319">
        <v>0</v>
      </c>
      <c r="X213" s="319">
        <v>0.13589999999999999</v>
      </c>
      <c r="Y213" s="319">
        <v>0</v>
      </c>
      <c r="Z213" s="319">
        <v>1.9821</v>
      </c>
      <c r="AA213" s="319">
        <v>0.17030000000000001</v>
      </c>
      <c r="AB213" s="319">
        <v>0.36180000000000001</v>
      </c>
      <c r="AC213" s="319">
        <v>0.1225</v>
      </c>
      <c r="AD213" s="319">
        <v>9.9000000000000005E-2</v>
      </c>
      <c r="AE213" s="319">
        <v>4.1200000000000001E-2</v>
      </c>
      <c r="AF213" s="319">
        <v>9.8900000000000002E-2</v>
      </c>
      <c r="AG213" s="319">
        <v>2.5600000000000001E-2</v>
      </c>
      <c r="AH213" s="319">
        <v>0</v>
      </c>
      <c r="AI213" s="319">
        <v>1.3734999999999999</v>
      </c>
      <c r="AJ213" s="319">
        <v>1.4697</v>
      </c>
      <c r="AK213" s="319">
        <v>7.9000000000000001E-2</v>
      </c>
      <c r="AL213" s="319">
        <v>0.2802</v>
      </c>
      <c r="AM213" s="319">
        <v>2.8899999999999999E-2</v>
      </c>
      <c r="AN213" s="319">
        <v>4.7000000000000002E-3</v>
      </c>
      <c r="AO213" s="319">
        <v>0.28989999999999999</v>
      </c>
      <c r="AP213" s="319">
        <v>1.1551</v>
      </c>
      <c r="AQ213" s="319">
        <v>0</v>
      </c>
      <c r="AR213" s="319">
        <v>0.40229999999999999</v>
      </c>
      <c r="AS213" s="319">
        <v>0.55110000000000003</v>
      </c>
      <c r="AT213" s="331">
        <v>0.2316</v>
      </c>
      <c r="AU213" s="336">
        <v>8.4473999999999982</v>
      </c>
      <c r="AV213" s="329">
        <v>11.572399999999996</v>
      </c>
      <c r="AW213" s="337">
        <v>4.8633999999999986</v>
      </c>
      <c r="AX213" s="334"/>
      <c r="AY213" s="323">
        <v>6.6519999999999984</v>
      </c>
      <c r="AZ213" s="323">
        <v>10.101899999999999</v>
      </c>
      <c r="BA213" s="323">
        <v>4.0840999999999985</v>
      </c>
      <c r="BB213" s="319"/>
      <c r="BC213" s="321">
        <f t="shared" si="18"/>
        <v>1.2699037883343356</v>
      </c>
      <c r="BD213" s="321">
        <f t="shared" si="19"/>
        <v>1.1455666755758815</v>
      </c>
      <c r="BE213" s="321">
        <f t="shared" si="20"/>
        <v>1.1908131534487403</v>
      </c>
      <c r="BG213" s="22">
        <f t="shared" si="21"/>
        <v>-1.8318679906315083E-15</v>
      </c>
      <c r="BH213" s="22">
        <f t="shared" si="22"/>
        <v>-4.0245584642661925E-15</v>
      </c>
      <c r="BI213" s="22">
        <f t="shared" si="23"/>
        <v>-1.3600232051658168E-15</v>
      </c>
    </row>
    <row r="214" spans="2:61" x14ac:dyDescent="0.25">
      <c r="B214" s="312">
        <v>132</v>
      </c>
      <c r="C214" s="312" t="s">
        <v>724</v>
      </c>
      <c r="D214" s="312"/>
      <c r="E214" s="312">
        <v>9</v>
      </c>
      <c r="F214" s="312">
        <v>3</v>
      </c>
      <c r="G214" s="313" t="s">
        <v>224</v>
      </c>
      <c r="H214" s="313"/>
      <c r="I214" s="346">
        <v>5940.55</v>
      </c>
      <c r="J214" s="317">
        <v>422.36000000000058</v>
      </c>
      <c r="K214" s="317">
        <v>5518.19</v>
      </c>
      <c r="L214" s="317">
        <v>0</v>
      </c>
      <c r="M214" s="317"/>
      <c r="N214" s="319">
        <v>0.13220000000000001</v>
      </c>
      <c r="O214" s="319">
        <v>9.7299999999999998E-2</v>
      </c>
      <c r="P214" s="319">
        <v>0.29299999999999998</v>
      </c>
      <c r="Q214" s="319">
        <v>6.5199999999999994E-2</v>
      </c>
      <c r="R214" s="319">
        <v>2.2200000000000001E-2</v>
      </c>
      <c r="S214" s="319">
        <v>0.27400000000000002</v>
      </c>
      <c r="T214" s="319">
        <v>0</v>
      </c>
      <c r="U214" s="319">
        <v>0.63149999999999995</v>
      </c>
      <c r="V214" s="319">
        <v>1.8632</v>
      </c>
      <c r="W214" s="319">
        <v>0</v>
      </c>
      <c r="X214" s="319">
        <v>0.1384</v>
      </c>
      <c r="Y214" s="319">
        <v>0</v>
      </c>
      <c r="Z214" s="319">
        <v>2.1616</v>
      </c>
      <c r="AA214" s="319">
        <v>0.17469999999999999</v>
      </c>
      <c r="AB214" s="319">
        <v>0.34899999999999998</v>
      </c>
      <c r="AC214" s="319">
        <v>0.1237</v>
      </c>
      <c r="AD214" s="319">
        <v>6.0999999999999999E-2</v>
      </c>
      <c r="AE214" s="319">
        <v>4.3200000000000002E-2</v>
      </c>
      <c r="AF214" s="319">
        <v>0.11119999999999999</v>
      </c>
      <c r="AG214" s="319">
        <v>2.75E-2</v>
      </c>
      <c r="AH214" s="319">
        <v>0</v>
      </c>
      <c r="AI214" s="319">
        <v>1.1494</v>
      </c>
      <c r="AJ214" s="319">
        <v>1.4412</v>
      </c>
      <c r="AK214" s="319">
        <v>7.7600000000000002E-2</v>
      </c>
      <c r="AL214" s="319">
        <v>0.27139999999999997</v>
      </c>
      <c r="AM214" s="319">
        <v>3.0200000000000001E-2</v>
      </c>
      <c r="AN214" s="319">
        <v>4.8999999999999998E-3</v>
      </c>
      <c r="AO214" s="319">
        <v>0.52969999999999995</v>
      </c>
      <c r="AP214" s="319">
        <v>0.61899999999999999</v>
      </c>
      <c r="AQ214" s="319">
        <v>0</v>
      </c>
      <c r="AR214" s="319">
        <v>0.41049999999999998</v>
      </c>
      <c r="AS214" s="319">
        <v>0.53459999999999996</v>
      </c>
      <c r="AT214" s="331">
        <v>0.2409</v>
      </c>
      <c r="AU214" s="336">
        <v>8.6206000000000014</v>
      </c>
      <c r="AV214" s="329">
        <v>11.226899999999999</v>
      </c>
      <c r="AW214" s="337">
        <v>5.0593000000000004</v>
      </c>
      <c r="AX214" s="334"/>
      <c r="AY214" s="323">
        <v>6.9833000000000016</v>
      </c>
      <c r="AZ214" s="323">
        <v>9.8840000000000003</v>
      </c>
      <c r="BA214" s="323">
        <v>4.1315000000000008</v>
      </c>
      <c r="BB214" s="319"/>
      <c r="BC214" s="321">
        <f t="shared" si="18"/>
        <v>1.234459353027938</v>
      </c>
      <c r="BD214" s="321">
        <f t="shared" si="19"/>
        <v>1.1358660461351677</v>
      </c>
      <c r="BE214" s="321">
        <f t="shared" si="20"/>
        <v>1.2245673484206703</v>
      </c>
      <c r="BG214" s="22">
        <f t="shared" si="21"/>
        <v>1.9984014443252818E-15</v>
      </c>
      <c r="BH214" s="22">
        <f t="shared" si="22"/>
        <v>-3.6082248300317588E-16</v>
      </c>
      <c r="BI214" s="22">
        <f t="shared" si="23"/>
        <v>0</v>
      </c>
    </row>
    <row r="215" spans="2:61" x14ac:dyDescent="0.25">
      <c r="B215" s="312">
        <v>139</v>
      </c>
      <c r="C215" s="312" t="s">
        <v>738</v>
      </c>
      <c r="D215" s="312"/>
      <c r="E215" s="312">
        <v>9</v>
      </c>
      <c r="F215" s="312">
        <v>6</v>
      </c>
      <c r="G215" s="313" t="s">
        <v>225</v>
      </c>
      <c r="H215" s="313"/>
      <c r="I215" s="346">
        <v>11088.2</v>
      </c>
      <c r="J215" s="317">
        <v>1169.5</v>
      </c>
      <c r="K215" s="317">
        <v>9918.7000000000007</v>
      </c>
      <c r="L215" s="317">
        <v>0</v>
      </c>
      <c r="M215" s="317"/>
      <c r="N215" s="319">
        <v>0.17280000000000001</v>
      </c>
      <c r="O215" s="319">
        <v>9.7900000000000001E-2</v>
      </c>
      <c r="P215" s="319">
        <v>0.29330000000000001</v>
      </c>
      <c r="Q215" s="319">
        <v>6.6799999999999998E-2</v>
      </c>
      <c r="R215" s="319">
        <v>1.8700000000000001E-2</v>
      </c>
      <c r="S215" s="319">
        <v>0.36299999999999999</v>
      </c>
      <c r="T215" s="319">
        <v>0</v>
      </c>
      <c r="U215" s="319">
        <v>0.63149999999999995</v>
      </c>
      <c r="V215" s="319">
        <v>1.8783000000000001</v>
      </c>
      <c r="W215" s="319">
        <v>3.6200000000000003E-2</v>
      </c>
      <c r="X215" s="319">
        <v>0.15190000000000001</v>
      </c>
      <c r="Y215" s="319">
        <v>0</v>
      </c>
      <c r="Z215" s="319">
        <v>2.2715000000000001</v>
      </c>
      <c r="AA215" s="319">
        <v>0.22439999999999999</v>
      </c>
      <c r="AB215" s="319">
        <v>0.35120000000000001</v>
      </c>
      <c r="AC215" s="319">
        <v>0.13400000000000001</v>
      </c>
      <c r="AD215" s="319">
        <v>8.6900000000000005E-2</v>
      </c>
      <c r="AE215" s="319">
        <v>3.6400000000000002E-2</v>
      </c>
      <c r="AF215" s="319">
        <v>0.16070000000000001</v>
      </c>
      <c r="AG215" s="319">
        <v>2.98E-2</v>
      </c>
      <c r="AH215" s="319">
        <v>0</v>
      </c>
      <c r="AI215" s="319">
        <v>1.6336999999999999</v>
      </c>
      <c r="AJ215" s="319">
        <v>1.6485000000000001</v>
      </c>
      <c r="AK215" s="319">
        <v>7.51E-2</v>
      </c>
      <c r="AL215" s="319">
        <v>0.2833</v>
      </c>
      <c r="AM215" s="319">
        <v>3.04E-2</v>
      </c>
      <c r="AN215" s="319">
        <v>4.8999999999999998E-3</v>
      </c>
      <c r="AO215" s="319">
        <v>0.23810000000000001</v>
      </c>
      <c r="AP215" s="319">
        <v>0.37569999999999998</v>
      </c>
      <c r="AQ215" s="319">
        <v>0</v>
      </c>
      <c r="AR215" s="319">
        <v>0.45019999999999999</v>
      </c>
      <c r="AS215" s="319">
        <v>0.56479999999999997</v>
      </c>
      <c r="AT215" s="331">
        <v>0.2601</v>
      </c>
      <c r="AU215" s="336">
        <v>9.4550000000000018</v>
      </c>
      <c r="AV215" s="329">
        <v>11.8598</v>
      </c>
      <c r="AW215" s="337">
        <v>5.4613000000000014</v>
      </c>
      <c r="AX215" s="334"/>
      <c r="AY215" s="323">
        <v>7.4452999999999996</v>
      </c>
      <c r="AZ215" s="323">
        <v>10.218399999999999</v>
      </c>
      <c r="BA215" s="323">
        <v>4.6952999999999996</v>
      </c>
      <c r="BB215" s="319"/>
      <c r="BC215" s="321">
        <f t="shared" si="18"/>
        <v>1.2699286798382876</v>
      </c>
      <c r="BD215" s="321">
        <f t="shared" si="19"/>
        <v>1.1606318014561967</v>
      </c>
      <c r="BE215" s="321">
        <f t="shared" si="20"/>
        <v>1.1631418652695253</v>
      </c>
      <c r="BG215" s="22">
        <f t="shared" si="21"/>
        <v>-7.2164496600635175E-16</v>
      </c>
      <c r="BH215" s="22">
        <f t="shared" si="22"/>
        <v>-2.2759572004815709E-15</v>
      </c>
      <c r="BI215" s="22">
        <f t="shared" si="23"/>
        <v>0</v>
      </c>
    </row>
    <row r="216" spans="2:61" x14ac:dyDescent="0.25">
      <c r="B216" s="312">
        <v>140</v>
      </c>
      <c r="C216" s="312" t="s">
        <v>740</v>
      </c>
      <c r="D216" s="312"/>
      <c r="E216" s="312">
        <v>9</v>
      </c>
      <c r="F216" s="312">
        <v>1</v>
      </c>
      <c r="G216" s="313" t="s">
        <v>226</v>
      </c>
      <c r="H216" s="313"/>
      <c r="I216" s="346">
        <v>6348.8</v>
      </c>
      <c r="J216" s="317">
        <v>437.40000000000055</v>
      </c>
      <c r="K216" s="317">
        <v>5911.4</v>
      </c>
      <c r="L216" s="317">
        <v>0</v>
      </c>
      <c r="M216" s="317"/>
      <c r="N216" s="319">
        <v>9.06E-2</v>
      </c>
      <c r="O216" s="319">
        <v>4.1200000000000001E-2</v>
      </c>
      <c r="P216" s="319">
        <v>0.29239999999999999</v>
      </c>
      <c r="Q216" s="319">
        <v>6.6900000000000001E-2</v>
      </c>
      <c r="R216" s="319">
        <v>2.2700000000000001E-2</v>
      </c>
      <c r="S216" s="319">
        <v>0.20119999999999999</v>
      </c>
      <c r="T216" s="319">
        <v>0</v>
      </c>
      <c r="U216" s="319">
        <v>0.63149999999999995</v>
      </c>
      <c r="V216" s="319">
        <v>1.1595</v>
      </c>
      <c r="W216" s="319">
        <v>0</v>
      </c>
      <c r="X216" s="319">
        <v>0.1196</v>
      </c>
      <c r="Y216" s="319">
        <v>0</v>
      </c>
      <c r="Z216" s="319">
        <v>1.9736</v>
      </c>
      <c r="AA216" s="319">
        <v>0.13009999999999999</v>
      </c>
      <c r="AB216" s="319">
        <v>0.14849999999999999</v>
      </c>
      <c r="AC216" s="319">
        <v>0.129</v>
      </c>
      <c r="AD216" s="319">
        <v>7.7100000000000002E-2</v>
      </c>
      <c r="AE216" s="319">
        <v>4.41E-2</v>
      </c>
      <c r="AF216" s="319">
        <v>4.3299999999999998E-2</v>
      </c>
      <c r="AG216" s="319">
        <v>0</v>
      </c>
      <c r="AH216" s="319">
        <v>0</v>
      </c>
      <c r="AI216" s="319">
        <v>1.865</v>
      </c>
      <c r="AJ216" s="319">
        <v>1.2023999999999999</v>
      </c>
      <c r="AK216" s="319">
        <v>9.1600000000000001E-2</v>
      </c>
      <c r="AL216" s="319">
        <v>0.3543</v>
      </c>
      <c r="AM216" s="319">
        <v>3.9600000000000003E-2</v>
      </c>
      <c r="AN216" s="319">
        <v>6.4000000000000003E-3</v>
      </c>
      <c r="AO216" s="319">
        <v>0.128</v>
      </c>
      <c r="AP216" s="319">
        <v>0.63039999999999996</v>
      </c>
      <c r="AQ216" s="319">
        <v>0</v>
      </c>
      <c r="AR216" s="319">
        <v>0.38500000000000001</v>
      </c>
      <c r="AS216" s="319">
        <v>0.47449999999999998</v>
      </c>
      <c r="AT216" s="331">
        <v>0.20749999999999999</v>
      </c>
      <c r="AU216" s="336">
        <v>8.0841000000000012</v>
      </c>
      <c r="AV216" s="329">
        <v>9.9635000000000016</v>
      </c>
      <c r="AW216" s="337">
        <v>4.3568999999999996</v>
      </c>
      <c r="AX216" s="334"/>
      <c r="AY216" s="323">
        <v>6.4487000000000014</v>
      </c>
      <c r="AZ216" s="323">
        <v>8.4695000000000018</v>
      </c>
      <c r="BA216" s="323">
        <v>3.9486000000000012</v>
      </c>
      <c r="BB216" s="319"/>
      <c r="BC216" s="321">
        <f t="shared" si="18"/>
        <v>1.2536015010777366</v>
      </c>
      <c r="BD216" s="321">
        <f t="shared" si="19"/>
        <v>1.1763976621996575</v>
      </c>
      <c r="BE216" s="321">
        <f t="shared" si="20"/>
        <v>1.1034037380337329</v>
      </c>
      <c r="BG216" s="22">
        <f t="shared" si="21"/>
        <v>0</v>
      </c>
      <c r="BH216" s="22">
        <f t="shared" si="22"/>
        <v>2.4980018054066022E-16</v>
      </c>
      <c r="BI216" s="22">
        <f t="shared" si="23"/>
        <v>2.4980018054066022E-16</v>
      </c>
    </row>
    <row r="217" spans="2:61" x14ac:dyDescent="0.25">
      <c r="B217" s="312">
        <v>174</v>
      </c>
      <c r="C217" s="312" t="s">
        <v>811</v>
      </c>
      <c r="D217" s="312"/>
      <c r="E217" s="312">
        <v>9</v>
      </c>
      <c r="F217" s="312">
        <v>3</v>
      </c>
      <c r="G217" s="313" t="s">
        <v>227</v>
      </c>
      <c r="H217" s="313"/>
      <c r="I217" s="346">
        <v>5638.9</v>
      </c>
      <c r="J217" s="317">
        <v>610.39999999999964</v>
      </c>
      <c r="K217" s="317">
        <v>5028.5</v>
      </c>
      <c r="L217" s="317">
        <v>0</v>
      </c>
      <c r="M217" s="317"/>
      <c r="N217" s="319">
        <v>0.17979999999999999</v>
      </c>
      <c r="O217" s="319">
        <v>0.1075</v>
      </c>
      <c r="P217" s="319">
        <v>0.28220000000000001</v>
      </c>
      <c r="Q217" s="319">
        <v>7.3499999999999996E-2</v>
      </c>
      <c r="R217" s="319">
        <v>2.3400000000000001E-2</v>
      </c>
      <c r="S217" s="319">
        <v>0.2626</v>
      </c>
      <c r="T217" s="319">
        <v>0</v>
      </c>
      <c r="U217" s="319">
        <v>0.63149999999999995</v>
      </c>
      <c r="V217" s="319">
        <v>2.0446</v>
      </c>
      <c r="W217" s="319">
        <v>0</v>
      </c>
      <c r="X217" s="319">
        <v>0.15140000000000001</v>
      </c>
      <c r="Y217" s="319">
        <v>0</v>
      </c>
      <c r="Z217" s="319">
        <v>2.7631999999999999</v>
      </c>
      <c r="AA217" s="319">
        <v>0.23400000000000001</v>
      </c>
      <c r="AB217" s="319">
        <v>0.37409999999999999</v>
      </c>
      <c r="AC217" s="319">
        <v>0.11940000000000001</v>
      </c>
      <c r="AD217" s="319">
        <v>0.1177</v>
      </c>
      <c r="AE217" s="319">
        <v>4.5499999999999999E-2</v>
      </c>
      <c r="AF217" s="319">
        <v>0.1012</v>
      </c>
      <c r="AG217" s="319">
        <v>0.03</v>
      </c>
      <c r="AH217" s="319">
        <v>0</v>
      </c>
      <c r="AI217" s="319">
        <v>1.2204999999999999</v>
      </c>
      <c r="AJ217" s="319">
        <v>1.5304</v>
      </c>
      <c r="AK217" s="319">
        <v>8.5300000000000001E-2</v>
      </c>
      <c r="AL217" s="319">
        <v>0.46310000000000001</v>
      </c>
      <c r="AM217" s="319">
        <v>3.6400000000000002E-2</v>
      </c>
      <c r="AN217" s="319">
        <v>5.8999999999999999E-3</v>
      </c>
      <c r="AO217" s="319">
        <v>0.32129999999999997</v>
      </c>
      <c r="AP217" s="319">
        <v>0.49409999999999998</v>
      </c>
      <c r="AQ217" s="319">
        <v>0</v>
      </c>
      <c r="AR217" s="319">
        <v>0.45800000000000002</v>
      </c>
      <c r="AS217" s="319">
        <v>0.58489999999999998</v>
      </c>
      <c r="AT217" s="331">
        <v>0.28120000000000001</v>
      </c>
      <c r="AU217" s="336">
        <v>9.6179000000000023</v>
      </c>
      <c r="AV217" s="329">
        <v>12.283500000000002</v>
      </c>
      <c r="AW217" s="337">
        <v>5.905800000000001</v>
      </c>
      <c r="AX217" s="334"/>
      <c r="AY217" s="323">
        <v>7.5734999999999992</v>
      </c>
      <c r="AZ217" s="323">
        <v>10.665799999999999</v>
      </c>
      <c r="BA217" s="323">
        <v>4.9398999999999988</v>
      </c>
      <c r="BB217" s="319"/>
      <c r="BC217" s="321">
        <f t="shared" si="18"/>
        <v>1.2699412424902625</v>
      </c>
      <c r="BD217" s="321">
        <f t="shared" si="19"/>
        <v>1.1516716983254893</v>
      </c>
      <c r="BE217" s="321">
        <f t="shared" si="20"/>
        <v>1.1955302738921845</v>
      </c>
      <c r="BG217" s="22">
        <f t="shared" si="21"/>
        <v>7.7715611723760958E-16</v>
      </c>
      <c r="BH217" s="22">
        <f t="shared" si="22"/>
        <v>3.6082248300317588E-16</v>
      </c>
      <c r="BI217" s="22">
        <f t="shared" si="23"/>
        <v>5.8286708792820718E-16</v>
      </c>
    </row>
    <row r="218" spans="2:61" x14ac:dyDescent="0.25">
      <c r="B218" s="312">
        <v>175</v>
      </c>
      <c r="C218" s="312" t="s">
        <v>813</v>
      </c>
      <c r="D218" s="312"/>
      <c r="E218" s="312">
        <v>9</v>
      </c>
      <c r="F218" s="312">
        <v>3</v>
      </c>
      <c r="G218" s="313" t="s">
        <v>228</v>
      </c>
      <c r="H218" s="313"/>
      <c r="I218" s="346">
        <v>5640.2</v>
      </c>
      <c r="J218" s="317">
        <v>613</v>
      </c>
      <c r="K218" s="317">
        <v>5027.2</v>
      </c>
      <c r="L218" s="317">
        <v>0</v>
      </c>
      <c r="M218" s="317"/>
      <c r="N218" s="319">
        <v>0.17680000000000001</v>
      </c>
      <c r="O218" s="319">
        <v>6.88E-2</v>
      </c>
      <c r="P218" s="319">
        <v>0.28360000000000002</v>
      </c>
      <c r="Q218" s="319">
        <v>7.3700000000000002E-2</v>
      </c>
      <c r="R218" s="319">
        <v>2.3400000000000001E-2</v>
      </c>
      <c r="S218" s="319">
        <v>0.23100000000000001</v>
      </c>
      <c r="T218" s="319">
        <v>0</v>
      </c>
      <c r="U218" s="319">
        <v>0.63149999999999995</v>
      </c>
      <c r="V218" s="319">
        <v>2.0451000000000001</v>
      </c>
      <c r="W218" s="319">
        <v>0</v>
      </c>
      <c r="X218" s="319">
        <v>0.15140000000000001</v>
      </c>
      <c r="Y218" s="319">
        <v>0</v>
      </c>
      <c r="Z218" s="319">
        <v>1.988</v>
      </c>
      <c r="AA218" s="319">
        <v>0.2301</v>
      </c>
      <c r="AB218" s="319">
        <v>0.248</v>
      </c>
      <c r="AC218" s="319">
        <v>0.11990000000000001</v>
      </c>
      <c r="AD218" s="319">
        <v>0.1177</v>
      </c>
      <c r="AE218" s="319">
        <v>4.5499999999999999E-2</v>
      </c>
      <c r="AF218" s="319">
        <v>5.8400000000000001E-2</v>
      </c>
      <c r="AG218" s="319">
        <v>0.03</v>
      </c>
      <c r="AH218" s="319">
        <v>0</v>
      </c>
      <c r="AI218" s="319">
        <v>2.1930999999999998</v>
      </c>
      <c r="AJ218" s="319">
        <v>1.6395</v>
      </c>
      <c r="AK218" s="319">
        <v>8.43E-2</v>
      </c>
      <c r="AL218" s="319">
        <v>0.40799999999999997</v>
      </c>
      <c r="AM218" s="319">
        <v>3.6700000000000003E-2</v>
      </c>
      <c r="AN218" s="319">
        <v>6.0000000000000001E-3</v>
      </c>
      <c r="AO218" s="319">
        <v>0.43130000000000002</v>
      </c>
      <c r="AP218" s="319">
        <v>0.61770000000000003</v>
      </c>
      <c r="AQ218" s="319">
        <v>0</v>
      </c>
      <c r="AR218" s="319">
        <v>0.46379999999999999</v>
      </c>
      <c r="AS218" s="319">
        <v>0.59699999999999998</v>
      </c>
      <c r="AT218" s="331">
        <v>0.23019999999999999</v>
      </c>
      <c r="AU218" s="336">
        <v>9.7405000000000008</v>
      </c>
      <c r="AV218" s="329">
        <v>12.536499999999998</v>
      </c>
      <c r="AW218" s="337">
        <v>4.8350000000000009</v>
      </c>
      <c r="AX218" s="334"/>
      <c r="AY218" s="323">
        <v>7.6701000000000006</v>
      </c>
      <c r="AZ218" s="323">
        <v>10.812900000000001</v>
      </c>
      <c r="BA218" s="323">
        <v>4.2479000000000005</v>
      </c>
      <c r="BB218" s="319"/>
      <c r="BC218" s="321">
        <f t="shared" si="18"/>
        <v>1.2699312916389618</v>
      </c>
      <c r="BD218" s="321">
        <f t="shared" si="19"/>
        <v>1.1594021955257143</v>
      </c>
      <c r="BE218" s="321">
        <f t="shared" si="20"/>
        <v>1.1382094682078203</v>
      </c>
      <c r="BG218" s="22">
        <f t="shared" si="21"/>
        <v>-8.8817841970012523E-16</v>
      </c>
      <c r="BH218" s="22">
        <f t="shared" si="22"/>
        <v>-9.1593399531575415E-16</v>
      </c>
      <c r="BI218" s="22">
        <f t="shared" si="23"/>
        <v>6.3837823915946501E-16</v>
      </c>
    </row>
    <row r="219" spans="2:61" x14ac:dyDescent="0.25">
      <c r="B219" s="312">
        <v>193</v>
      </c>
      <c r="C219" s="312" t="s">
        <v>851</v>
      </c>
      <c r="D219" s="312" t="s">
        <v>391</v>
      </c>
      <c r="E219" s="312">
        <v>9</v>
      </c>
      <c r="F219" s="312">
        <v>3</v>
      </c>
      <c r="G219" s="313" t="s">
        <v>229</v>
      </c>
      <c r="H219" s="313"/>
      <c r="I219" s="346">
        <v>6015.4000000000005</v>
      </c>
      <c r="J219" s="317">
        <v>104.90000000000055</v>
      </c>
      <c r="K219" s="317">
        <v>5603.4</v>
      </c>
      <c r="L219" s="317">
        <v>307.10000000000002</v>
      </c>
      <c r="M219" s="317"/>
      <c r="N219" s="319">
        <v>0.1305</v>
      </c>
      <c r="O219" s="319">
        <v>9.6100000000000005E-2</v>
      </c>
      <c r="P219" s="319">
        <v>0.3004</v>
      </c>
      <c r="Q219" s="319">
        <v>8.3099999999999993E-2</v>
      </c>
      <c r="R219" s="319">
        <v>2.1899999999999999E-2</v>
      </c>
      <c r="S219" s="319">
        <v>0.25840000000000002</v>
      </c>
      <c r="T219" s="319">
        <v>0</v>
      </c>
      <c r="U219" s="319">
        <v>0.63149999999999995</v>
      </c>
      <c r="V219" s="319">
        <v>1.4423999999999999</v>
      </c>
      <c r="W219" s="319">
        <v>3.2099999999999997E-2</v>
      </c>
      <c r="X219" s="319">
        <v>0.1341</v>
      </c>
      <c r="Y219" s="319">
        <v>0</v>
      </c>
      <c r="Z219" s="319">
        <v>1.8835999999999999</v>
      </c>
      <c r="AA219" s="319">
        <v>0.17630000000000001</v>
      </c>
      <c r="AB219" s="319">
        <v>0.35570000000000002</v>
      </c>
      <c r="AC219" s="319">
        <v>0.1249</v>
      </c>
      <c r="AD219" s="319">
        <v>0.12820000000000001</v>
      </c>
      <c r="AE219" s="319">
        <v>4.2599999999999999E-2</v>
      </c>
      <c r="AF219" s="319">
        <v>0.1023</v>
      </c>
      <c r="AG219" s="319">
        <v>2.5999999999999999E-2</v>
      </c>
      <c r="AH219" s="319">
        <v>0</v>
      </c>
      <c r="AI219" s="319">
        <v>1.2897000000000001</v>
      </c>
      <c r="AJ219" s="319">
        <v>1.5083</v>
      </c>
      <c r="AK219" s="319">
        <v>7.2499999999999995E-2</v>
      </c>
      <c r="AL219" s="319">
        <v>0.309</v>
      </c>
      <c r="AM219" s="319">
        <v>1.35E-2</v>
      </c>
      <c r="AN219" s="319">
        <v>2.2000000000000001E-3</v>
      </c>
      <c r="AO219" s="319">
        <v>0.73170000000000002</v>
      </c>
      <c r="AP219" s="319">
        <v>0.69279999999999997</v>
      </c>
      <c r="AQ219" s="319">
        <v>0</v>
      </c>
      <c r="AR219" s="319">
        <v>0.42109999999999997</v>
      </c>
      <c r="AS219" s="319">
        <v>0.52949999999999997</v>
      </c>
      <c r="AT219" s="331">
        <v>0.22919999999999999</v>
      </c>
      <c r="AU219" s="336">
        <v>8.8435999999999986</v>
      </c>
      <c r="AV219" s="329">
        <v>11.119299999999999</v>
      </c>
      <c r="AW219" s="337">
        <v>4.8129999999999988</v>
      </c>
      <c r="AX219" s="334"/>
      <c r="AY219" s="323">
        <v>7.0419</v>
      </c>
      <c r="AZ219" s="323">
        <v>9.860100000000001</v>
      </c>
      <c r="BA219" s="323">
        <v>3.9860000000000002</v>
      </c>
      <c r="BB219" s="319"/>
      <c r="BC219" s="321">
        <f t="shared" si="18"/>
        <v>1.2558542438830427</v>
      </c>
      <c r="BD219" s="321">
        <f t="shared" si="19"/>
        <v>1.1277066155515663</v>
      </c>
      <c r="BE219" s="321">
        <f t="shared" si="20"/>
        <v>1.2074761665830402</v>
      </c>
      <c r="BG219" s="22">
        <f t="shared" si="21"/>
        <v>-8.3266726846886741E-16</v>
      </c>
      <c r="BH219" s="22">
        <f t="shared" si="22"/>
        <v>-5.5511151231257827E-16</v>
      </c>
      <c r="BI219" s="22">
        <f t="shared" si="23"/>
        <v>0</v>
      </c>
    </row>
    <row r="220" spans="2:61" x14ac:dyDescent="0.25">
      <c r="B220" s="312">
        <v>197</v>
      </c>
      <c r="C220" s="312" t="s">
        <v>860</v>
      </c>
      <c r="D220" s="312" t="s">
        <v>391</v>
      </c>
      <c r="E220" s="312">
        <v>9</v>
      </c>
      <c r="F220" s="312">
        <v>3</v>
      </c>
      <c r="G220" s="313" t="s">
        <v>230</v>
      </c>
      <c r="H220" s="313"/>
      <c r="I220" s="346">
        <v>5420.2000000000007</v>
      </c>
      <c r="J220" s="317">
        <v>0</v>
      </c>
      <c r="K220" s="317">
        <v>5377.7</v>
      </c>
      <c r="L220" s="317">
        <v>42.5</v>
      </c>
      <c r="M220" s="317"/>
      <c r="N220" s="319">
        <v>0.1396</v>
      </c>
      <c r="O220" s="319">
        <v>7.9399999999999998E-2</v>
      </c>
      <c r="P220" s="319">
        <v>0.28420000000000001</v>
      </c>
      <c r="Q220" s="319">
        <v>7.8899999999999998E-2</v>
      </c>
      <c r="R220" s="319">
        <v>1.84E-2</v>
      </c>
      <c r="S220" s="319">
        <v>0.28129999999999999</v>
      </c>
      <c r="T220" s="319">
        <v>0</v>
      </c>
      <c r="U220" s="319">
        <v>0.63149999999999995</v>
      </c>
      <c r="V220" s="319">
        <v>1.9117999999999999</v>
      </c>
      <c r="W220" s="319">
        <v>0</v>
      </c>
      <c r="X220" s="319">
        <v>0.1401</v>
      </c>
      <c r="Y220" s="319">
        <v>0</v>
      </c>
      <c r="Z220" s="319">
        <v>1.9395</v>
      </c>
      <c r="AA220" s="319">
        <v>0.1842</v>
      </c>
      <c r="AB220" s="319">
        <v>0.28570000000000001</v>
      </c>
      <c r="AC220" s="319">
        <v>0.1077</v>
      </c>
      <c r="AD220" s="319">
        <v>0.1477</v>
      </c>
      <c r="AE220" s="319">
        <v>3.5799999999999998E-2</v>
      </c>
      <c r="AF220" s="319">
        <v>0.1103</v>
      </c>
      <c r="AG220" s="319">
        <v>2.6599999999999999E-2</v>
      </c>
      <c r="AH220" s="319">
        <v>0</v>
      </c>
      <c r="AI220" s="319">
        <v>1.2344999999999999</v>
      </c>
      <c r="AJ220" s="319">
        <v>1.6821999999999999</v>
      </c>
      <c r="AK220" s="319">
        <v>8.1900000000000001E-2</v>
      </c>
      <c r="AL220" s="319">
        <v>0.35549999999999998</v>
      </c>
      <c r="AM220" s="319">
        <v>3.15E-2</v>
      </c>
      <c r="AN220" s="319">
        <v>5.1000000000000004E-3</v>
      </c>
      <c r="AO220" s="319">
        <v>0.5524</v>
      </c>
      <c r="AP220" s="319">
        <v>0.63519999999999999</v>
      </c>
      <c r="AQ220" s="319">
        <v>0</v>
      </c>
      <c r="AR220" s="319">
        <v>0.42170000000000002</v>
      </c>
      <c r="AS220" s="319">
        <v>0.54910000000000003</v>
      </c>
      <c r="AT220" s="331">
        <v>0.23050000000000001</v>
      </c>
      <c r="AU220" s="336">
        <v>8.8557000000000006</v>
      </c>
      <c r="AV220" s="329">
        <v>11.530099999999999</v>
      </c>
      <c r="AW220" s="337">
        <v>4.839900000000001</v>
      </c>
      <c r="AX220" s="334"/>
      <c r="AY220" s="323">
        <v>6.9733000000000001</v>
      </c>
      <c r="AZ220" s="323">
        <v>10.0412</v>
      </c>
      <c r="BA220" s="323">
        <v>4.2507000000000001</v>
      </c>
      <c r="BB220" s="319"/>
      <c r="BC220" s="321">
        <f t="shared" si="18"/>
        <v>1.2699439289862764</v>
      </c>
      <c r="BD220" s="321">
        <f t="shared" si="19"/>
        <v>1.1482790901485878</v>
      </c>
      <c r="BE220" s="321">
        <f t="shared" si="20"/>
        <v>1.138612463829487</v>
      </c>
      <c r="BG220" s="22">
        <f t="shared" si="21"/>
        <v>0</v>
      </c>
      <c r="BH220" s="22">
        <f t="shared" si="22"/>
        <v>1.9706458687096529E-15</v>
      </c>
      <c r="BI220" s="22">
        <f t="shared" si="23"/>
        <v>0</v>
      </c>
    </row>
    <row r="221" spans="2:61" x14ac:dyDescent="0.25">
      <c r="B221" s="312">
        <v>198</v>
      </c>
      <c r="C221" s="312" t="s">
        <v>862</v>
      </c>
      <c r="D221" s="312" t="s">
        <v>391</v>
      </c>
      <c r="E221" s="312">
        <v>9</v>
      </c>
      <c r="F221" s="312">
        <v>5</v>
      </c>
      <c r="G221" s="313" t="s">
        <v>231</v>
      </c>
      <c r="H221" s="313"/>
      <c r="I221" s="346">
        <v>11072.94</v>
      </c>
      <c r="J221" s="317">
        <v>287.98000000000138</v>
      </c>
      <c r="K221" s="317">
        <v>9488.9599999999991</v>
      </c>
      <c r="L221" s="317">
        <v>1296</v>
      </c>
      <c r="M221" s="317"/>
      <c r="N221" s="319">
        <v>0.15840000000000001</v>
      </c>
      <c r="O221" s="319">
        <v>0.1002</v>
      </c>
      <c r="P221" s="319">
        <v>0.32400000000000001</v>
      </c>
      <c r="Q221" s="319">
        <v>7.22E-2</v>
      </c>
      <c r="R221" s="319">
        <v>3.0800000000000001E-2</v>
      </c>
      <c r="S221" s="319">
        <v>0.2984</v>
      </c>
      <c r="T221" s="319">
        <v>0</v>
      </c>
      <c r="U221" s="319">
        <v>0.63149999999999995</v>
      </c>
      <c r="V221" s="319">
        <v>1.3986000000000001</v>
      </c>
      <c r="W221" s="319">
        <v>7.5800000000000006E-2</v>
      </c>
      <c r="X221" s="319">
        <v>0.12280000000000001</v>
      </c>
      <c r="Y221" s="319">
        <v>0</v>
      </c>
      <c r="Z221" s="319">
        <v>2.0718000000000001</v>
      </c>
      <c r="AA221" s="319">
        <v>0.20530000000000001</v>
      </c>
      <c r="AB221" s="319">
        <v>0.34970000000000001</v>
      </c>
      <c r="AC221" s="319">
        <v>0.14810000000000001</v>
      </c>
      <c r="AD221" s="319">
        <v>8.9099999999999999E-2</v>
      </c>
      <c r="AE221" s="319">
        <v>5.9799999999999999E-2</v>
      </c>
      <c r="AF221" s="319">
        <v>0.12520000000000001</v>
      </c>
      <c r="AG221" s="319">
        <v>2.47E-2</v>
      </c>
      <c r="AH221" s="319">
        <v>0</v>
      </c>
      <c r="AI221" s="319">
        <v>1.0643</v>
      </c>
      <c r="AJ221" s="319">
        <v>1.4269000000000001</v>
      </c>
      <c r="AK221" s="319">
        <v>8.5999999999999993E-2</v>
      </c>
      <c r="AL221" s="319">
        <v>0.30680000000000002</v>
      </c>
      <c r="AM221" s="319">
        <v>1.03E-2</v>
      </c>
      <c r="AN221" s="319">
        <v>1.6999999999999999E-3</v>
      </c>
      <c r="AO221" s="319">
        <v>0.1424</v>
      </c>
      <c r="AP221" s="319">
        <v>0.6</v>
      </c>
      <c r="AQ221" s="319">
        <v>0</v>
      </c>
      <c r="AR221" s="319">
        <v>0.39250000000000002</v>
      </c>
      <c r="AS221" s="319">
        <v>0.49619999999999997</v>
      </c>
      <c r="AT221" s="331">
        <v>0.2455</v>
      </c>
      <c r="AU221" s="336">
        <v>8.2429000000000023</v>
      </c>
      <c r="AV221" s="329">
        <v>10.421000000000001</v>
      </c>
      <c r="AW221" s="337">
        <v>5.1555000000000017</v>
      </c>
      <c r="AX221" s="334"/>
      <c r="AY221" s="323">
        <v>6.4909000000000017</v>
      </c>
      <c r="AZ221" s="323">
        <v>8.8409000000000013</v>
      </c>
      <c r="BA221" s="323">
        <v>4.2974000000000014</v>
      </c>
      <c r="BB221" s="319"/>
      <c r="BC221" s="321">
        <f t="shared" si="18"/>
        <v>1.2699163444206505</v>
      </c>
      <c r="BD221" s="321">
        <f t="shared" si="19"/>
        <v>1.1787261477903832</v>
      </c>
      <c r="BE221" s="321">
        <f t="shared" si="20"/>
        <v>1.1996788755991996</v>
      </c>
      <c r="BG221" s="22">
        <f t="shared" si="21"/>
        <v>1.7208456881689926E-15</v>
      </c>
      <c r="BH221" s="22">
        <f t="shared" si="22"/>
        <v>-2.3592239273284576E-15</v>
      </c>
      <c r="BI221" s="22">
        <f t="shared" si="23"/>
        <v>5.2735593669694936E-16</v>
      </c>
    </row>
    <row r="222" spans="2:61" x14ac:dyDescent="0.25">
      <c r="B222" s="312">
        <v>207</v>
      </c>
      <c r="C222" s="312" t="s">
        <v>880</v>
      </c>
      <c r="D222" s="312" t="s">
        <v>391</v>
      </c>
      <c r="E222" s="312">
        <v>9</v>
      </c>
      <c r="F222" s="312">
        <v>4</v>
      </c>
      <c r="G222" s="313" t="s">
        <v>232</v>
      </c>
      <c r="H222" s="313"/>
      <c r="I222" s="346">
        <v>7403.02</v>
      </c>
      <c r="J222" s="317">
        <v>885.63000000000011</v>
      </c>
      <c r="K222" s="317">
        <v>6517.39</v>
      </c>
      <c r="L222" s="317">
        <v>0</v>
      </c>
      <c r="M222" s="317"/>
      <c r="N222" s="319">
        <v>0.13730000000000001</v>
      </c>
      <c r="O222" s="319">
        <v>6.9500000000000006E-2</v>
      </c>
      <c r="P222" s="319">
        <v>0.2601</v>
      </c>
      <c r="Q222" s="319">
        <v>6.9000000000000006E-2</v>
      </c>
      <c r="R222" s="319">
        <v>2.3800000000000002E-2</v>
      </c>
      <c r="S222" s="319">
        <v>0.23719999999999999</v>
      </c>
      <c r="T222" s="319">
        <v>0</v>
      </c>
      <c r="U222" s="319">
        <v>0.63149999999999995</v>
      </c>
      <c r="V222" s="319">
        <v>2.1034000000000002</v>
      </c>
      <c r="W222" s="319">
        <v>0</v>
      </c>
      <c r="X222" s="319">
        <v>0.14099999999999999</v>
      </c>
      <c r="Y222" s="319">
        <v>0</v>
      </c>
      <c r="Z222" s="319">
        <v>2.1898</v>
      </c>
      <c r="AA222" s="319">
        <v>0.18099999999999999</v>
      </c>
      <c r="AB222" s="319">
        <v>0.25080000000000002</v>
      </c>
      <c r="AC222" s="319">
        <v>0.1234</v>
      </c>
      <c r="AD222" s="319">
        <v>9.69E-2</v>
      </c>
      <c r="AE222" s="319">
        <v>4.6199999999999998E-2</v>
      </c>
      <c r="AF222" s="319">
        <v>6.13E-2</v>
      </c>
      <c r="AG222" s="319">
        <v>2.3099999999999999E-2</v>
      </c>
      <c r="AH222" s="319">
        <v>0</v>
      </c>
      <c r="AI222" s="319">
        <v>1.6015999999999999</v>
      </c>
      <c r="AJ222" s="319">
        <v>1.5770999999999999</v>
      </c>
      <c r="AK222" s="319">
        <v>0.14779999999999999</v>
      </c>
      <c r="AL222" s="319">
        <v>0.42</v>
      </c>
      <c r="AM222" s="319">
        <v>5.5599999999999997E-2</v>
      </c>
      <c r="AN222" s="319">
        <v>8.9999999999999993E-3</v>
      </c>
      <c r="AO222" s="319">
        <v>0.22370000000000001</v>
      </c>
      <c r="AP222" s="319">
        <v>0.63529999999999998</v>
      </c>
      <c r="AQ222" s="319">
        <v>0</v>
      </c>
      <c r="AR222" s="319">
        <v>0.42880000000000001</v>
      </c>
      <c r="AS222" s="319">
        <v>0.56579999999999997</v>
      </c>
      <c r="AT222" s="331">
        <v>0.23769999999999999</v>
      </c>
      <c r="AU222" s="336">
        <v>9.0054999999999996</v>
      </c>
      <c r="AV222" s="329">
        <v>11.8812</v>
      </c>
      <c r="AW222" s="337">
        <v>4.9919999999999991</v>
      </c>
      <c r="AX222" s="334"/>
      <c r="AY222" s="323">
        <v>7.0913000000000004</v>
      </c>
      <c r="AZ222" s="323">
        <v>10.305600000000002</v>
      </c>
      <c r="BA222" s="323">
        <v>4.3620000000000001</v>
      </c>
      <c r="BB222" s="319"/>
      <c r="BC222" s="321">
        <f t="shared" si="18"/>
        <v>1.2699364009419993</v>
      </c>
      <c r="BD222" s="321">
        <f t="shared" si="19"/>
        <v>1.1528877503493244</v>
      </c>
      <c r="BE222" s="321">
        <f t="shared" si="20"/>
        <v>1.1444291609353505</v>
      </c>
      <c r="BG222" s="22">
        <f t="shared" si="21"/>
        <v>7.2164496600635175E-16</v>
      </c>
      <c r="BH222" s="22">
        <f t="shared" si="22"/>
        <v>-1.4155343563970746E-15</v>
      </c>
      <c r="BI222" s="22">
        <f t="shared" si="23"/>
        <v>-1.8596235662471372E-15</v>
      </c>
    </row>
    <row r="223" spans="2:61" x14ac:dyDescent="0.25">
      <c r="B223" s="312">
        <v>213</v>
      </c>
      <c r="C223" s="312" t="s">
        <v>892</v>
      </c>
      <c r="D223" s="312" t="s">
        <v>391</v>
      </c>
      <c r="E223" s="312">
        <v>9</v>
      </c>
      <c r="F223" s="312">
        <v>1</v>
      </c>
      <c r="G223" s="313" t="s">
        <v>233</v>
      </c>
      <c r="H223" s="313"/>
      <c r="I223" s="346">
        <v>3415.63</v>
      </c>
      <c r="J223" s="317">
        <v>433.69000000000005</v>
      </c>
      <c r="K223" s="317">
        <v>2981.94</v>
      </c>
      <c r="L223" s="317">
        <v>0</v>
      </c>
      <c r="M223" s="317"/>
      <c r="N223" s="319">
        <v>0.19189999999999999</v>
      </c>
      <c r="O223" s="319">
        <v>7.3499999999999996E-2</v>
      </c>
      <c r="P223" s="319">
        <v>0.26090000000000002</v>
      </c>
      <c r="Q223" s="319">
        <v>6.4699999999999994E-2</v>
      </c>
      <c r="R223" s="319">
        <v>3.2199999999999999E-2</v>
      </c>
      <c r="S223" s="319">
        <v>0.1384</v>
      </c>
      <c r="T223" s="319">
        <v>0</v>
      </c>
      <c r="U223" s="319">
        <v>0.63149999999999995</v>
      </c>
      <c r="V223" s="319">
        <v>1.1493</v>
      </c>
      <c r="W223" s="319">
        <v>0</v>
      </c>
      <c r="X223" s="319">
        <v>0.1019</v>
      </c>
      <c r="Y223" s="319">
        <v>0</v>
      </c>
      <c r="Z223" s="319">
        <v>1.3118000000000001</v>
      </c>
      <c r="AA223" s="319">
        <v>0.2631</v>
      </c>
      <c r="AB223" s="319">
        <v>0.26300000000000001</v>
      </c>
      <c r="AC223" s="319">
        <v>0.12039999999999999</v>
      </c>
      <c r="AD223" s="319">
        <v>0.1124</v>
      </c>
      <c r="AE223" s="319">
        <v>6.2600000000000003E-2</v>
      </c>
      <c r="AF223" s="319">
        <v>3.9199999999999999E-2</v>
      </c>
      <c r="AG223" s="319">
        <v>2.41E-2</v>
      </c>
      <c r="AH223" s="319">
        <v>0</v>
      </c>
      <c r="AI223" s="319">
        <v>2.1362000000000001</v>
      </c>
      <c r="AJ223" s="319">
        <v>1.4784999999999999</v>
      </c>
      <c r="AK223" s="319">
        <v>0.109</v>
      </c>
      <c r="AL223" s="319">
        <v>0.46160000000000001</v>
      </c>
      <c r="AM223" s="319">
        <v>4.7399999999999998E-2</v>
      </c>
      <c r="AN223" s="319">
        <v>7.7000000000000002E-3</v>
      </c>
      <c r="AO223" s="319">
        <v>0.35460000000000003</v>
      </c>
      <c r="AP223" s="319">
        <v>0.19089999999999999</v>
      </c>
      <c r="AQ223" s="319">
        <v>0</v>
      </c>
      <c r="AR223" s="319">
        <v>0.4143</v>
      </c>
      <c r="AS223" s="319">
        <v>0.48130000000000001</v>
      </c>
      <c r="AT223" s="331">
        <v>0.1928</v>
      </c>
      <c r="AU223" s="336">
        <v>8.7009000000000007</v>
      </c>
      <c r="AV223" s="329">
        <v>10.108099999999999</v>
      </c>
      <c r="AW223" s="337">
        <v>4.0485000000000007</v>
      </c>
      <c r="AX223" s="334"/>
      <c r="AY223" s="323">
        <v>6.8514000000000008</v>
      </c>
      <c r="AZ223" s="323">
        <v>8.654300000000001</v>
      </c>
      <c r="BA223" s="323">
        <v>3.7109000000000005</v>
      </c>
      <c r="BB223" s="319"/>
      <c r="BC223" s="321">
        <f t="shared" si="18"/>
        <v>1.2699448287941151</v>
      </c>
      <c r="BD223" s="321">
        <f t="shared" si="19"/>
        <v>1.1679858567417349</v>
      </c>
      <c r="BE223" s="321">
        <f t="shared" si="20"/>
        <v>1.0909752351181654</v>
      </c>
      <c r="BG223" s="22">
        <f t="shared" si="21"/>
        <v>3.1086244689504383E-15</v>
      </c>
      <c r="BH223" s="22">
        <f t="shared" si="22"/>
        <v>-5.8286708792820718E-16</v>
      </c>
      <c r="BI223" s="22">
        <f t="shared" si="23"/>
        <v>3.0531133177191805E-16</v>
      </c>
    </row>
    <row r="224" spans="2:61" x14ac:dyDescent="0.25">
      <c r="B224" s="312">
        <v>218</v>
      </c>
      <c r="C224" s="312" t="s">
        <v>902</v>
      </c>
      <c r="D224" s="312" t="s">
        <v>391</v>
      </c>
      <c r="E224" s="312">
        <v>9</v>
      </c>
      <c r="F224" s="312">
        <v>1</v>
      </c>
      <c r="G224" s="313" t="s">
        <v>234</v>
      </c>
      <c r="H224" s="313"/>
      <c r="I224" s="346">
        <v>4346.4799999999996</v>
      </c>
      <c r="J224" s="317">
        <v>464.19999999999936</v>
      </c>
      <c r="K224" s="317">
        <v>3882.28</v>
      </c>
      <c r="L224" s="317">
        <v>0</v>
      </c>
      <c r="M224" s="317"/>
      <c r="N224" s="319">
        <v>0.1762</v>
      </c>
      <c r="O224" s="319">
        <v>5.28E-2</v>
      </c>
      <c r="P224" s="319">
        <v>0.28789999999999999</v>
      </c>
      <c r="Q224" s="319">
        <v>5.9700000000000003E-2</v>
      </c>
      <c r="R224" s="319">
        <v>1.3299999999999999E-2</v>
      </c>
      <c r="S224" s="319">
        <v>0.22070000000000001</v>
      </c>
      <c r="T224" s="319">
        <v>0</v>
      </c>
      <c r="U224" s="319">
        <v>0.63149999999999995</v>
      </c>
      <c r="V224" s="319">
        <v>0.88280000000000003</v>
      </c>
      <c r="W224" s="319">
        <v>0</v>
      </c>
      <c r="X224" s="319">
        <v>0.31109999999999999</v>
      </c>
      <c r="Y224" s="319">
        <v>0</v>
      </c>
      <c r="Z224" s="319">
        <v>1.8023</v>
      </c>
      <c r="AA224" s="319">
        <v>0.24030000000000001</v>
      </c>
      <c r="AB224" s="319">
        <v>0.18909999999999999</v>
      </c>
      <c r="AC224" s="319">
        <v>0.10299999999999999</v>
      </c>
      <c r="AD224" s="319">
        <v>4.2099999999999999E-2</v>
      </c>
      <c r="AE224" s="319">
        <v>2.5899999999999999E-2</v>
      </c>
      <c r="AF224" s="319">
        <v>7.0099999999999996E-2</v>
      </c>
      <c r="AG224" s="319">
        <v>2.6499999999999999E-2</v>
      </c>
      <c r="AH224" s="319">
        <v>0</v>
      </c>
      <c r="AI224" s="319">
        <v>1.5528999999999999</v>
      </c>
      <c r="AJ224" s="319">
        <v>2.4500000000000002</v>
      </c>
      <c r="AK224" s="319">
        <v>9.8199999999999996E-2</v>
      </c>
      <c r="AL224" s="319">
        <v>0.46139999999999998</v>
      </c>
      <c r="AM224" s="319">
        <v>4.1599999999999998E-2</v>
      </c>
      <c r="AN224" s="319">
        <v>6.7999999999999996E-3</v>
      </c>
      <c r="AO224" s="319">
        <v>0.26200000000000001</v>
      </c>
      <c r="AP224" s="319">
        <v>0.31330000000000002</v>
      </c>
      <c r="AQ224" s="319">
        <v>0</v>
      </c>
      <c r="AR224" s="319">
        <v>0.45629999999999998</v>
      </c>
      <c r="AS224" s="319">
        <v>0.5161</v>
      </c>
      <c r="AT224" s="331">
        <v>0.22</v>
      </c>
      <c r="AU224" s="336">
        <v>9.5817000000000014</v>
      </c>
      <c r="AV224" s="329">
        <v>10.8376</v>
      </c>
      <c r="AW224" s="337">
        <v>4.6191000000000004</v>
      </c>
      <c r="AX224" s="334"/>
      <c r="AY224" s="323">
        <v>7.546000000000002</v>
      </c>
      <c r="AZ224" s="323">
        <v>9.1434000000000015</v>
      </c>
      <c r="BA224" s="323">
        <v>4.0602000000000018</v>
      </c>
      <c r="BB224" s="319"/>
      <c r="BC224" s="321">
        <f t="shared" si="18"/>
        <v>1.2697720646700237</v>
      </c>
      <c r="BD224" s="321">
        <f t="shared" si="19"/>
        <v>1.1852921232801801</v>
      </c>
      <c r="BE224" s="321">
        <f t="shared" si="20"/>
        <v>1.1376533175705625</v>
      </c>
      <c r="BG224" s="22">
        <f t="shared" si="21"/>
        <v>1.4988010832439613E-15</v>
      </c>
      <c r="BH224" s="22">
        <f t="shared" si="22"/>
        <v>-8.6042284408449632E-16</v>
      </c>
      <c r="BI224" s="22">
        <f t="shared" si="23"/>
        <v>4.7184478546569153E-16</v>
      </c>
    </row>
    <row r="225" spans="2:61" x14ac:dyDescent="0.25">
      <c r="B225" s="312">
        <v>221</v>
      </c>
      <c r="C225" s="312" t="s">
        <v>908</v>
      </c>
      <c r="D225" s="312" t="s">
        <v>391</v>
      </c>
      <c r="E225" s="312">
        <v>9</v>
      </c>
      <c r="F225" s="312">
        <v>1</v>
      </c>
      <c r="G225" s="313" t="s">
        <v>236</v>
      </c>
      <c r="H225" s="313"/>
      <c r="I225" s="346">
        <v>1887.79</v>
      </c>
      <c r="J225" s="317">
        <v>196.8599999999999</v>
      </c>
      <c r="K225" s="317">
        <v>1690.93</v>
      </c>
      <c r="L225" s="317">
        <v>0</v>
      </c>
      <c r="M225" s="317"/>
      <c r="N225" s="319">
        <v>0.1867</v>
      </c>
      <c r="O225" s="319">
        <v>8.7900000000000006E-2</v>
      </c>
      <c r="P225" s="319">
        <v>0.30430000000000001</v>
      </c>
      <c r="Q225" s="319">
        <v>7.4099999999999999E-2</v>
      </c>
      <c r="R225" s="319">
        <v>2.4899999999999999E-2</v>
      </c>
      <c r="S225" s="319">
        <v>0.20430000000000001</v>
      </c>
      <c r="T225" s="319">
        <v>0</v>
      </c>
      <c r="U225" s="319">
        <v>0.63149999999999995</v>
      </c>
      <c r="V225" s="319">
        <v>2.0266999999999999</v>
      </c>
      <c r="W225" s="319">
        <v>0</v>
      </c>
      <c r="X225" s="319">
        <v>0.15079999999999999</v>
      </c>
      <c r="Y225" s="319">
        <v>0</v>
      </c>
      <c r="Z225" s="319">
        <v>2.1667000000000001</v>
      </c>
      <c r="AA225" s="319">
        <v>0.245</v>
      </c>
      <c r="AB225" s="319">
        <v>0.31569999999999998</v>
      </c>
      <c r="AC225" s="319">
        <v>9.9699999999999997E-2</v>
      </c>
      <c r="AD225" s="319">
        <v>0.1051</v>
      </c>
      <c r="AE225" s="319">
        <v>4.8399999999999999E-2</v>
      </c>
      <c r="AF225" s="319">
        <v>3.9100000000000003E-2</v>
      </c>
      <c r="AG225" s="319">
        <v>3.1E-2</v>
      </c>
      <c r="AH225" s="319">
        <v>0</v>
      </c>
      <c r="AI225" s="319">
        <v>2.0083000000000002</v>
      </c>
      <c r="AJ225" s="319">
        <v>1.5817000000000001</v>
      </c>
      <c r="AK225" s="319">
        <v>7.2099999999999997E-2</v>
      </c>
      <c r="AL225" s="319">
        <v>0.4032</v>
      </c>
      <c r="AM225" s="319">
        <v>3.4599999999999999E-2</v>
      </c>
      <c r="AN225" s="319">
        <v>5.5999999999999999E-3</v>
      </c>
      <c r="AO225" s="319">
        <v>0.32900000000000001</v>
      </c>
      <c r="AP225" s="319">
        <v>0.43159999999999998</v>
      </c>
      <c r="AQ225" s="319">
        <v>0</v>
      </c>
      <c r="AR225" s="319">
        <v>0.45750000000000002</v>
      </c>
      <c r="AS225" s="319">
        <v>0.58040000000000003</v>
      </c>
      <c r="AT225" s="331">
        <v>0.2414</v>
      </c>
      <c r="AU225" s="336">
        <v>9.6072000000000006</v>
      </c>
      <c r="AV225" s="329">
        <v>12.188400000000001</v>
      </c>
      <c r="AW225" s="337">
        <v>5.0689000000000002</v>
      </c>
      <c r="AX225" s="334"/>
      <c r="AY225" s="323">
        <v>7.5650999999999993</v>
      </c>
      <c r="AZ225" s="323">
        <v>10.5665</v>
      </c>
      <c r="BA225" s="323">
        <v>4.4585999999999997</v>
      </c>
      <c r="BB225" s="319"/>
      <c r="BC225" s="321">
        <f t="shared" si="18"/>
        <v>1.2699369472974582</v>
      </c>
      <c r="BD225" s="321">
        <f t="shared" si="19"/>
        <v>1.1534945346141108</v>
      </c>
      <c r="BE225" s="321">
        <f t="shared" si="20"/>
        <v>1.1368815323195622</v>
      </c>
      <c r="BG225" s="22">
        <f t="shared" si="21"/>
        <v>8.3266726846886741E-16</v>
      </c>
      <c r="BH225" s="22">
        <f t="shared" si="22"/>
        <v>8.3266726846886741E-16</v>
      </c>
      <c r="BI225" s="22">
        <f t="shared" si="23"/>
        <v>-2.7755575615628914E-16</v>
      </c>
    </row>
    <row r="226" spans="2:61" x14ac:dyDescent="0.25">
      <c r="B226" s="312">
        <v>222</v>
      </c>
      <c r="C226" s="312" t="s">
        <v>910</v>
      </c>
      <c r="D226" s="312" t="s">
        <v>391</v>
      </c>
      <c r="E226" s="312">
        <v>9</v>
      </c>
      <c r="F226" s="312">
        <v>2</v>
      </c>
      <c r="G226" s="313" t="s">
        <v>237</v>
      </c>
      <c r="H226" s="313"/>
      <c r="I226" s="346">
        <v>3778.85</v>
      </c>
      <c r="J226" s="317">
        <v>396.65999999999985</v>
      </c>
      <c r="K226" s="317">
        <v>3382.19</v>
      </c>
      <c r="L226" s="317">
        <v>0</v>
      </c>
      <c r="M226" s="317"/>
      <c r="N226" s="319">
        <v>0.1648</v>
      </c>
      <c r="O226" s="319">
        <v>8.0299999999999996E-2</v>
      </c>
      <c r="P226" s="319">
        <v>0.30159999999999998</v>
      </c>
      <c r="Q226" s="319">
        <v>6.0999999999999999E-2</v>
      </c>
      <c r="R226" s="319">
        <v>2.3300000000000001E-2</v>
      </c>
      <c r="S226" s="319">
        <v>0.2074</v>
      </c>
      <c r="T226" s="319">
        <v>0</v>
      </c>
      <c r="U226" s="319">
        <v>0.63149999999999995</v>
      </c>
      <c r="V226" s="319">
        <v>2.0265</v>
      </c>
      <c r="W226" s="319">
        <v>0</v>
      </c>
      <c r="X226" s="319">
        <v>0.1507</v>
      </c>
      <c r="Y226" s="319">
        <v>0</v>
      </c>
      <c r="Z226" s="319">
        <v>2.2948</v>
      </c>
      <c r="AA226" s="319">
        <v>0.2162</v>
      </c>
      <c r="AB226" s="319">
        <v>0.2888</v>
      </c>
      <c r="AC226" s="319">
        <v>0.1011</v>
      </c>
      <c r="AD226" s="319">
        <v>5.5300000000000002E-2</v>
      </c>
      <c r="AE226" s="319">
        <v>4.5199999999999997E-2</v>
      </c>
      <c r="AF226" s="319">
        <v>4.8500000000000001E-2</v>
      </c>
      <c r="AG226" s="319">
        <v>2.5600000000000001E-2</v>
      </c>
      <c r="AH226" s="319">
        <v>0</v>
      </c>
      <c r="AI226" s="319">
        <v>1.8001</v>
      </c>
      <c r="AJ226" s="319">
        <v>1.5701000000000001</v>
      </c>
      <c r="AK226" s="319">
        <v>7.8700000000000006E-2</v>
      </c>
      <c r="AL226" s="319">
        <v>0.3947</v>
      </c>
      <c r="AM226" s="319">
        <v>3.6499999999999998E-2</v>
      </c>
      <c r="AN226" s="319">
        <v>5.8999999999999999E-3</v>
      </c>
      <c r="AO226" s="319">
        <v>0.33279999999999998</v>
      </c>
      <c r="AP226" s="319">
        <v>0.45910000000000001</v>
      </c>
      <c r="AQ226" s="319">
        <v>0</v>
      </c>
      <c r="AR226" s="319">
        <v>0.44569999999999999</v>
      </c>
      <c r="AS226" s="319">
        <v>0.56999999999999995</v>
      </c>
      <c r="AT226" s="331">
        <v>0.2409</v>
      </c>
      <c r="AU226" s="336">
        <v>9.3606000000000016</v>
      </c>
      <c r="AV226" s="329">
        <v>11.970500000000001</v>
      </c>
      <c r="AW226" s="337">
        <v>5.0580999999999996</v>
      </c>
      <c r="AX226" s="334"/>
      <c r="AY226" s="323">
        <v>7.3709999999999996</v>
      </c>
      <c r="AZ226" s="323">
        <v>10.409599999999998</v>
      </c>
      <c r="BA226" s="323">
        <v>4.3491999999999997</v>
      </c>
      <c r="BB226" s="319"/>
      <c r="BC226" s="321">
        <f t="shared" si="18"/>
        <v>1.2699226699226702</v>
      </c>
      <c r="BD226" s="321">
        <f t="shared" si="19"/>
        <v>1.14994812480787</v>
      </c>
      <c r="BE226" s="321">
        <f t="shared" si="20"/>
        <v>1.162995493424078</v>
      </c>
      <c r="BG226" s="22">
        <f t="shared" si="21"/>
        <v>1.9984014443252818E-15</v>
      </c>
      <c r="BH226" s="22">
        <f t="shared" si="22"/>
        <v>4.4408920985006262E-16</v>
      </c>
      <c r="BI226" s="22">
        <f t="shared" si="23"/>
        <v>-4.4408920985006262E-16</v>
      </c>
    </row>
    <row r="227" spans="2:61" x14ac:dyDescent="0.25">
      <c r="B227" s="312">
        <v>224</v>
      </c>
      <c r="C227" s="312" t="s">
        <v>914</v>
      </c>
      <c r="D227" s="312" t="s">
        <v>391</v>
      </c>
      <c r="E227" s="312">
        <v>9</v>
      </c>
      <c r="F227" s="312">
        <v>2</v>
      </c>
      <c r="G227" s="313" t="s">
        <v>238</v>
      </c>
      <c r="H227" s="313"/>
      <c r="I227" s="346">
        <v>3928.2</v>
      </c>
      <c r="J227" s="317">
        <v>354.19999999999982</v>
      </c>
      <c r="K227" s="317">
        <v>3574</v>
      </c>
      <c r="L227" s="317">
        <v>0</v>
      </c>
      <c r="M227" s="317"/>
      <c r="N227" s="319">
        <v>0.11509999999999999</v>
      </c>
      <c r="O227" s="319">
        <v>6.6500000000000004E-2</v>
      </c>
      <c r="P227" s="319">
        <v>0.27179999999999999</v>
      </c>
      <c r="Q227" s="319">
        <v>6.54E-2</v>
      </c>
      <c r="R227" s="319">
        <v>2.0299999999999999E-2</v>
      </c>
      <c r="S227" s="319">
        <v>0.252</v>
      </c>
      <c r="T227" s="319">
        <v>0</v>
      </c>
      <c r="U227" s="319">
        <v>0.63149999999999995</v>
      </c>
      <c r="V227" s="319">
        <v>1.9177999999999999</v>
      </c>
      <c r="W227" s="319">
        <v>0</v>
      </c>
      <c r="X227" s="319">
        <v>0.21340000000000001</v>
      </c>
      <c r="Y227" s="319">
        <v>0</v>
      </c>
      <c r="Z227" s="319">
        <v>1.8997999999999999</v>
      </c>
      <c r="AA227" s="319">
        <v>0.1426</v>
      </c>
      <c r="AB227" s="319">
        <v>0.2397</v>
      </c>
      <c r="AC227" s="319">
        <v>0.12859999999999999</v>
      </c>
      <c r="AD227" s="319">
        <v>0.1172</v>
      </c>
      <c r="AE227" s="319">
        <v>3.9600000000000003E-2</v>
      </c>
      <c r="AF227" s="319">
        <v>4.58E-2</v>
      </c>
      <c r="AG227" s="319">
        <v>2.64E-2</v>
      </c>
      <c r="AH227" s="319">
        <v>0</v>
      </c>
      <c r="AI227" s="319">
        <v>1.7152000000000001</v>
      </c>
      <c r="AJ227" s="319">
        <v>1.6772</v>
      </c>
      <c r="AK227" s="319">
        <v>8.6599999999999996E-2</v>
      </c>
      <c r="AL227" s="319">
        <v>0.32440000000000002</v>
      </c>
      <c r="AM227" s="319">
        <v>4.0899999999999999E-2</v>
      </c>
      <c r="AN227" s="319">
        <v>6.6E-3</v>
      </c>
      <c r="AO227" s="319">
        <v>0.69169999999999998</v>
      </c>
      <c r="AP227" s="319">
        <v>0.68059999999999998</v>
      </c>
      <c r="AQ227" s="319">
        <v>0</v>
      </c>
      <c r="AR227" s="319">
        <v>0.44090000000000001</v>
      </c>
      <c r="AS227" s="319">
        <v>0.57079999999999997</v>
      </c>
      <c r="AT227" s="331">
        <v>0.2205</v>
      </c>
      <c r="AU227" s="336">
        <v>9.2591999999999999</v>
      </c>
      <c r="AV227" s="329">
        <v>11.987500000000001</v>
      </c>
      <c r="AW227" s="337">
        <v>4.6303000000000001</v>
      </c>
      <c r="AX227" s="334"/>
      <c r="AY227" s="323">
        <v>7.3643999999999981</v>
      </c>
      <c r="AZ227" s="323">
        <v>10.361499999999998</v>
      </c>
      <c r="BA227" s="323">
        <v>3.9184999999999981</v>
      </c>
      <c r="BB227" s="319"/>
      <c r="BC227" s="321">
        <f t="shared" si="18"/>
        <v>1.2572918364021513</v>
      </c>
      <c r="BD227" s="321">
        <f t="shared" si="19"/>
        <v>1.1569270858466441</v>
      </c>
      <c r="BE227" s="321">
        <f t="shared" si="20"/>
        <v>1.1816511420186302</v>
      </c>
      <c r="BG227" s="22">
        <f t="shared" si="21"/>
        <v>-1.7208456881689926E-15</v>
      </c>
      <c r="BH227" s="22">
        <f t="shared" si="22"/>
        <v>-2.733924198139448E-15</v>
      </c>
      <c r="BI227" s="22">
        <f t="shared" si="23"/>
        <v>5.9674487573602164E-16</v>
      </c>
    </row>
    <row r="228" spans="2:61" x14ac:dyDescent="0.25">
      <c r="B228" s="312">
        <v>229</v>
      </c>
      <c r="C228" s="312" t="s">
        <v>409</v>
      </c>
      <c r="D228" s="312"/>
      <c r="E228" s="312">
        <v>9</v>
      </c>
      <c r="F228" s="312">
        <v>1</v>
      </c>
      <c r="G228" s="313" t="s">
        <v>924</v>
      </c>
      <c r="H228" s="313"/>
      <c r="I228" s="346">
        <v>5636.98</v>
      </c>
      <c r="J228" s="317">
        <v>0</v>
      </c>
      <c r="K228" s="317">
        <v>5636.98</v>
      </c>
      <c r="L228" s="317">
        <v>0</v>
      </c>
      <c r="M228" s="317"/>
      <c r="N228" s="319">
        <v>0.10199999999999999</v>
      </c>
      <c r="O228" s="319">
        <v>4.6399999999999997E-2</v>
      </c>
      <c r="P228" s="319">
        <v>0.32929999999999998</v>
      </c>
      <c r="Q228" s="319">
        <v>0</v>
      </c>
      <c r="R228" s="319">
        <v>2.5499999999999998E-2</v>
      </c>
      <c r="S228" s="319">
        <v>0.2266</v>
      </c>
      <c r="T228" s="319">
        <v>0</v>
      </c>
      <c r="U228" s="319">
        <v>0.62080000000000002</v>
      </c>
      <c r="V228" s="319">
        <v>1.1785000000000001</v>
      </c>
      <c r="W228" s="319">
        <v>9.5600000000000004E-2</v>
      </c>
      <c r="X228" s="319">
        <v>0.15570000000000001</v>
      </c>
      <c r="Y228" s="319">
        <v>0</v>
      </c>
      <c r="Z228" s="319">
        <v>2.2242000000000002</v>
      </c>
      <c r="AA228" s="319">
        <v>0.14660000000000001</v>
      </c>
      <c r="AB228" s="319">
        <v>0.16719999999999999</v>
      </c>
      <c r="AC228" s="319">
        <v>0.1452</v>
      </c>
      <c r="AD228" s="319">
        <v>0</v>
      </c>
      <c r="AE228" s="319">
        <v>4.9599999999999998E-2</v>
      </c>
      <c r="AF228" s="319">
        <v>4.87E-2</v>
      </c>
      <c r="AG228" s="319">
        <v>0</v>
      </c>
      <c r="AH228" s="319">
        <v>0</v>
      </c>
      <c r="AI228" s="319">
        <v>1.0446</v>
      </c>
      <c r="AJ228" s="319">
        <v>3.9712999999999998</v>
      </c>
      <c r="AK228" s="319">
        <v>0.1053</v>
      </c>
      <c r="AL228" s="319">
        <v>0.84619999999999995</v>
      </c>
      <c r="AM228" s="319">
        <v>4.0300000000000002E-2</v>
      </c>
      <c r="AN228" s="319">
        <v>6.4999999999999997E-3</v>
      </c>
      <c r="AO228" s="319">
        <v>0.20019999999999999</v>
      </c>
      <c r="AP228" s="319">
        <v>0.33050000000000002</v>
      </c>
      <c r="AQ228" s="319">
        <v>0</v>
      </c>
      <c r="AR228" s="319">
        <v>0.52510000000000001</v>
      </c>
      <c r="AS228" s="319">
        <v>0.60529999999999995</v>
      </c>
      <c r="AT228" s="331">
        <v>0.222</v>
      </c>
      <c r="AU228" s="336">
        <v>11.0273</v>
      </c>
      <c r="AV228" s="329">
        <v>12.7121</v>
      </c>
      <c r="AW228" s="337">
        <v>4.661900000000001</v>
      </c>
      <c r="AX228" s="334"/>
      <c r="AY228" s="323">
        <v>8.6836000000000002</v>
      </c>
      <c r="AZ228" s="323">
        <v>11.104200000000001</v>
      </c>
      <c r="BA228" s="323">
        <v>4.4830000000000005</v>
      </c>
      <c r="BB228" s="319"/>
      <c r="BC228" s="321">
        <f t="shared" si="18"/>
        <v>1.2698995808190152</v>
      </c>
      <c r="BD228" s="321">
        <f t="shared" si="19"/>
        <v>1.1448010662632155</v>
      </c>
      <c r="BE228" s="321">
        <f t="shared" si="20"/>
        <v>1.0399063127370065</v>
      </c>
      <c r="BG228" s="22">
        <f t="shared" si="21"/>
        <v>0</v>
      </c>
      <c r="BH228" s="22">
        <f t="shared" si="22"/>
        <v>-2.2343238370581275E-15</v>
      </c>
      <c r="BI228" s="22">
        <f t="shared" si="23"/>
        <v>8.7430063189231078E-16</v>
      </c>
    </row>
    <row r="229" spans="2:61" x14ac:dyDescent="0.25">
      <c r="B229" s="312">
        <v>230</v>
      </c>
      <c r="C229" s="312" t="s">
        <v>926</v>
      </c>
      <c r="D229" s="312"/>
      <c r="E229" s="312">
        <v>9</v>
      </c>
      <c r="F229" s="312">
        <v>2</v>
      </c>
      <c r="G229" s="313" t="s">
        <v>239</v>
      </c>
      <c r="H229" s="313"/>
      <c r="I229" s="346">
        <v>4211.3</v>
      </c>
      <c r="J229" s="317">
        <v>452.40000000000009</v>
      </c>
      <c r="K229" s="317">
        <v>3758.9</v>
      </c>
      <c r="L229" s="317">
        <v>0</v>
      </c>
      <c r="M229" s="317"/>
      <c r="N229" s="319">
        <v>0.1653</v>
      </c>
      <c r="O229" s="319">
        <v>0.10929999999999999</v>
      </c>
      <c r="P229" s="319">
        <v>0.26690000000000003</v>
      </c>
      <c r="Q229" s="319">
        <v>0</v>
      </c>
      <c r="R229" s="319">
        <v>2.0899999999999998E-2</v>
      </c>
      <c r="S229" s="319">
        <v>0.21410000000000001</v>
      </c>
      <c r="T229" s="319">
        <v>0</v>
      </c>
      <c r="U229" s="319">
        <v>0.62080000000000002</v>
      </c>
      <c r="V229" s="319">
        <v>1.3095000000000001</v>
      </c>
      <c r="W229" s="319">
        <v>9.5600000000000004E-2</v>
      </c>
      <c r="X229" s="319">
        <v>0.13519999999999999</v>
      </c>
      <c r="Y229" s="319">
        <v>0</v>
      </c>
      <c r="Z229" s="319">
        <v>1.8042</v>
      </c>
      <c r="AA229" s="319">
        <v>0.21690000000000001</v>
      </c>
      <c r="AB229" s="319">
        <v>0.3911</v>
      </c>
      <c r="AC229" s="319">
        <v>0.1305</v>
      </c>
      <c r="AD229" s="319">
        <v>0</v>
      </c>
      <c r="AE229" s="319">
        <v>4.0599999999999997E-2</v>
      </c>
      <c r="AF229" s="319">
        <v>7.7799999999999994E-2</v>
      </c>
      <c r="AG229" s="319">
        <v>2.58E-2</v>
      </c>
      <c r="AH229" s="319">
        <v>0</v>
      </c>
      <c r="AI229" s="319">
        <v>2.5091999999999999</v>
      </c>
      <c r="AJ229" s="319">
        <v>1.2204999999999999</v>
      </c>
      <c r="AK229" s="319">
        <v>7.9200000000000007E-2</v>
      </c>
      <c r="AL229" s="319">
        <v>0.27700000000000002</v>
      </c>
      <c r="AM229" s="319">
        <v>3.8899999999999997E-2</v>
      </c>
      <c r="AN229" s="319">
        <v>6.3E-3</v>
      </c>
      <c r="AO229" s="319">
        <v>0.49159999999999998</v>
      </c>
      <c r="AP229" s="319">
        <v>0.55079999999999996</v>
      </c>
      <c r="AQ229" s="319">
        <v>0</v>
      </c>
      <c r="AR229" s="319">
        <v>0.44209999999999999</v>
      </c>
      <c r="AS229" s="319">
        <v>0.53990000000000005</v>
      </c>
      <c r="AT229" s="331">
        <v>0.2172</v>
      </c>
      <c r="AU229" s="336">
        <v>9.2841999999999985</v>
      </c>
      <c r="AV229" s="329">
        <v>11.337899999999998</v>
      </c>
      <c r="AW229" s="337">
        <v>4.5609999999999999</v>
      </c>
      <c r="AX229" s="334"/>
      <c r="AY229" s="323">
        <v>7.3266000000000009</v>
      </c>
      <c r="AZ229" s="323">
        <v>9.8381000000000007</v>
      </c>
      <c r="BA229" s="323">
        <v>4.0507000000000009</v>
      </c>
      <c r="BB229" s="319"/>
      <c r="BC229" s="321">
        <f t="shared" si="18"/>
        <v>1.2671907842655525</v>
      </c>
      <c r="BD229" s="321">
        <f t="shared" si="19"/>
        <v>1.1524481353106797</v>
      </c>
      <c r="BE229" s="321">
        <f t="shared" si="20"/>
        <v>1.1259782259856319</v>
      </c>
      <c r="BG229" s="22">
        <f t="shared" si="21"/>
        <v>0</v>
      </c>
      <c r="BH229" s="22">
        <f t="shared" si="22"/>
        <v>-7.2164496600635175E-16</v>
      </c>
      <c r="BI229" s="22">
        <f t="shared" si="23"/>
        <v>-1.3877787807814457E-15</v>
      </c>
    </row>
    <row r="230" spans="2:61" x14ac:dyDescent="0.25">
      <c r="B230" s="312">
        <v>5</v>
      </c>
      <c r="C230" s="312" t="s">
        <v>467</v>
      </c>
      <c r="D230" s="312" t="s">
        <v>946</v>
      </c>
      <c r="E230" s="312">
        <v>10</v>
      </c>
      <c r="F230" s="312">
        <v>1</v>
      </c>
      <c r="G230" s="313" t="s">
        <v>240</v>
      </c>
      <c r="H230" s="313"/>
      <c r="I230" s="346">
        <v>2441.3000000000002</v>
      </c>
      <c r="J230" s="317">
        <v>233.70000000000027</v>
      </c>
      <c r="K230" s="317">
        <v>2207.6</v>
      </c>
      <c r="L230" s="317">
        <v>0</v>
      </c>
      <c r="M230" s="317"/>
      <c r="N230" s="319">
        <v>0.1605</v>
      </c>
      <c r="O230" s="319">
        <v>0.10150000000000001</v>
      </c>
      <c r="P230" s="319">
        <v>0.31569999999999998</v>
      </c>
      <c r="Q230" s="319">
        <v>6.8099999999999994E-2</v>
      </c>
      <c r="R230" s="319">
        <v>1.9199999999999998E-2</v>
      </c>
      <c r="S230" s="319">
        <v>0.26319999999999999</v>
      </c>
      <c r="T230" s="319">
        <v>0</v>
      </c>
      <c r="U230" s="319">
        <v>0.63149999999999995</v>
      </c>
      <c r="V230" s="319">
        <v>1.1335</v>
      </c>
      <c r="W230" s="319">
        <v>8.14E-2</v>
      </c>
      <c r="X230" s="319">
        <v>0.12959999999999999</v>
      </c>
      <c r="Y230" s="319">
        <v>0</v>
      </c>
      <c r="Z230" s="319">
        <v>1.5746</v>
      </c>
      <c r="AA230" s="319">
        <v>0.21010000000000001</v>
      </c>
      <c r="AB230" s="319">
        <v>0.3543</v>
      </c>
      <c r="AC230" s="319">
        <v>0.1206</v>
      </c>
      <c r="AD230" s="319">
        <v>8.2199999999999995E-2</v>
      </c>
      <c r="AE230" s="319">
        <v>3.7400000000000003E-2</v>
      </c>
      <c r="AF230" s="319">
        <v>6.8699999999999997E-2</v>
      </c>
      <c r="AG230" s="319">
        <v>2.92E-2</v>
      </c>
      <c r="AH230" s="319">
        <v>0</v>
      </c>
      <c r="AI230" s="319">
        <v>3.2534999999999998</v>
      </c>
      <c r="AJ230" s="319">
        <v>1.2014</v>
      </c>
      <c r="AK230" s="319">
        <v>7.8899999999999998E-2</v>
      </c>
      <c r="AL230" s="319">
        <v>0.35210000000000002</v>
      </c>
      <c r="AM230" s="319">
        <v>3.7400000000000003E-2</v>
      </c>
      <c r="AN230" s="319">
        <v>6.1000000000000004E-3</v>
      </c>
      <c r="AO230" s="319">
        <v>0.36470000000000002</v>
      </c>
      <c r="AP230" s="319">
        <v>0.51580000000000004</v>
      </c>
      <c r="AQ230" s="319">
        <v>0</v>
      </c>
      <c r="AR230" s="319">
        <v>0.47299999999999998</v>
      </c>
      <c r="AS230" s="319">
        <v>0.55959999999999999</v>
      </c>
      <c r="AT230" s="331">
        <v>0.21440000000000001</v>
      </c>
      <c r="AU230" s="336">
        <v>9.9335000000000004</v>
      </c>
      <c r="AV230" s="329">
        <v>11.7508</v>
      </c>
      <c r="AW230" s="337">
        <v>4.5032000000000014</v>
      </c>
      <c r="AX230" s="334"/>
      <c r="AY230" s="323">
        <v>7.8219999999999983</v>
      </c>
      <c r="AZ230" s="323">
        <v>9.8863000000000003</v>
      </c>
      <c r="BA230" s="323">
        <v>4.0570999999999993</v>
      </c>
      <c r="BB230" s="319"/>
      <c r="BC230" s="321">
        <f t="shared" si="18"/>
        <v>1.2699437484019436</v>
      </c>
      <c r="BD230" s="321">
        <f t="shared" si="19"/>
        <v>1.1885943173887097</v>
      </c>
      <c r="BE230" s="321">
        <f t="shared" si="20"/>
        <v>1.1099553868526786</v>
      </c>
      <c r="BG230" s="22">
        <f t="shared" si="21"/>
        <v>2.886579864025407E-15</v>
      </c>
      <c r="BH230" s="22">
        <f t="shared" si="22"/>
        <v>5.5511151231257827E-16</v>
      </c>
      <c r="BI230" s="22">
        <f t="shared" si="23"/>
        <v>1.4432899320127035E-15</v>
      </c>
    </row>
    <row r="231" spans="2:61" x14ac:dyDescent="0.25">
      <c r="B231" s="312">
        <v>86</v>
      </c>
      <c r="C231" s="312" t="s">
        <v>631</v>
      </c>
      <c r="D231" s="312" t="s">
        <v>392</v>
      </c>
      <c r="E231" s="312">
        <v>10</v>
      </c>
      <c r="F231" s="312">
        <v>1</v>
      </c>
      <c r="G231" s="313" t="s">
        <v>242</v>
      </c>
      <c r="H231" s="313"/>
      <c r="I231" s="346">
        <v>2340.6999999999998</v>
      </c>
      <c r="J231" s="317">
        <v>232.29999999999973</v>
      </c>
      <c r="K231" s="317">
        <v>2108.4</v>
      </c>
      <c r="L231" s="317">
        <v>0</v>
      </c>
      <c r="M231" s="317"/>
      <c r="N231" s="319">
        <v>0.1431</v>
      </c>
      <c r="O231" s="319">
        <v>8.7999999999999995E-2</v>
      </c>
      <c r="P231" s="319">
        <v>0.30980000000000002</v>
      </c>
      <c r="Q231" s="319">
        <v>6.7199999999999996E-2</v>
      </c>
      <c r="R231" s="319">
        <v>1.7500000000000002E-2</v>
      </c>
      <c r="S231" s="319">
        <v>0.27410000000000001</v>
      </c>
      <c r="T231" s="319">
        <v>0</v>
      </c>
      <c r="U231" s="319">
        <v>0.63149999999999995</v>
      </c>
      <c r="V231" s="319">
        <v>0.79449999999999998</v>
      </c>
      <c r="W231" s="319">
        <v>0</v>
      </c>
      <c r="X231" s="319">
        <v>0.1351</v>
      </c>
      <c r="Y231" s="319">
        <v>0</v>
      </c>
      <c r="Z231" s="319">
        <v>1.6278999999999999</v>
      </c>
      <c r="AA231" s="319">
        <v>0.18970000000000001</v>
      </c>
      <c r="AB231" s="319">
        <v>0.3155</v>
      </c>
      <c r="AC231" s="319">
        <v>0.10730000000000001</v>
      </c>
      <c r="AD231" s="319">
        <v>8.48E-2</v>
      </c>
      <c r="AE231" s="319">
        <v>3.4000000000000002E-2</v>
      </c>
      <c r="AF231" s="319">
        <v>7.0999999999999994E-2</v>
      </c>
      <c r="AG231" s="319">
        <v>2.93E-2</v>
      </c>
      <c r="AH231" s="319">
        <v>0</v>
      </c>
      <c r="AI231" s="319">
        <v>2.9415</v>
      </c>
      <c r="AJ231" s="319">
        <v>1.4276</v>
      </c>
      <c r="AK231" s="319">
        <v>7.8799999999999995E-2</v>
      </c>
      <c r="AL231" s="319">
        <v>0.53080000000000005</v>
      </c>
      <c r="AM231" s="319">
        <v>3.7600000000000001E-2</v>
      </c>
      <c r="AN231" s="319">
        <v>6.1000000000000004E-3</v>
      </c>
      <c r="AO231" s="319">
        <v>0.34489999999999998</v>
      </c>
      <c r="AP231" s="319">
        <v>0.36820000000000003</v>
      </c>
      <c r="AQ231" s="319">
        <v>0</v>
      </c>
      <c r="AR231" s="319">
        <v>0.47470000000000001</v>
      </c>
      <c r="AS231" s="319">
        <v>0.53280000000000005</v>
      </c>
      <c r="AT231" s="331">
        <v>0.21240000000000001</v>
      </c>
      <c r="AU231" s="336">
        <v>9.9677999999999987</v>
      </c>
      <c r="AV231" s="329">
        <v>11.188599999999997</v>
      </c>
      <c r="AW231" s="337">
        <v>4.4607000000000001</v>
      </c>
      <c r="AX231" s="334"/>
      <c r="AY231" s="323">
        <v>7.8490000000000002</v>
      </c>
      <c r="AZ231" s="323">
        <v>9.3066999999999993</v>
      </c>
      <c r="BA231" s="323">
        <v>4.008</v>
      </c>
      <c r="BB231" s="319"/>
      <c r="BC231" s="321">
        <f t="shared" si="18"/>
        <v>1.2699452159510765</v>
      </c>
      <c r="BD231" s="321">
        <f t="shared" si="19"/>
        <v>1.2022091611419727</v>
      </c>
      <c r="BE231" s="321">
        <f t="shared" si="20"/>
        <v>1.1129491017964073</v>
      </c>
      <c r="BG231" s="22">
        <f t="shared" si="21"/>
        <v>-2.1094237467877974E-15</v>
      </c>
      <c r="BH231" s="22">
        <f t="shared" si="22"/>
        <v>3.6082248300317588E-16</v>
      </c>
      <c r="BI231" s="22">
        <f t="shared" si="23"/>
        <v>0</v>
      </c>
    </row>
    <row r="232" spans="2:61" x14ac:dyDescent="0.25">
      <c r="B232" s="312">
        <v>225</v>
      </c>
      <c r="C232" s="312" t="s">
        <v>916</v>
      </c>
      <c r="D232" s="312" t="s">
        <v>391</v>
      </c>
      <c r="E232" s="312">
        <v>10</v>
      </c>
      <c r="F232" s="312">
        <v>4</v>
      </c>
      <c r="G232" s="313" t="s">
        <v>243</v>
      </c>
      <c r="H232" s="313"/>
      <c r="I232" s="346">
        <v>9482.3700000000008</v>
      </c>
      <c r="J232" s="317">
        <v>356.90000000000146</v>
      </c>
      <c r="K232" s="317">
        <v>8757.07</v>
      </c>
      <c r="L232" s="317">
        <v>368.4</v>
      </c>
      <c r="M232" s="317"/>
      <c r="N232" s="319">
        <v>0.15740000000000001</v>
      </c>
      <c r="O232" s="319">
        <v>8.9499999999999996E-2</v>
      </c>
      <c r="P232" s="319">
        <v>0.30380000000000001</v>
      </c>
      <c r="Q232" s="319">
        <v>7.2800000000000004E-2</v>
      </c>
      <c r="R232" s="319">
        <v>1.9800000000000002E-2</v>
      </c>
      <c r="S232" s="319">
        <v>0.28749999999999998</v>
      </c>
      <c r="T232" s="319">
        <v>0</v>
      </c>
      <c r="U232" s="319">
        <v>0.63149999999999995</v>
      </c>
      <c r="V232" s="319">
        <v>1.5931999999999999</v>
      </c>
      <c r="W232" s="319">
        <v>0</v>
      </c>
      <c r="X232" s="319">
        <v>0.1293</v>
      </c>
      <c r="Y232" s="319">
        <v>0</v>
      </c>
      <c r="Z232" s="319">
        <v>2.1863000000000001</v>
      </c>
      <c r="AA232" s="319">
        <v>0.2034</v>
      </c>
      <c r="AB232" s="319">
        <v>0.31790000000000002</v>
      </c>
      <c r="AC232" s="319">
        <v>0.11700000000000001</v>
      </c>
      <c r="AD232" s="319">
        <v>7.7499999999999999E-2</v>
      </c>
      <c r="AE232" s="319">
        <v>3.85E-2</v>
      </c>
      <c r="AF232" s="319">
        <v>0.11360000000000001</v>
      </c>
      <c r="AG232" s="319">
        <v>2.8500000000000001E-2</v>
      </c>
      <c r="AH232" s="319">
        <v>0</v>
      </c>
      <c r="AI232" s="319">
        <v>0.93369999999999997</v>
      </c>
      <c r="AJ232" s="319">
        <v>1.3976</v>
      </c>
      <c r="AK232" s="319">
        <v>7.3999999999999996E-2</v>
      </c>
      <c r="AL232" s="319">
        <v>0.2278</v>
      </c>
      <c r="AM232" s="319">
        <v>3.04E-2</v>
      </c>
      <c r="AN232" s="319">
        <v>4.8999999999999998E-3</v>
      </c>
      <c r="AO232" s="319">
        <v>0.4032</v>
      </c>
      <c r="AP232" s="319">
        <v>0.20100000000000001</v>
      </c>
      <c r="AQ232" s="319">
        <v>0</v>
      </c>
      <c r="AR232" s="319">
        <v>0.39229999999999998</v>
      </c>
      <c r="AS232" s="319">
        <v>0.48199999999999998</v>
      </c>
      <c r="AT232" s="331">
        <v>0.2442</v>
      </c>
      <c r="AU232" s="336">
        <v>8.2382000000000009</v>
      </c>
      <c r="AV232" s="329">
        <v>10.1221</v>
      </c>
      <c r="AW232" s="337">
        <v>5.1278000000000006</v>
      </c>
      <c r="AX232" s="334"/>
      <c r="AY232" s="323">
        <v>6.5314999999999994</v>
      </c>
      <c r="AZ232" s="323">
        <v>8.6259999999999994</v>
      </c>
      <c r="BA232" s="323">
        <v>4.2145999999999999</v>
      </c>
      <c r="BB232" s="319"/>
      <c r="BC232" s="321">
        <f t="shared" si="18"/>
        <v>1.2613029166347702</v>
      </c>
      <c r="BD232" s="321">
        <f t="shared" si="19"/>
        <v>1.1734407604915373</v>
      </c>
      <c r="BE232" s="321">
        <f t="shared" si="20"/>
        <v>1.2166753665828314</v>
      </c>
      <c r="BG232" s="22">
        <f t="shared" si="21"/>
        <v>0</v>
      </c>
      <c r="BH232" s="22">
        <f t="shared" si="22"/>
        <v>4.9960036108132044E-16</v>
      </c>
      <c r="BI232" s="22">
        <f t="shared" si="23"/>
        <v>7.2164496600635175E-16</v>
      </c>
    </row>
    <row r="233" spans="2:61" x14ac:dyDescent="0.25">
      <c r="B233" s="312">
        <v>226</v>
      </c>
      <c r="C233" s="312" t="s">
        <v>918</v>
      </c>
      <c r="D233" s="312" t="s">
        <v>391</v>
      </c>
      <c r="E233" s="312">
        <v>10</v>
      </c>
      <c r="F233" s="312">
        <v>1</v>
      </c>
      <c r="G233" s="313" t="s">
        <v>244</v>
      </c>
      <c r="H233" s="313"/>
      <c r="I233" s="346">
        <v>2444.15</v>
      </c>
      <c r="J233" s="317">
        <v>234.05000000000018</v>
      </c>
      <c r="K233" s="317">
        <v>2210.1</v>
      </c>
      <c r="L233" s="317">
        <v>0</v>
      </c>
      <c r="M233" s="317"/>
      <c r="N233" s="319">
        <v>0.16039999999999999</v>
      </c>
      <c r="O233" s="319">
        <v>0.1014</v>
      </c>
      <c r="P233" s="319">
        <v>0.3004</v>
      </c>
      <c r="Q233" s="319">
        <v>6.8900000000000003E-2</v>
      </c>
      <c r="R233" s="319">
        <v>1.9199999999999998E-2</v>
      </c>
      <c r="S233" s="319">
        <v>0.26769999999999999</v>
      </c>
      <c r="T233" s="319">
        <v>0</v>
      </c>
      <c r="U233" s="319">
        <v>0.63149999999999995</v>
      </c>
      <c r="V233" s="319">
        <v>1.5782</v>
      </c>
      <c r="W233" s="319">
        <v>0</v>
      </c>
      <c r="X233" s="319">
        <v>0.12939999999999999</v>
      </c>
      <c r="Y233" s="319">
        <v>0</v>
      </c>
      <c r="Z233" s="319">
        <v>1.3479000000000001</v>
      </c>
      <c r="AA233" s="319">
        <v>0.20979999999999999</v>
      </c>
      <c r="AB233" s="319">
        <v>0.3538</v>
      </c>
      <c r="AC233" s="319">
        <v>0.1268</v>
      </c>
      <c r="AD233" s="319">
        <v>0.1067</v>
      </c>
      <c r="AE233" s="319">
        <v>3.7400000000000003E-2</v>
      </c>
      <c r="AF233" s="319">
        <v>6.8500000000000005E-2</v>
      </c>
      <c r="AG233" s="319">
        <v>2.92E-2</v>
      </c>
      <c r="AH233" s="319">
        <v>0</v>
      </c>
      <c r="AI233" s="319">
        <v>2.3569</v>
      </c>
      <c r="AJ233" s="319">
        <v>1.8788</v>
      </c>
      <c r="AK233" s="319">
        <v>7.6399999999999996E-2</v>
      </c>
      <c r="AL233" s="319">
        <v>0.34160000000000001</v>
      </c>
      <c r="AM233" s="319">
        <v>3.5299999999999998E-2</v>
      </c>
      <c r="AN233" s="319">
        <v>5.7000000000000002E-3</v>
      </c>
      <c r="AO233" s="319">
        <v>0.13980000000000001</v>
      </c>
      <c r="AP233" s="319">
        <v>0.51519999999999999</v>
      </c>
      <c r="AQ233" s="319">
        <v>0</v>
      </c>
      <c r="AR233" s="319">
        <v>0.43969999999999998</v>
      </c>
      <c r="AS233" s="319">
        <v>0.54430000000000001</v>
      </c>
      <c r="AT233" s="331">
        <v>0.20380000000000001</v>
      </c>
      <c r="AU233" s="336">
        <v>9.2331999999999965</v>
      </c>
      <c r="AV233" s="329">
        <v>11.431199999999997</v>
      </c>
      <c r="AW233" s="337">
        <v>4.280199999999998</v>
      </c>
      <c r="AX233" s="334"/>
      <c r="AY233" s="323">
        <v>7.2706999999999979</v>
      </c>
      <c r="AZ233" s="323">
        <v>9.7825999999999986</v>
      </c>
      <c r="BA233" s="323">
        <v>4.038899999999999</v>
      </c>
      <c r="BB233" s="319"/>
      <c r="BC233" s="321">
        <f t="shared" si="18"/>
        <v>1.2699189899184395</v>
      </c>
      <c r="BD233" s="321">
        <f t="shared" si="19"/>
        <v>1.1685237053544046</v>
      </c>
      <c r="BE233" s="321">
        <f t="shared" si="20"/>
        <v>1.0597439897001657</v>
      </c>
      <c r="BG233" s="22">
        <f t="shared" si="21"/>
        <v>-1.4432899320127035E-15</v>
      </c>
      <c r="BH233" s="22">
        <f t="shared" si="22"/>
        <v>3.8857805861880479E-16</v>
      </c>
      <c r="BI233" s="22">
        <f t="shared" si="23"/>
        <v>-2.4980018054066022E-15</v>
      </c>
    </row>
    <row r="234" spans="2:61" x14ac:dyDescent="0.25">
      <c r="B234" s="312">
        <v>227</v>
      </c>
      <c r="C234" s="312" t="s">
        <v>920</v>
      </c>
      <c r="D234" s="312" t="s">
        <v>391</v>
      </c>
      <c r="E234" s="312">
        <v>10</v>
      </c>
      <c r="F234" s="312">
        <v>2</v>
      </c>
      <c r="G234" s="313" t="s">
        <v>245</v>
      </c>
      <c r="H234" s="313"/>
      <c r="I234" s="346">
        <v>4682.6000000000004</v>
      </c>
      <c r="J234" s="317">
        <v>67</v>
      </c>
      <c r="K234" s="317">
        <v>4227</v>
      </c>
      <c r="L234" s="317">
        <v>388.6</v>
      </c>
      <c r="M234" s="317"/>
      <c r="N234" s="319">
        <v>0.1613</v>
      </c>
      <c r="O234" s="319">
        <v>0.10390000000000001</v>
      </c>
      <c r="P234" s="319">
        <v>0.28839999999999999</v>
      </c>
      <c r="Q234" s="319">
        <v>6.6500000000000004E-2</v>
      </c>
      <c r="R234" s="319">
        <v>2.01E-2</v>
      </c>
      <c r="S234" s="319">
        <v>0.23369999999999999</v>
      </c>
      <c r="T234" s="319">
        <v>0</v>
      </c>
      <c r="U234" s="319">
        <v>0.63149999999999995</v>
      </c>
      <c r="V234" s="319">
        <v>1.25</v>
      </c>
      <c r="W234" s="319">
        <v>0</v>
      </c>
      <c r="X234" s="319">
        <v>0.1351</v>
      </c>
      <c r="Y234" s="319">
        <v>0</v>
      </c>
      <c r="Z234" s="319">
        <v>1.7123999999999999</v>
      </c>
      <c r="AA234" s="319">
        <v>0.20899999999999999</v>
      </c>
      <c r="AB234" s="319">
        <v>0.3624</v>
      </c>
      <c r="AC234" s="319">
        <v>0.1273</v>
      </c>
      <c r="AD234" s="319">
        <v>8.7900000000000006E-2</v>
      </c>
      <c r="AE234" s="319">
        <v>3.9E-2</v>
      </c>
      <c r="AF234" s="319">
        <v>7.3999999999999996E-2</v>
      </c>
      <c r="AG234" s="319">
        <v>2.8799999999999999E-2</v>
      </c>
      <c r="AH234" s="319">
        <v>0</v>
      </c>
      <c r="AI234" s="319">
        <v>1.7695000000000001</v>
      </c>
      <c r="AJ234" s="319">
        <v>1.3569</v>
      </c>
      <c r="AK234" s="319">
        <v>6.6199999999999995E-2</v>
      </c>
      <c r="AL234" s="319">
        <v>0.25729999999999997</v>
      </c>
      <c r="AM234" s="319">
        <v>3.4200000000000001E-2</v>
      </c>
      <c r="AN234" s="319">
        <v>5.4999999999999997E-3</v>
      </c>
      <c r="AO234" s="319">
        <v>0.21210000000000001</v>
      </c>
      <c r="AP234" s="319">
        <v>0.53879999999999995</v>
      </c>
      <c r="AQ234" s="319">
        <v>0</v>
      </c>
      <c r="AR234" s="319">
        <v>0.3992</v>
      </c>
      <c r="AS234" s="319">
        <v>0.48859999999999998</v>
      </c>
      <c r="AT234" s="331">
        <v>0.21940000000000001</v>
      </c>
      <c r="AU234" s="336">
        <v>8.382200000000001</v>
      </c>
      <c r="AV234" s="329">
        <v>10.260400000000001</v>
      </c>
      <c r="AW234" s="337">
        <v>4.6066000000000011</v>
      </c>
      <c r="AX234" s="334"/>
      <c r="AY234" s="323">
        <v>6.6020000000000003</v>
      </c>
      <c r="AZ234" s="323">
        <v>8.6256000000000004</v>
      </c>
      <c r="BA234" s="323">
        <v>4.0285000000000011</v>
      </c>
      <c r="BB234" s="319"/>
      <c r="BC234" s="321">
        <f t="shared" si="18"/>
        <v>1.2696455619509242</v>
      </c>
      <c r="BD234" s="321">
        <f t="shared" si="19"/>
        <v>1.1895288443702468</v>
      </c>
      <c r="BE234" s="321">
        <f t="shared" si="20"/>
        <v>1.143502544371354</v>
      </c>
      <c r="BG234" s="22">
        <f t="shared" si="21"/>
        <v>0</v>
      </c>
      <c r="BH234" s="22">
        <f t="shared" si="22"/>
        <v>1.2212453270876722E-15</v>
      </c>
      <c r="BI234" s="22">
        <f t="shared" si="23"/>
        <v>5.5511151231257827E-16</v>
      </c>
    </row>
    <row r="235" spans="2:61" x14ac:dyDescent="0.25">
      <c r="B235" s="312">
        <v>34</v>
      </c>
      <c r="C235" s="312" t="s">
        <v>526</v>
      </c>
      <c r="D235" s="312" t="s">
        <v>390</v>
      </c>
      <c r="E235" s="312">
        <v>13</v>
      </c>
      <c r="F235" s="312">
        <v>1</v>
      </c>
      <c r="G235" s="313" t="s">
        <v>246</v>
      </c>
      <c r="H235" s="313"/>
      <c r="I235" s="346">
        <v>4159.2</v>
      </c>
      <c r="J235" s="317">
        <v>271.39999999999964</v>
      </c>
      <c r="K235" s="317">
        <v>3887.8</v>
      </c>
      <c r="L235" s="317">
        <v>0</v>
      </c>
      <c r="M235" s="317"/>
      <c r="N235" s="319">
        <v>0.1072</v>
      </c>
      <c r="O235" s="319">
        <v>7.2300000000000003E-2</v>
      </c>
      <c r="P235" s="319">
        <v>0.29320000000000002</v>
      </c>
      <c r="Q235" s="319">
        <v>6.9699999999999998E-2</v>
      </c>
      <c r="R235" s="319">
        <v>2.3099999999999999E-2</v>
      </c>
      <c r="S235" s="319">
        <v>0.21229999999999999</v>
      </c>
      <c r="T235" s="319">
        <v>0</v>
      </c>
      <c r="U235" s="319">
        <v>0.63149999999999995</v>
      </c>
      <c r="V235" s="319">
        <v>1.544</v>
      </c>
      <c r="W235" s="319">
        <v>0</v>
      </c>
      <c r="X235" s="319">
        <v>0.1464</v>
      </c>
      <c r="Y235" s="319">
        <v>0</v>
      </c>
      <c r="Z235" s="319">
        <v>1.5073000000000001</v>
      </c>
      <c r="AA235" s="319">
        <v>0.14729999999999999</v>
      </c>
      <c r="AB235" s="319">
        <v>0.25840000000000002</v>
      </c>
      <c r="AC235" s="319">
        <v>0.10829999999999999</v>
      </c>
      <c r="AD235" s="319">
        <v>0.1079</v>
      </c>
      <c r="AE235" s="319">
        <v>4.48E-2</v>
      </c>
      <c r="AF235" s="319">
        <v>7.17E-2</v>
      </c>
      <c r="AG235" s="319">
        <v>0</v>
      </c>
      <c r="AH235" s="319">
        <v>0</v>
      </c>
      <c r="AI235" s="319">
        <v>2.9984000000000002</v>
      </c>
      <c r="AJ235" s="319">
        <v>1.6402000000000001</v>
      </c>
      <c r="AK235" s="319">
        <v>6.3200000000000006E-2</v>
      </c>
      <c r="AL235" s="319">
        <v>0.42870000000000003</v>
      </c>
      <c r="AM235" s="319">
        <v>2.6800000000000001E-2</v>
      </c>
      <c r="AN235" s="319">
        <v>4.4000000000000003E-3</v>
      </c>
      <c r="AO235" s="319">
        <v>0.1406</v>
      </c>
      <c r="AP235" s="319">
        <v>0.78010000000000002</v>
      </c>
      <c r="AQ235" s="319">
        <v>0</v>
      </c>
      <c r="AR235" s="319">
        <v>0.45519999999999999</v>
      </c>
      <c r="AS235" s="319">
        <v>0.57140000000000002</v>
      </c>
      <c r="AT235" s="331">
        <v>0.1948</v>
      </c>
      <c r="AU235" s="336">
        <v>9.5588999999999977</v>
      </c>
      <c r="AV235" s="329">
        <v>11.999199999999998</v>
      </c>
      <c r="AW235" s="337">
        <v>4.0905999999999993</v>
      </c>
      <c r="AX235" s="334"/>
      <c r="AY235" s="323">
        <v>7.5271999999999997</v>
      </c>
      <c r="AZ235" s="323">
        <v>10.203900000000001</v>
      </c>
      <c r="BA235" s="323">
        <v>3.7757999999999998</v>
      </c>
      <c r="BB235" s="319"/>
      <c r="BC235" s="321">
        <f t="shared" si="18"/>
        <v>1.2699144436178125</v>
      </c>
      <c r="BD235" s="321">
        <f t="shared" si="19"/>
        <v>1.1759425317770653</v>
      </c>
      <c r="BE235" s="321">
        <f t="shared" si="20"/>
        <v>1.0833730600137719</v>
      </c>
      <c r="BG235" s="22">
        <f t="shared" si="21"/>
        <v>-4.4408920985006262E-15</v>
      </c>
      <c r="BH235" s="22">
        <f t="shared" si="22"/>
        <v>-2.1233015345956119E-15</v>
      </c>
      <c r="BI235" s="22">
        <f t="shared" si="23"/>
        <v>-3.4694469519536142E-16</v>
      </c>
    </row>
    <row r="236" spans="2:61" x14ac:dyDescent="0.25">
      <c r="B236" s="312">
        <v>47</v>
      </c>
      <c r="C236" s="312" t="s">
        <v>552</v>
      </c>
      <c r="D236" s="312" t="s">
        <v>390</v>
      </c>
      <c r="E236" s="312">
        <v>14</v>
      </c>
      <c r="F236" s="312">
        <v>1</v>
      </c>
      <c r="G236" s="313" t="s">
        <v>248</v>
      </c>
      <c r="H236" s="313"/>
      <c r="I236" s="346">
        <v>5370.5</v>
      </c>
      <c r="J236" s="317">
        <v>336</v>
      </c>
      <c r="K236" s="317">
        <v>5034.5</v>
      </c>
      <c r="L236" s="317">
        <v>0</v>
      </c>
      <c r="M236" s="317"/>
      <c r="N236" s="319">
        <v>0.125</v>
      </c>
      <c r="O236" s="319">
        <v>7.8399999999999997E-2</v>
      </c>
      <c r="P236" s="319">
        <v>0.28239999999999998</v>
      </c>
      <c r="Q236" s="319">
        <v>7.17E-2</v>
      </c>
      <c r="R236" s="319">
        <v>1.67E-2</v>
      </c>
      <c r="S236" s="319">
        <v>0.2414</v>
      </c>
      <c r="T236" s="319">
        <v>0</v>
      </c>
      <c r="U236" s="319">
        <v>0.63149999999999995</v>
      </c>
      <c r="V236" s="319">
        <v>1.0406</v>
      </c>
      <c r="W236" s="319">
        <v>7.1400000000000005E-2</v>
      </c>
      <c r="X236" s="319">
        <v>9.2799999999999994E-2</v>
      </c>
      <c r="Y236" s="319">
        <v>0</v>
      </c>
      <c r="Z236" s="319">
        <v>1.8024</v>
      </c>
      <c r="AA236" s="319">
        <v>0.16309999999999999</v>
      </c>
      <c r="AB236" s="319">
        <v>0.27529999999999999</v>
      </c>
      <c r="AC236" s="319">
        <v>0.12280000000000001</v>
      </c>
      <c r="AD236" s="319">
        <v>0.1195</v>
      </c>
      <c r="AE236" s="319">
        <v>3.2599999999999997E-2</v>
      </c>
      <c r="AF236" s="319">
        <v>0.11509999999999999</v>
      </c>
      <c r="AG236" s="319">
        <v>0</v>
      </c>
      <c r="AH236" s="319">
        <v>0</v>
      </c>
      <c r="AI236" s="319">
        <v>1.0214000000000001</v>
      </c>
      <c r="AJ236" s="319">
        <v>1.6304000000000001</v>
      </c>
      <c r="AK236" s="319">
        <v>5.8099999999999999E-2</v>
      </c>
      <c r="AL236" s="319">
        <v>0.34720000000000001</v>
      </c>
      <c r="AM236" s="319">
        <v>2.7E-2</v>
      </c>
      <c r="AN236" s="319">
        <v>4.4000000000000003E-3</v>
      </c>
      <c r="AO236" s="319">
        <v>0.37590000000000001</v>
      </c>
      <c r="AP236" s="319">
        <v>0.58599999999999997</v>
      </c>
      <c r="AQ236" s="319">
        <v>0</v>
      </c>
      <c r="AR236" s="319">
        <v>0.38179999999999997</v>
      </c>
      <c r="AS236" s="319">
        <v>0.4667</v>
      </c>
      <c r="AT236" s="331">
        <v>0.21299999999999999</v>
      </c>
      <c r="AU236" s="336">
        <v>8.0168999999999997</v>
      </c>
      <c r="AV236" s="329">
        <v>9.7997999999999994</v>
      </c>
      <c r="AW236" s="337">
        <v>4.4732000000000003</v>
      </c>
      <c r="AX236" s="334"/>
      <c r="AY236" s="323">
        <v>6.3134999999999994</v>
      </c>
      <c r="AZ236" s="323">
        <v>8.1179999999999986</v>
      </c>
      <c r="BA236" s="323">
        <v>3.6482999999999999</v>
      </c>
      <c r="BB236" s="319"/>
      <c r="BC236" s="321">
        <f t="shared" si="18"/>
        <v>1.2698028035162747</v>
      </c>
      <c r="BD236" s="321">
        <f t="shared" si="19"/>
        <v>1.207169253510717</v>
      </c>
      <c r="BE236" s="321">
        <f t="shared" si="20"/>
        <v>1.2261053093221501</v>
      </c>
      <c r="BG236" s="22">
        <f t="shared" si="21"/>
        <v>6.106226635438361E-16</v>
      </c>
      <c r="BH236" s="22">
        <f t="shared" si="22"/>
        <v>6.9388939039072284E-16</v>
      </c>
      <c r="BI236" s="22">
        <f t="shared" si="23"/>
        <v>-1.9428902930940239E-16</v>
      </c>
    </row>
    <row r="237" spans="2:61" x14ac:dyDescent="0.25">
      <c r="B237" s="312">
        <v>48</v>
      </c>
      <c r="C237" s="312" t="s">
        <v>554</v>
      </c>
      <c r="D237" s="312" t="s">
        <v>390</v>
      </c>
      <c r="E237" s="312">
        <v>14</v>
      </c>
      <c r="F237" s="312">
        <v>1</v>
      </c>
      <c r="G237" s="313" t="s">
        <v>250</v>
      </c>
      <c r="H237" s="313"/>
      <c r="I237" s="346">
        <v>5396.8</v>
      </c>
      <c r="J237" s="317">
        <v>333.60000000000036</v>
      </c>
      <c r="K237" s="317">
        <v>5063.2</v>
      </c>
      <c r="L237" s="317">
        <v>0</v>
      </c>
      <c r="M237" s="317"/>
      <c r="N237" s="319">
        <v>0.1249</v>
      </c>
      <c r="O237" s="319">
        <v>7.8E-2</v>
      </c>
      <c r="P237" s="319">
        <v>0.28210000000000002</v>
      </c>
      <c r="Q237" s="319">
        <v>7.1599999999999997E-2</v>
      </c>
      <c r="R237" s="319">
        <v>1.67E-2</v>
      </c>
      <c r="S237" s="319">
        <v>0.2402</v>
      </c>
      <c r="T237" s="319">
        <v>0</v>
      </c>
      <c r="U237" s="319">
        <v>0.63149999999999995</v>
      </c>
      <c r="V237" s="319">
        <v>1.0701000000000001</v>
      </c>
      <c r="W237" s="319">
        <v>0</v>
      </c>
      <c r="X237" s="319">
        <v>0.1011</v>
      </c>
      <c r="Y237" s="319">
        <v>0</v>
      </c>
      <c r="Z237" s="319">
        <v>1.5028999999999999</v>
      </c>
      <c r="AA237" s="319">
        <v>0.16200000000000001</v>
      </c>
      <c r="AB237" s="319">
        <v>0.27389999999999998</v>
      </c>
      <c r="AC237" s="319">
        <v>0.12280000000000001</v>
      </c>
      <c r="AD237" s="319">
        <v>0.11899999999999999</v>
      </c>
      <c r="AE237" s="319">
        <v>3.2399999999999998E-2</v>
      </c>
      <c r="AF237" s="319">
        <v>0.1145</v>
      </c>
      <c r="AG237" s="319">
        <v>0</v>
      </c>
      <c r="AH237" s="319">
        <v>0</v>
      </c>
      <c r="AI237" s="319">
        <v>1.6504000000000001</v>
      </c>
      <c r="AJ237" s="319">
        <v>1.504</v>
      </c>
      <c r="AK237" s="319">
        <v>5.9200000000000003E-2</v>
      </c>
      <c r="AL237" s="319">
        <v>0.3851</v>
      </c>
      <c r="AM237" s="319">
        <v>2.7400000000000001E-2</v>
      </c>
      <c r="AN237" s="319">
        <v>4.4999999999999997E-3</v>
      </c>
      <c r="AO237" s="319">
        <v>0.2417</v>
      </c>
      <c r="AP237" s="319">
        <v>0.3271</v>
      </c>
      <c r="AQ237" s="319">
        <v>0</v>
      </c>
      <c r="AR237" s="319">
        <v>0.38729999999999998</v>
      </c>
      <c r="AS237" s="319">
        <v>0.4572</v>
      </c>
      <c r="AT237" s="331">
        <v>0.19819999999999999</v>
      </c>
      <c r="AU237" s="336">
        <v>8.1331999999999987</v>
      </c>
      <c r="AV237" s="329">
        <v>9.6002999999999989</v>
      </c>
      <c r="AW237" s="337">
        <v>4.1628999999999996</v>
      </c>
      <c r="AX237" s="334"/>
      <c r="AY237" s="323">
        <v>6.4045000000000005</v>
      </c>
      <c r="AZ237" s="323">
        <v>8.1516999999999999</v>
      </c>
      <c r="BA237" s="323">
        <v>3.6768000000000005</v>
      </c>
      <c r="BB237" s="319"/>
      <c r="BC237" s="321">
        <f t="shared" si="18"/>
        <v>1.269919587789835</v>
      </c>
      <c r="BD237" s="321">
        <f t="shared" si="19"/>
        <v>1.1777052639326766</v>
      </c>
      <c r="BE237" s="321">
        <f t="shared" si="20"/>
        <v>1.1322073542210616</v>
      </c>
      <c r="BG237" s="22">
        <f t="shared" si="21"/>
        <v>0</v>
      </c>
      <c r="BH237" s="22">
        <f t="shared" si="22"/>
        <v>-5.8286708792820718E-16</v>
      </c>
      <c r="BI237" s="22">
        <f t="shared" si="23"/>
        <v>0</v>
      </c>
    </row>
    <row r="238" spans="2:61" x14ac:dyDescent="0.25">
      <c r="B238" s="312">
        <v>206</v>
      </c>
      <c r="C238" s="312" t="s">
        <v>878</v>
      </c>
      <c r="D238" s="312" t="s">
        <v>391</v>
      </c>
      <c r="E238" s="312">
        <v>14</v>
      </c>
      <c r="F238" s="312">
        <v>1</v>
      </c>
      <c r="G238" s="313" t="s">
        <v>251</v>
      </c>
      <c r="H238" s="313"/>
      <c r="I238" s="346">
        <v>4253.42</v>
      </c>
      <c r="J238" s="317">
        <v>188.99999999999955</v>
      </c>
      <c r="K238" s="317">
        <v>3946.82</v>
      </c>
      <c r="L238" s="317">
        <v>117.6</v>
      </c>
      <c r="M238" s="317"/>
      <c r="N238" s="319">
        <v>0.16550000000000001</v>
      </c>
      <c r="O238" s="319">
        <v>0.1048</v>
      </c>
      <c r="P238" s="319">
        <v>0.28870000000000001</v>
      </c>
      <c r="Q238" s="319">
        <v>7.0499999999999993E-2</v>
      </c>
      <c r="R238" s="319">
        <v>2.1100000000000001E-2</v>
      </c>
      <c r="S238" s="319">
        <v>0.29470000000000002</v>
      </c>
      <c r="T238" s="319">
        <v>0</v>
      </c>
      <c r="U238" s="319">
        <v>0.63149999999999995</v>
      </c>
      <c r="V238" s="319">
        <v>2.0802</v>
      </c>
      <c r="W238" s="319">
        <v>0</v>
      </c>
      <c r="X238" s="319">
        <v>0.15620000000000001</v>
      </c>
      <c r="Y238" s="319">
        <v>0</v>
      </c>
      <c r="Z238" s="319">
        <v>1.8505</v>
      </c>
      <c r="AA238" s="319">
        <v>0.21110000000000001</v>
      </c>
      <c r="AB238" s="319">
        <v>0.3679</v>
      </c>
      <c r="AC238" s="319">
        <v>0.1231</v>
      </c>
      <c r="AD238" s="319">
        <v>0.1234</v>
      </c>
      <c r="AE238" s="319">
        <v>4.1099999999999998E-2</v>
      </c>
      <c r="AF238" s="319">
        <v>9.98E-2</v>
      </c>
      <c r="AG238" s="319">
        <v>0</v>
      </c>
      <c r="AH238" s="319">
        <v>0</v>
      </c>
      <c r="AI238" s="319">
        <v>1.8748</v>
      </c>
      <c r="AJ238" s="319">
        <v>1.8872</v>
      </c>
      <c r="AK238" s="319">
        <v>5.7099999999999998E-2</v>
      </c>
      <c r="AL238" s="319">
        <v>0.35630000000000001</v>
      </c>
      <c r="AM238" s="319">
        <v>2.69E-2</v>
      </c>
      <c r="AN238" s="319">
        <v>4.4000000000000003E-3</v>
      </c>
      <c r="AO238" s="319">
        <v>0.67579999999999996</v>
      </c>
      <c r="AP238" s="319">
        <v>0.78680000000000005</v>
      </c>
      <c r="AQ238" s="319">
        <v>0</v>
      </c>
      <c r="AR238" s="319">
        <v>0.47160000000000002</v>
      </c>
      <c r="AS238" s="319">
        <v>0.61499999999999999</v>
      </c>
      <c r="AT238" s="331">
        <v>0.2319</v>
      </c>
      <c r="AU238" s="336">
        <v>9.9039999999999999</v>
      </c>
      <c r="AV238" s="329">
        <v>12.914399999999999</v>
      </c>
      <c r="AW238" s="337">
        <v>4.8701999999999988</v>
      </c>
      <c r="AX238" s="334"/>
      <c r="AY238" s="323">
        <v>7.9176999999999991</v>
      </c>
      <c r="AZ238" s="323">
        <v>11.346599999999999</v>
      </c>
      <c r="BA238" s="323">
        <v>4.1871999999999989</v>
      </c>
      <c r="BB238" s="319"/>
      <c r="BC238" s="321">
        <f t="shared" si="18"/>
        <v>1.2508683077156246</v>
      </c>
      <c r="BD238" s="321">
        <f t="shared" si="19"/>
        <v>1.138173549785839</v>
      </c>
      <c r="BE238" s="321">
        <f t="shared" si="20"/>
        <v>1.1631161635460452</v>
      </c>
      <c r="BG238" s="22">
        <f t="shared" si="21"/>
        <v>8.8817841970012523E-16</v>
      </c>
      <c r="BH238" s="22">
        <f t="shared" si="22"/>
        <v>-1.7486012637846216E-15</v>
      </c>
      <c r="BI238" s="22">
        <f t="shared" si="23"/>
        <v>-2.1926904736346842E-15</v>
      </c>
    </row>
    <row r="239" spans="2:61" x14ac:dyDescent="0.25">
      <c r="B239" s="312"/>
      <c r="C239" s="312"/>
      <c r="D239" s="312"/>
      <c r="E239" s="312"/>
      <c r="F239" s="312"/>
      <c r="G239" s="313"/>
      <c r="H239" s="313"/>
      <c r="I239" s="346"/>
      <c r="J239" s="317"/>
      <c r="K239" s="317"/>
      <c r="L239" s="317"/>
      <c r="M239" s="317"/>
      <c r="N239" s="319"/>
      <c r="O239" s="319"/>
      <c r="P239" s="319"/>
      <c r="Q239" s="319"/>
      <c r="R239" s="319"/>
      <c r="S239" s="319"/>
      <c r="T239" s="319"/>
      <c r="U239" s="319"/>
      <c r="V239" s="319"/>
      <c r="W239" s="319"/>
      <c r="X239" s="319"/>
      <c r="Y239" s="319"/>
      <c r="Z239" s="319"/>
      <c r="AA239" s="319"/>
      <c r="AB239" s="319"/>
      <c r="AC239" s="319"/>
      <c r="AD239" s="319"/>
      <c r="AE239" s="319"/>
      <c r="AF239" s="319"/>
      <c r="AG239" s="319"/>
      <c r="AH239" s="319"/>
      <c r="AI239" s="319"/>
      <c r="AJ239" s="319"/>
      <c r="AK239" s="319"/>
      <c r="AL239" s="319"/>
      <c r="AM239" s="319"/>
      <c r="AN239" s="319"/>
      <c r="AO239" s="319"/>
      <c r="AP239" s="319"/>
      <c r="AQ239" s="319"/>
      <c r="AR239" s="319"/>
      <c r="AS239" s="319"/>
      <c r="AT239" s="331"/>
      <c r="AU239" s="336"/>
      <c r="AV239" s="329"/>
      <c r="AW239" s="337"/>
      <c r="AX239" s="334"/>
      <c r="AY239" s="324"/>
      <c r="AZ239" s="324"/>
      <c r="BA239" s="324"/>
      <c r="BB239" s="20"/>
      <c r="BC239" s="20"/>
      <c r="BD239" s="20"/>
      <c r="BE239" s="20"/>
    </row>
    <row r="240" spans="2:61" x14ac:dyDescent="0.25">
      <c r="B240" s="312"/>
      <c r="C240" s="312"/>
      <c r="D240" s="312"/>
      <c r="E240" s="312"/>
      <c r="F240" s="312"/>
      <c r="G240" s="313"/>
      <c r="H240" s="313"/>
      <c r="I240" s="346"/>
      <c r="J240" s="317"/>
      <c r="K240" s="317"/>
      <c r="L240" s="317"/>
      <c r="M240" s="312"/>
      <c r="N240" s="319"/>
      <c r="O240" s="319"/>
      <c r="P240" s="319"/>
      <c r="Q240" s="319"/>
      <c r="R240" s="319"/>
      <c r="S240" s="319"/>
      <c r="T240" s="319"/>
      <c r="U240" s="319"/>
      <c r="V240" s="319"/>
      <c r="W240" s="319"/>
      <c r="X240" s="319"/>
      <c r="Y240" s="319"/>
      <c r="Z240" s="319"/>
      <c r="AA240" s="319"/>
      <c r="AB240" s="319"/>
      <c r="AC240" s="319"/>
      <c r="AD240" s="319"/>
      <c r="AE240" s="319"/>
      <c r="AF240" s="319"/>
      <c r="AG240" s="319"/>
      <c r="AH240" s="319"/>
      <c r="AI240" s="319"/>
      <c r="AJ240" s="319"/>
      <c r="AK240" s="319"/>
      <c r="AL240" s="319"/>
      <c r="AM240" s="319"/>
      <c r="AN240" s="319"/>
      <c r="AO240" s="319"/>
      <c r="AP240" s="319"/>
      <c r="AQ240" s="319"/>
      <c r="AR240" s="319"/>
      <c r="AS240" s="319"/>
      <c r="AT240" s="331"/>
      <c r="AU240" s="336"/>
      <c r="AV240" s="329"/>
      <c r="AW240" s="337"/>
      <c r="AX240" s="334"/>
      <c r="AY240" s="324"/>
      <c r="AZ240" s="324"/>
      <c r="BA240" s="324"/>
      <c r="BB240" s="20"/>
      <c r="BC240" s="20"/>
      <c r="BD240" s="20"/>
      <c r="BE240" s="20"/>
    </row>
    <row r="241" spans="2:57" x14ac:dyDescent="0.25">
      <c r="B241" s="312"/>
      <c r="C241" s="312"/>
      <c r="D241" s="312"/>
      <c r="E241" s="312"/>
      <c r="F241" s="312"/>
      <c r="G241" s="313"/>
      <c r="H241" s="313"/>
      <c r="I241" s="346"/>
      <c r="J241" s="317"/>
      <c r="K241" s="317"/>
      <c r="L241" s="317"/>
      <c r="M241" s="312"/>
      <c r="N241" s="319"/>
      <c r="O241" s="319"/>
      <c r="P241" s="319"/>
      <c r="Q241" s="319"/>
      <c r="R241" s="319"/>
      <c r="S241" s="319"/>
      <c r="T241" s="319"/>
      <c r="U241" s="319"/>
      <c r="V241" s="319"/>
      <c r="W241" s="319"/>
      <c r="X241" s="319"/>
      <c r="Y241" s="319"/>
      <c r="Z241" s="319"/>
      <c r="AA241" s="319"/>
      <c r="AB241" s="319"/>
      <c r="AC241" s="319"/>
      <c r="AD241" s="319"/>
      <c r="AE241" s="319"/>
      <c r="AF241" s="319"/>
      <c r="AG241" s="319"/>
      <c r="AH241" s="319"/>
      <c r="AI241" s="319"/>
      <c r="AJ241" s="319"/>
      <c r="AK241" s="319"/>
      <c r="AL241" s="319"/>
      <c r="AM241" s="319"/>
      <c r="AN241" s="319"/>
      <c r="AO241" s="319"/>
      <c r="AP241" s="319"/>
      <c r="AQ241" s="319"/>
      <c r="AR241" s="319"/>
      <c r="AS241" s="319"/>
      <c r="AT241" s="331"/>
      <c r="AU241" s="336"/>
      <c r="AV241" s="329"/>
      <c r="AW241" s="337"/>
      <c r="AX241" s="334"/>
      <c r="AY241" s="324"/>
      <c r="AZ241" s="324"/>
      <c r="BA241" s="324"/>
      <c r="BB241" s="20"/>
      <c r="BC241" s="20"/>
      <c r="BD241" s="20"/>
      <c r="BE241" s="20"/>
    </row>
    <row r="242" spans="2:57" s="21" customFormat="1" x14ac:dyDescent="0.25">
      <c r="B242" s="314"/>
      <c r="C242" s="314" t="s">
        <v>384</v>
      </c>
      <c r="D242" s="314"/>
      <c r="E242" s="314">
        <v>1368</v>
      </c>
      <c r="F242" s="314">
        <v>767</v>
      </c>
      <c r="G242" s="315">
        <v>0</v>
      </c>
      <c r="H242" s="315"/>
      <c r="I242" s="347">
        <v>840942.55999999982</v>
      </c>
      <c r="J242" s="318">
        <v>448862.12</v>
      </c>
      <c r="K242" s="318">
        <v>383661.88000000012</v>
      </c>
      <c r="L242" s="318">
        <v>8418.5600000000013</v>
      </c>
      <c r="M242" s="318"/>
      <c r="N242" s="320">
        <v>37.521000000000008</v>
      </c>
      <c r="O242" s="320">
        <v>21.130400000000012</v>
      </c>
      <c r="P242" s="320">
        <v>67.387799999999984</v>
      </c>
      <c r="Q242" s="320">
        <v>14.156599999999994</v>
      </c>
      <c r="R242" s="320">
        <v>5.3205999999999953</v>
      </c>
      <c r="S242" s="320">
        <v>94.293099999999967</v>
      </c>
      <c r="T242" s="320">
        <v>0</v>
      </c>
      <c r="U242" s="320">
        <v>143.48750000000007</v>
      </c>
      <c r="V242" s="320">
        <v>124.29859999999999</v>
      </c>
      <c r="W242" s="320">
        <v>1.1883999999999999</v>
      </c>
      <c r="X242" s="320">
        <v>44.570299999999996</v>
      </c>
      <c r="Y242" s="320">
        <v>0</v>
      </c>
      <c r="Z242" s="320">
        <v>444.54350000000022</v>
      </c>
      <c r="AA242" s="320">
        <v>49.060000000000016</v>
      </c>
      <c r="AB242" s="320">
        <v>72.764099999999956</v>
      </c>
      <c r="AC242" s="320">
        <v>20.713100000000008</v>
      </c>
      <c r="AD242" s="320">
        <v>20.224300000000007</v>
      </c>
      <c r="AE242" s="320">
        <v>10.347000000000001</v>
      </c>
      <c r="AF242" s="320">
        <v>31.542699999999993</v>
      </c>
      <c r="AG242" s="320">
        <v>7.2282999999999973</v>
      </c>
      <c r="AH242" s="320">
        <v>0</v>
      </c>
      <c r="AI242" s="320">
        <v>515.63819999999964</v>
      </c>
      <c r="AJ242" s="320">
        <v>296.48850000000004</v>
      </c>
      <c r="AK242" s="320">
        <v>18.799700000000005</v>
      </c>
      <c r="AL242" s="320">
        <v>130.89629999999997</v>
      </c>
      <c r="AM242" s="320">
        <v>12.069699999999996</v>
      </c>
      <c r="AN242" s="320">
        <v>1.9588999999999994</v>
      </c>
      <c r="AO242" s="320">
        <v>81.620999999999995</v>
      </c>
      <c r="AP242" s="320">
        <v>39.567099999999996</v>
      </c>
      <c r="AQ242" s="320">
        <v>0</v>
      </c>
      <c r="AR242" s="320">
        <v>107.08869999999993</v>
      </c>
      <c r="AS242" s="320">
        <v>115.34089999999999</v>
      </c>
      <c r="AT242" s="332">
        <v>55.856500000000004</v>
      </c>
      <c r="AU242" s="336">
        <v>2248.8513000000003</v>
      </c>
      <c r="AV242" s="329">
        <v>2422.1576000000005</v>
      </c>
      <c r="AW242" s="337">
        <v>1172.9750999999997</v>
      </c>
      <c r="AX242" s="335"/>
      <c r="AY242" s="325"/>
      <c r="AZ242" s="325"/>
      <c r="BA242" s="325"/>
      <c r="BB242" s="316"/>
      <c r="BC242" s="316"/>
      <c r="BD242" s="316"/>
      <c r="BE242" s="316"/>
    </row>
    <row r="243" spans="2:57" x14ac:dyDescent="0.25">
      <c r="B243" s="312">
        <v>0</v>
      </c>
      <c r="C243" s="312" t="s">
        <v>385</v>
      </c>
      <c r="D243" s="312"/>
      <c r="E243" s="312">
        <v>1368</v>
      </c>
      <c r="F243" s="312">
        <v>767</v>
      </c>
      <c r="G243" s="313"/>
      <c r="H243" s="313"/>
      <c r="I243" s="313">
        <v>840942.55999999982</v>
      </c>
      <c r="J243" s="312"/>
      <c r="K243" s="312">
        <v>383661.88000000012</v>
      </c>
      <c r="L243" s="312">
        <v>8418.5600000000013</v>
      </c>
      <c r="M243" s="312"/>
      <c r="N243" s="20"/>
      <c r="O243" s="20"/>
      <c r="P243" s="20"/>
      <c r="Q243" s="20"/>
      <c r="R243" s="20"/>
      <c r="S243" s="20"/>
      <c r="T243" s="20"/>
      <c r="U243" s="20"/>
      <c r="V243" s="319">
        <v>124.29859999999999</v>
      </c>
      <c r="W243" s="319">
        <v>1.1883999999999999</v>
      </c>
      <c r="X243" s="319">
        <v>44.570299999999996</v>
      </c>
      <c r="Y243" s="319">
        <v>0</v>
      </c>
      <c r="Z243" s="319">
        <v>444.54350000000022</v>
      </c>
      <c r="AA243" s="319">
        <v>49.060000000000016</v>
      </c>
      <c r="AB243" s="319">
        <v>72.764099999999956</v>
      </c>
      <c r="AC243" s="319">
        <v>20.713100000000008</v>
      </c>
      <c r="AD243" s="319">
        <v>20.224300000000007</v>
      </c>
      <c r="AE243" s="319">
        <v>10.347000000000001</v>
      </c>
      <c r="AF243" s="319">
        <v>31.542699999999993</v>
      </c>
      <c r="AG243" s="319">
        <v>7.2282999999999973</v>
      </c>
      <c r="AH243" s="319">
        <v>0</v>
      </c>
      <c r="AI243" s="319">
        <v>515.63819999999964</v>
      </c>
      <c r="AJ243" s="319">
        <v>296.48850000000004</v>
      </c>
      <c r="AK243" s="319">
        <v>18.799700000000005</v>
      </c>
      <c r="AL243" s="319">
        <v>130.89629999999997</v>
      </c>
      <c r="AM243" s="319">
        <v>12.069699999999996</v>
      </c>
      <c r="AN243" s="319">
        <v>1.9588999999999994</v>
      </c>
      <c r="AO243" s="319">
        <v>81.620999999999995</v>
      </c>
      <c r="AP243" s="319">
        <v>39.567099999999996</v>
      </c>
      <c r="AQ243" s="319">
        <v>0</v>
      </c>
      <c r="AR243" s="319">
        <v>107.09</v>
      </c>
      <c r="AS243" s="319">
        <v>115.3408</v>
      </c>
      <c r="AT243" s="333"/>
      <c r="AU243" s="336">
        <v>2248.8526000000011</v>
      </c>
      <c r="AV243" s="329">
        <v>2422.1575000000012</v>
      </c>
      <c r="AW243" s="338"/>
      <c r="AX243" s="334"/>
      <c r="AY243" s="324"/>
      <c r="AZ243" s="324"/>
      <c r="BA243" s="324"/>
      <c r="BB243" s="20"/>
      <c r="BC243" s="20"/>
      <c r="BD243" s="20"/>
      <c r="BE243" s="20"/>
    </row>
    <row r="244" spans="2:57" ht="14.4" thickBot="1" x14ac:dyDescent="0.3">
      <c r="B244" s="312"/>
      <c r="C244" s="312"/>
      <c r="D244" s="312"/>
      <c r="E244" s="312"/>
      <c r="F244" s="312"/>
      <c r="G244" s="313"/>
      <c r="H244" s="313"/>
      <c r="I244" s="313"/>
      <c r="J244" s="312"/>
      <c r="K244" s="312"/>
      <c r="L244" s="312"/>
      <c r="M244" s="312"/>
      <c r="N244" s="20"/>
      <c r="O244" s="20"/>
      <c r="P244" s="20"/>
      <c r="Q244" s="20"/>
      <c r="R244" s="20"/>
      <c r="S244" s="20"/>
      <c r="T244" s="20"/>
      <c r="U244" s="20"/>
      <c r="V244" s="319">
        <v>0</v>
      </c>
      <c r="W244" s="319">
        <v>0</v>
      </c>
      <c r="X244" s="319">
        <v>0</v>
      </c>
      <c r="Y244" s="319">
        <v>0</v>
      </c>
      <c r="Z244" s="319">
        <v>0</v>
      </c>
      <c r="AA244" s="319">
        <v>0</v>
      </c>
      <c r="AB244" s="319">
        <v>0</v>
      </c>
      <c r="AC244" s="319">
        <v>0</v>
      </c>
      <c r="AD244" s="319">
        <v>0</v>
      </c>
      <c r="AE244" s="319">
        <v>0</v>
      </c>
      <c r="AF244" s="319">
        <v>0</v>
      </c>
      <c r="AG244" s="319">
        <v>0</v>
      </c>
      <c r="AH244" s="319">
        <v>0</v>
      </c>
      <c r="AI244" s="319">
        <v>0</v>
      </c>
      <c r="AJ244" s="319">
        <v>0</v>
      </c>
      <c r="AK244" s="319">
        <v>0</v>
      </c>
      <c r="AL244" s="319">
        <v>0</v>
      </c>
      <c r="AM244" s="319">
        <v>0</v>
      </c>
      <c r="AN244" s="319">
        <v>0</v>
      </c>
      <c r="AO244" s="319">
        <v>0</v>
      </c>
      <c r="AP244" s="319">
        <v>0</v>
      </c>
      <c r="AQ244" s="319">
        <v>0</v>
      </c>
      <c r="AR244" s="20"/>
      <c r="AS244" s="20"/>
      <c r="AT244" s="333"/>
      <c r="AU244" s="339">
        <v>1.3000000008105417E-3</v>
      </c>
      <c r="AV244" s="340">
        <v>-9.999999929277692E-5</v>
      </c>
      <c r="AW244" s="341"/>
      <c r="AX244" s="334"/>
      <c r="AY244" s="324"/>
      <c r="AZ244" s="324"/>
      <c r="BA244" s="324"/>
      <c r="BB244" s="20"/>
      <c r="BC244" s="20"/>
      <c r="BD244" s="20"/>
      <c r="BE244" s="20"/>
    </row>
  </sheetData>
  <sheetProtection algorithmName="SHA-512" hashValue="L5qsTwr0FlpqBtHxNL3cFPv8pw8HIhQkiV45E3IDAJHvfI1uW4UIcAj1t93XAu8kYLAo4y0w8pEt+32jZUWy+w==" saltValue="cZV0CloAAZqqNwn+J5KrvA==" spinCount="100000" sheet="1" objects="1" scenarios="1"/>
  <autoFilter ref="B7:BI238" xr:uid="{00000000-0009-0000-0000-000002000000}">
    <sortState ref="B8:BI238">
      <sortCondition ref="E7:E238"/>
    </sortState>
  </autoFilter>
  <mergeCells count="28">
    <mergeCell ref="AR5:AT5"/>
    <mergeCell ref="AU5:AW5"/>
    <mergeCell ref="AY5:BA5"/>
    <mergeCell ref="BC5:BE5"/>
    <mergeCell ref="AJ5:AK5"/>
    <mergeCell ref="AL5:AL6"/>
    <mergeCell ref="AM5:AM6"/>
    <mergeCell ref="AN5:AN6"/>
    <mergeCell ref="AO5:AP5"/>
    <mergeCell ref="AQ5:AQ6"/>
    <mergeCell ref="AI5:AI6"/>
    <mergeCell ref="G5:G6"/>
    <mergeCell ref="I5:I6"/>
    <mergeCell ref="J5:L5"/>
    <mergeCell ref="N5:U5"/>
    <mergeCell ref="V5:V6"/>
    <mergeCell ref="W5:W6"/>
    <mergeCell ref="X5:X6"/>
    <mergeCell ref="Y5:Y6"/>
    <mergeCell ref="Z5:Z6"/>
    <mergeCell ref="AA5:AG5"/>
    <mergeCell ref="AH5:AH6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I244"/>
  <sheetViews>
    <sheetView topLeftCell="B1" zoomScale="59" zoomScaleNormal="59" workbookViewId="0">
      <pane xSplit="1" ySplit="3" topLeftCell="C217" activePane="bottomRight" state="frozen"/>
      <selection activeCell="B1" sqref="B1"/>
      <selection pane="topRight" activeCell="K1" sqref="K1"/>
      <selection pane="bottomLeft" activeCell="B8" sqref="B8"/>
      <selection pane="bottomRight" activeCell="V252" sqref="V252"/>
    </sheetView>
  </sheetViews>
  <sheetFormatPr defaultColWidth="8.88671875" defaultRowHeight="13.8" x14ac:dyDescent="0.25"/>
  <cols>
    <col min="1" max="1" width="5.5546875" style="15" hidden="1" customWidth="1"/>
    <col min="2" max="2" width="5.5546875" style="4" customWidth="1"/>
    <col min="3" max="3" width="42.109375" style="4" customWidth="1"/>
    <col min="4" max="4" width="37.33203125" style="4" customWidth="1"/>
    <col min="5" max="5" width="5.6640625" style="4" customWidth="1"/>
    <col min="6" max="6" width="8.109375" style="4" customWidth="1"/>
    <col min="7" max="7" width="11" style="76" customWidth="1"/>
    <col min="8" max="8" width="3.5546875" style="76" customWidth="1"/>
    <col min="9" max="9" width="11.5546875" style="76" customWidth="1"/>
    <col min="10" max="12" width="11.5546875" style="4" customWidth="1"/>
    <col min="13" max="13" width="3.109375" style="4" customWidth="1"/>
    <col min="14" max="14" width="9.33203125" style="15" customWidth="1"/>
    <col min="15" max="15" width="9.6640625" style="15" customWidth="1"/>
    <col min="16" max="16" width="8.88671875" style="15" customWidth="1"/>
    <col min="17" max="17" width="9" style="15" customWidth="1"/>
    <col min="18" max="18" width="7.6640625" style="15" customWidth="1"/>
    <col min="19" max="19" width="8.5546875" style="15" customWidth="1"/>
    <col min="20" max="20" width="7.6640625" style="15" customWidth="1"/>
    <col min="21" max="22" width="9.5546875" style="15" customWidth="1"/>
    <col min="23" max="23" width="8.33203125" style="15" customWidth="1"/>
    <col min="24" max="24" width="9.33203125" style="15" customWidth="1"/>
    <col min="25" max="25" width="9" style="15" customWidth="1"/>
    <col min="26" max="26" width="13.109375" style="15" customWidth="1"/>
    <col min="27" max="28" width="8.6640625" style="15" customWidth="1"/>
    <col min="29" max="30" width="9" style="15" customWidth="1"/>
    <col min="31" max="31" width="9.33203125" style="15" customWidth="1"/>
    <col min="32" max="32" width="9" style="15" customWidth="1"/>
    <col min="33" max="33" width="7.88671875" style="15" customWidth="1"/>
    <col min="34" max="34" width="9" style="15" customWidth="1"/>
    <col min="35" max="35" width="10.5546875" style="15" customWidth="1"/>
    <col min="36" max="36" width="9.5546875" style="15" customWidth="1"/>
    <col min="37" max="37" width="10.88671875" style="15" customWidth="1"/>
    <col min="38" max="39" width="9.5546875" style="15" customWidth="1"/>
    <col min="40" max="40" width="7.33203125" style="15" customWidth="1"/>
    <col min="41" max="41" width="9" style="15" customWidth="1"/>
    <col min="42" max="42" width="10.33203125" style="15" customWidth="1"/>
    <col min="43" max="43" width="8.5546875" style="15" customWidth="1"/>
    <col min="44" max="44" width="9.5546875" style="15" customWidth="1"/>
    <col min="45" max="45" width="10.33203125" style="15" customWidth="1"/>
    <col min="46" max="46" width="8.5546875" style="15" customWidth="1"/>
    <col min="47" max="47" width="12" style="15" customWidth="1"/>
    <col min="48" max="48" width="10.5546875" style="15" customWidth="1"/>
    <col min="49" max="49" width="10.6640625" style="15" customWidth="1"/>
    <col min="50" max="50" width="2.109375" style="15" customWidth="1"/>
    <col min="51" max="51" width="9.109375" style="15" customWidth="1"/>
    <col min="52" max="52" width="10.33203125" style="15" customWidth="1"/>
    <col min="53" max="54" width="11" style="15" customWidth="1"/>
    <col min="55" max="55" width="9.88671875" style="15" customWidth="1"/>
    <col min="56" max="56" width="10.109375" style="15" customWidth="1"/>
    <col min="57" max="58" width="9.33203125" style="15" customWidth="1"/>
    <col min="59" max="59" width="8.88671875" style="15" customWidth="1"/>
    <col min="60" max="16384" width="8.88671875" style="15"/>
  </cols>
  <sheetData>
    <row r="1" spans="1:61" s="7" customFormat="1" ht="17.399999999999999" x14ac:dyDescent="0.3">
      <c r="C1" s="7" t="s">
        <v>0</v>
      </c>
      <c r="G1" s="75"/>
      <c r="H1" s="75"/>
      <c r="I1" s="75"/>
    </row>
    <row r="2" spans="1:61" s="7" customFormat="1" ht="8.4" customHeight="1" x14ac:dyDescent="0.3">
      <c r="G2" s="75"/>
      <c r="H2" s="75"/>
      <c r="I2" s="75"/>
    </row>
    <row r="3" spans="1:61" s="4" customFormat="1" ht="17.399999999999999" x14ac:dyDescent="0.3">
      <c r="C3" s="7" t="s">
        <v>412</v>
      </c>
      <c r="D3" s="7"/>
      <c r="G3" s="76"/>
      <c r="H3" s="76"/>
      <c r="I3" s="76"/>
    </row>
    <row r="4" spans="1:61" ht="14.4" thickBot="1" x14ac:dyDescent="0.3"/>
    <row r="5" spans="1:61" s="4" customFormat="1" ht="42.6" customHeight="1" x14ac:dyDescent="0.25">
      <c r="A5" s="483" t="s">
        <v>328</v>
      </c>
      <c r="B5" s="483" t="s">
        <v>328</v>
      </c>
      <c r="C5" s="481" t="s">
        <v>329</v>
      </c>
      <c r="D5" s="481" t="s">
        <v>945</v>
      </c>
      <c r="E5" s="487" t="s">
        <v>330</v>
      </c>
      <c r="F5" s="481" t="s">
        <v>331</v>
      </c>
      <c r="G5" s="481" t="s">
        <v>332</v>
      </c>
      <c r="H5" s="10"/>
      <c r="I5" s="481" t="s">
        <v>333</v>
      </c>
      <c r="J5" s="491" t="s">
        <v>334</v>
      </c>
      <c r="K5" s="492"/>
      <c r="L5" s="493"/>
      <c r="M5" s="73"/>
      <c r="N5" s="494" t="s">
        <v>335</v>
      </c>
      <c r="O5" s="494"/>
      <c r="P5" s="494"/>
      <c r="Q5" s="494"/>
      <c r="R5" s="494"/>
      <c r="S5" s="494"/>
      <c r="T5" s="494"/>
      <c r="U5" s="494"/>
      <c r="V5" s="489" t="s">
        <v>336</v>
      </c>
      <c r="W5" s="489" t="s">
        <v>337</v>
      </c>
      <c r="X5" s="489" t="s">
        <v>338</v>
      </c>
      <c r="Y5" s="489" t="s">
        <v>339</v>
      </c>
      <c r="Z5" s="495" t="s">
        <v>340</v>
      </c>
      <c r="AA5" s="494" t="s">
        <v>341</v>
      </c>
      <c r="AB5" s="494"/>
      <c r="AC5" s="494"/>
      <c r="AD5" s="494"/>
      <c r="AE5" s="494"/>
      <c r="AF5" s="494"/>
      <c r="AG5" s="494"/>
      <c r="AH5" s="489" t="s">
        <v>342</v>
      </c>
      <c r="AI5" s="489" t="s">
        <v>343</v>
      </c>
      <c r="AJ5" s="508" t="s">
        <v>344</v>
      </c>
      <c r="AK5" s="508"/>
      <c r="AL5" s="489" t="s">
        <v>345</v>
      </c>
      <c r="AM5" s="489" t="s">
        <v>305</v>
      </c>
      <c r="AN5" s="489" t="s">
        <v>307</v>
      </c>
      <c r="AO5" s="509" t="s">
        <v>346</v>
      </c>
      <c r="AP5" s="509"/>
      <c r="AQ5" s="489" t="s">
        <v>347</v>
      </c>
      <c r="AR5" s="497" t="s">
        <v>348</v>
      </c>
      <c r="AS5" s="498"/>
      <c r="AT5" s="498"/>
      <c r="AU5" s="499" t="s">
        <v>349</v>
      </c>
      <c r="AV5" s="500"/>
      <c r="AW5" s="501"/>
      <c r="AX5" s="3"/>
      <c r="AY5" s="502" t="s">
        <v>947</v>
      </c>
      <c r="AZ5" s="503"/>
      <c r="BA5" s="504"/>
      <c r="BB5" s="8"/>
      <c r="BC5" s="505" t="s">
        <v>351</v>
      </c>
      <c r="BD5" s="506"/>
      <c r="BE5" s="507"/>
    </row>
    <row r="6" spans="1:61" s="4" customFormat="1" ht="142.94999999999999" customHeight="1" x14ac:dyDescent="0.25">
      <c r="A6" s="484"/>
      <c r="B6" s="485"/>
      <c r="C6" s="482"/>
      <c r="D6" s="486"/>
      <c r="E6" s="488"/>
      <c r="F6" s="482"/>
      <c r="G6" s="482"/>
      <c r="H6" s="11"/>
      <c r="I6" s="482"/>
      <c r="J6" s="71" t="s">
        <v>352</v>
      </c>
      <c r="K6" s="71" t="s">
        <v>353</v>
      </c>
      <c r="L6" s="71" t="s">
        <v>354</v>
      </c>
      <c r="M6" s="71"/>
      <c r="N6" s="308" t="s">
        <v>355</v>
      </c>
      <c r="O6" s="308" t="s">
        <v>356</v>
      </c>
      <c r="P6" s="308" t="s">
        <v>357</v>
      </c>
      <c r="Q6" s="308" t="s">
        <v>358</v>
      </c>
      <c r="R6" s="308" t="s">
        <v>359</v>
      </c>
      <c r="S6" s="308" t="s">
        <v>360</v>
      </c>
      <c r="T6" s="308" t="s">
        <v>361</v>
      </c>
      <c r="U6" s="308" t="s">
        <v>362</v>
      </c>
      <c r="V6" s="490"/>
      <c r="W6" s="490"/>
      <c r="X6" s="490"/>
      <c r="Y6" s="490"/>
      <c r="Z6" s="496"/>
      <c r="AA6" s="308" t="s">
        <v>363</v>
      </c>
      <c r="AB6" s="308" t="s">
        <v>364</v>
      </c>
      <c r="AC6" s="308" t="s">
        <v>365</v>
      </c>
      <c r="AD6" s="308" t="s">
        <v>366</v>
      </c>
      <c r="AE6" s="308" t="s">
        <v>367</v>
      </c>
      <c r="AF6" s="308" t="s">
        <v>368</v>
      </c>
      <c r="AG6" s="308" t="s">
        <v>369</v>
      </c>
      <c r="AH6" s="490"/>
      <c r="AI6" s="490"/>
      <c r="AJ6" s="308" t="s">
        <v>370</v>
      </c>
      <c r="AK6" s="308" t="s">
        <v>371</v>
      </c>
      <c r="AL6" s="490"/>
      <c r="AM6" s="490"/>
      <c r="AN6" s="490"/>
      <c r="AO6" s="308" t="s">
        <v>372</v>
      </c>
      <c r="AP6" s="308" t="s">
        <v>373</v>
      </c>
      <c r="AQ6" s="490"/>
      <c r="AR6" s="309" t="s">
        <v>374</v>
      </c>
      <c r="AS6" s="309" t="s">
        <v>375</v>
      </c>
      <c r="AT6" s="330" t="s">
        <v>376</v>
      </c>
      <c r="AU6" s="326" t="s">
        <v>1</v>
      </c>
      <c r="AV6" s="327" t="s">
        <v>2</v>
      </c>
      <c r="AW6" s="328" t="s">
        <v>377</v>
      </c>
      <c r="AX6" s="9"/>
      <c r="AY6" s="322" t="s">
        <v>378</v>
      </c>
      <c r="AZ6" s="322" t="s">
        <v>379</v>
      </c>
      <c r="BA6" s="322" t="s">
        <v>948</v>
      </c>
      <c r="BB6" s="311"/>
      <c r="BC6" s="310" t="s">
        <v>380</v>
      </c>
      <c r="BD6" s="310" t="s">
        <v>381</v>
      </c>
      <c r="BE6" s="310" t="s">
        <v>949</v>
      </c>
    </row>
    <row r="7" spans="1:61" s="4" customFormat="1" ht="15.6" x14ac:dyDescent="0.25">
      <c r="A7" s="342"/>
      <c r="B7" s="343"/>
      <c r="C7" s="307"/>
      <c r="D7" s="72"/>
      <c r="E7" s="344"/>
      <c r="F7" s="307"/>
      <c r="G7" s="307"/>
      <c r="H7" s="11"/>
      <c r="I7" s="307"/>
      <c r="J7" s="71"/>
      <c r="K7" s="71"/>
      <c r="L7" s="71"/>
      <c r="M7" s="71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45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9"/>
      <c r="AS7" s="309"/>
      <c r="AT7" s="330"/>
      <c r="AU7" s="326"/>
      <c r="AV7" s="327"/>
      <c r="AW7" s="328"/>
      <c r="AX7" s="9"/>
      <c r="AY7" s="322"/>
      <c r="AZ7" s="322"/>
      <c r="BA7" s="322"/>
      <c r="BB7" s="311"/>
      <c r="BC7" s="310"/>
      <c r="BD7" s="310"/>
      <c r="BE7" s="310"/>
    </row>
    <row r="8" spans="1:61" x14ac:dyDescent="0.25">
      <c r="B8" s="312">
        <v>1</v>
      </c>
      <c r="C8" s="312" t="s">
        <v>458</v>
      </c>
      <c r="D8" s="312" t="s">
        <v>946</v>
      </c>
      <c r="E8" s="312">
        <v>9</v>
      </c>
      <c r="F8" s="312">
        <v>2</v>
      </c>
      <c r="G8" s="313" t="s">
        <v>172</v>
      </c>
      <c r="H8" s="313"/>
      <c r="I8" s="313">
        <v>3815.74</v>
      </c>
      <c r="J8" s="312">
        <v>394.69999999999982</v>
      </c>
      <c r="K8" s="312">
        <v>3421.04</v>
      </c>
      <c r="L8" s="312">
        <v>0</v>
      </c>
      <c r="M8" s="317"/>
      <c r="N8" s="319">
        <v>0.1789</v>
      </c>
      <c r="O8" s="319">
        <v>0.11459999999999999</v>
      </c>
      <c r="P8" s="319">
        <v>0.29110000000000003</v>
      </c>
      <c r="Q8" s="319">
        <v>6.7500000000000004E-2</v>
      </c>
      <c r="R8" s="319">
        <v>2.3E-2</v>
      </c>
      <c r="S8" s="319">
        <v>0.22819999999999999</v>
      </c>
      <c r="T8" s="319">
        <v>0</v>
      </c>
      <c r="U8" s="319">
        <v>0.63149999999999995</v>
      </c>
      <c r="V8" s="319">
        <v>1.3607</v>
      </c>
      <c r="W8" s="319">
        <v>5.2499999999999998E-2</v>
      </c>
      <c r="X8" s="319">
        <v>0.1492</v>
      </c>
      <c r="Y8" s="319">
        <v>0</v>
      </c>
      <c r="Z8" s="319">
        <v>2.8820999999999999</v>
      </c>
      <c r="AA8" s="319">
        <v>0.2331</v>
      </c>
      <c r="AB8" s="319">
        <v>0.40849999999999997</v>
      </c>
      <c r="AC8" s="319">
        <v>7.1099999999999997E-2</v>
      </c>
      <c r="AD8" s="319">
        <v>6.1199999999999997E-2</v>
      </c>
      <c r="AE8" s="319">
        <v>4.48E-2</v>
      </c>
      <c r="AF8" s="319">
        <v>7.9899999999999999E-2</v>
      </c>
      <c r="AG8" s="319">
        <v>2.9899999999999999E-2</v>
      </c>
      <c r="AH8" s="319">
        <v>0</v>
      </c>
      <c r="AI8" s="319">
        <v>1.1332</v>
      </c>
      <c r="AJ8" s="319">
        <v>1.4844999999999999</v>
      </c>
      <c r="AK8" s="319">
        <v>7.6700000000000004E-2</v>
      </c>
      <c r="AL8" s="319">
        <v>0.3488</v>
      </c>
      <c r="AM8" s="319">
        <v>3.4599999999999999E-2</v>
      </c>
      <c r="AN8" s="319">
        <v>5.5999999999999999E-3</v>
      </c>
      <c r="AO8" s="319">
        <v>0.13289999999999999</v>
      </c>
      <c r="AP8" s="319">
        <v>0.67779999999999996</v>
      </c>
      <c r="AQ8" s="319">
        <v>0</v>
      </c>
      <c r="AR8" s="319">
        <v>0.4355</v>
      </c>
      <c r="AS8" s="319">
        <v>0.54010000000000002</v>
      </c>
      <c r="AT8" s="331">
        <v>0.28060000000000002</v>
      </c>
      <c r="AU8" s="336">
        <v>9.1463999999999999</v>
      </c>
      <c r="AV8" s="329">
        <v>11.342000000000001</v>
      </c>
      <c r="AW8" s="337">
        <v>5.892100000000001</v>
      </c>
      <c r="AX8" s="334"/>
      <c r="AY8" s="323">
        <v>7.2030000000000003</v>
      </c>
      <c r="AZ8" s="323">
        <v>9.4853000000000005</v>
      </c>
      <c r="BA8" s="323">
        <v>5.0265000000000004</v>
      </c>
      <c r="BB8" s="319"/>
      <c r="BC8" s="321">
        <f>AU8/AY8</f>
        <v>1.2698042482299041</v>
      </c>
      <c r="BD8" s="321">
        <f>AV8/AZ8</f>
        <v>1.1957449948868248</v>
      </c>
      <c r="BE8" s="321">
        <f>AW8/BA8</f>
        <v>1.1722073013030938</v>
      </c>
      <c r="BG8" s="22">
        <f>AU8-N8-O8-P8-Q8-R8-S8-T8-U8-X8-Y8-Z8-AA8-AB8-AC8-AD8-AE8-AF8-AG8-AH8-AI8-AJ8-AK8-AL8-AM8-AN8-AO8-AQ8-AR8</f>
        <v>1.1102230246251565E-15</v>
      </c>
      <c r="BH8" s="22">
        <f>AV8-AS8-AQ8-AP8-AO8-AN8-AM8-AL8-AK8-AJ8-AI8-AH8-AG8-AF8-AE8-AD8-AC8-AB8-AA8-Z8-Y8-X8-W8-V8-U8-T8-S8-R8-Q8-P8-O8-N8</f>
        <v>-1.5543122344752192E-15</v>
      </c>
      <c r="BI8" s="22">
        <f>AW8-AT8-AQ8-AN8-AM8-AK8-AH8-AG8-AF8-AE8-AD8-AC8-AB8-AA8-Z8-Y8-X8-U8-T8-S8-R8-Q8-P8-O8-N8</f>
        <v>-2.2204460492503131E-16</v>
      </c>
    </row>
    <row r="9" spans="1:61" x14ac:dyDescent="0.25">
      <c r="B9" s="312">
        <v>2</v>
      </c>
      <c r="C9" s="312" t="s">
        <v>461</v>
      </c>
      <c r="D9" s="312" t="s">
        <v>946</v>
      </c>
      <c r="E9" s="312">
        <v>9</v>
      </c>
      <c r="F9" s="312">
        <v>4</v>
      </c>
      <c r="G9" s="313" t="s">
        <v>174</v>
      </c>
      <c r="H9" s="313"/>
      <c r="I9" s="313">
        <v>7592.5</v>
      </c>
      <c r="J9" s="312">
        <v>786.0600000000004</v>
      </c>
      <c r="K9" s="312">
        <v>6806.44</v>
      </c>
      <c r="L9" s="312">
        <v>0</v>
      </c>
      <c r="M9" s="317"/>
      <c r="N9" s="319">
        <v>0.2014</v>
      </c>
      <c r="O9" s="319">
        <v>0.1022</v>
      </c>
      <c r="P9" s="319">
        <v>0.31</v>
      </c>
      <c r="Q9" s="319">
        <v>7.2999999999999995E-2</v>
      </c>
      <c r="R9" s="319">
        <v>2.3199999999999998E-2</v>
      </c>
      <c r="S9" s="319">
        <v>0.31209999999999999</v>
      </c>
      <c r="T9" s="319">
        <v>0</v>
      </c>
      <c r="U9" s="319">
        <v>0.63149999999999995</v>
      </c>
      <c r="V9" s="319">
        <v>1.7302</v>
      </c>
      <c r="W9" s="319">
        <v>5.28E-2</v>
      </c>
      <c r="X9" s="319">
        <v>0.1479</v>
      </c>
      <c r="Y9" s="319">
        <v>0</v>
      </c>
      <c r="Z9" s="319">
        <v>2.8300999999999998</v>
      </c>
      <c r="AA9" s="319">
        <v>0.2681</v>
      </c>
      <c r="AB9" s="319">
        <v>0.36630000000000001</v>
      </c>
      <c r="AC9" s="319">
        <v>0.12239999999999999</v>
      </c>
      <c r="AD9" s="319">
        <v>0.1075</v>
      </c>
      <c r="AE9" s="319">
        <v>4.4999999999999998E-2</v>
      </c>
      <c r="AF9" s="319">
        <v>0.13250000000000001</v>
      </c>
      <c r="AG9" s="319">
        <v>3.1399999999999997E-2</v>
      </c>
      <c r="AH9" s="319">
        <v>0</v>
      </c>
      <c r="AI9" s="319">
        <v>1.3943000000000001</v>
      </c>
      <c r="AJ9" s="319">
        <v>1.2030000000000001</v>
      </c>
      <c r="AK9" s="319">
        <v>7.0699999999999999E-2</v>
      </c>
      <c r="AL9" s="319">
        <v>0.30009999999999998</v>
      </c>
      <c r="AM9" s="319">
        <v>3.3500000000000002E-2</v>
      </c>
      <c r="AN9" s="319">
        <v>5.4000000000000003E-3</v>
      </c>
      <c r="AO9" s="319">
        <v>0.30680000000000002</v>
      </c>
      <c r="AP9" s="319">
        <v>0.441</v>
      </c>
      <c r="AQ9" s="319">
        <v>0</v>
      </c>
      <c r="AR9" s="319">
        <v>0.45090000000000002</v>
      </c>
      <c r="AS9" s="319">
        <v>0.56210000000000004</v>
      </c>
      <c r="AT9" s="331">
        <v>0.29070000000000001</v>
      </c>
      <c r="AU9" s="336">
        <v>9.4693000000000023</v>
      </c>
      <c r="AV9" s="329">
        <v>11.804500000000001</v>
      </c>
      <c r="AW9" s="337">
        <v>6.1048999999999998</v>
      </c>
      <c r="AX9" s="334"/>
      <c r="AY9" s="323">
        <v>7.4701000000000004</v>
      </c>
      <c r="AZ9" s="323">
        <v>10.225100000000001</v>
      </c>
      <c r="BA9" s="323">
        <v>5.0609999999999999</v>
      </c>
      <c r="BB9" s="319"/>
      <c r="BC9" s="321">
        <f t="shared" ref="BC9:BC72" si="0">AU9/AY9</f>
        <v>1.2676269393984019</v>
      </c>
      <c r="BD9" s="321">
        <f t="shared" ref="BD9:BD72" si="1">AV9/AZ9</f>
        <v>1.1544630370363125</v>
      </c>
      <c r="BE9" s="321">
        <f t="shared" ref="BE9:BE72" si="2">AW9/BA9</f>
        <v>1.206263584271883</v>
      </c>
      <c r="BG9" s="22">
        <f t="shared" ref="BG9:BG72" si="3">AU9-N9-O9-P9-Q9-R9-S9-T9-U9-X9-Y9-Z9-AA9-AB9-AC9-AD9-AE9-AF9-AG9-AH9-AI9-AJ9-AK9-AL9-AM9-AN9-AO9-AQ9-AR9</f>
        <v>4.4408920985006262E-15</v>
      </c>
      <c r="BH9" s="22">
        <f t="shared" ref="BH9:BH72" si="4">AV9-AS9-AQ9-AP9-AO9-AN9-AM9-AL9-AK9-AJ9-AI9-AH9-AG9-AF9-AE9-AD9-AC9-AB9-AA9-Z9-Y9-X9-W9-V9-U9-T9-S9-R9-Q9-P9-O9-N9</f>
        <v>-8.6042284408449632E-16</v>
      </c>
      <c r="BI9" s="22">
        <f t="shared" ref="BI9:BI72" si="5">AW9-AT9-AQ9-AN9-AM9-AK9-AH9-AG9-AF9-AE9-AD9-AC9-AB9-AA9-Z9-Y9-X9-U9-T9-S9-R9-Q9-P9-O9-N9</f>
        <v>-4.163336342344337E-16</v>
      </c>
    </row>
    <row r="10" spans="1:61" x14ac:dyDescent="0.25">
      <c r="B10" s="312">
        <v>3</v>
      </c>
      <c r="C10" s="312" t="s">
        <v>463</v>
      </c>
      <c r="D10" s="312" t="s">
        <v>946</v>
      </c>
      <c r="E10" s="312">
        <v>9</v>
      </c>
      <c r="F10" s="312">
        <v>2</v>
      </c>
      <c r="G10" s="313" t="s">
        <v>175</v>
      </c>
      <c r="H10" s="313"/>
      <c r="I10" s="313">
        <v>3776.92</v>
      </c>
      <c r="J10" s="312">
        <v>339.76000000000022</v>
      </c>
      <c r="K10" s="312">
        <v>3377.06</v>
      </c>
      <c r="L10" s="312">
        <v>60.1</v>
      </c>
      <c r="M10" s="317"/>
      <c r="N10" s="319">
        <v>0.18049999999999999</v>
      </c>
      <c r="O10" s="319">
        <v>0.1027</v>
      </c>
      <c r="P10" s="319">
        <v>0.29139999999999999</v>
      </c>
      <c r="Q10" s="319">
        <v>7.9000000000000001E-2</v>
      </c>
      <c r="R10" s="319">
        <v>2.3300000000000001E-2</v>
      </c>
      <c r="S10" s="319">
        <v>0.2306</v>
      </c>
      <c r="T10" s="319">
        <v>0</v>
      </c>
      <c r="U10" s="319">
        <v>0.63149999999999995</v>
      </c>
      <c r="V10" s="319">
        <v>2.0295999999999998</v>
      </c>
      <c r="W10" s="319">
        <v>0</v>
      </c>
      <c r="X10" s="319">
        <v>0.1507</v>
      </c>
      <c r="Y10" s="319">
        <v>0</v>
      </c>
      <c r="Z10" s="319">
        <v>3.0047999999999999</v>
      </c>
      <c r="AA10" s="319">
        <v>0.23519999999999999</v>
      </c>
      <c r="AB10" s="319">
        <v>0.36820000000000003</v>
      </c>
      <c r="AC10" s="319">
        <v>7.0800000000000002E-2</v>
      </c>
      <c r="AD10" s="319">
        <v>0.16209999999999999</v>
      </c>
      <c r="AE10" s="319">
        <v>4.53E-2</v>
      </c>
      <c r="AF10" s="319">
        <v>8.0699999999999994E-2</v>
      </c>
      <c r="AG10" s="319">
        <v>3.0099999999999998E-2</v>
      </c>
      <c r="AH10" s="319">
        <v>0</v>
      </c>
      <c r="AI10" s="319">
        <v>0.68859999999999999</v>
      </c>
      <c r="AJ10" s="319">
        <v>1.5181</v>
      </c>
      <c r="AK10" s="319">
        <v>7.0599999999999996E-2</v>
      </c>
      <c r="AL10" s="319">
        <v>0.36</v>
      </c>
      <c r="AM10" s="319">
        <v>3.1399999999999997E-2</v>
      </c>
      <c r="AN10" s="319">
        <v>5.1000000000000004E-3</v>
      </c>
      <c r="AO10" s="319">
        <v>0.24790000000000001</v>
      </c>
      <c r="AP10" s="319">
        <v>0.45369999999999999</v>
      </c>
      <c r="AQ10" s="319">
        <v>0</v>
      </c>
      <c r="AR10" s="319">
        <v>0.4304</v>
      </c>
      <c r="AS10" s="319">
        <v>0.55459999999999998</v>
      </c>
      <c r="AT10" s="331">
        <v>0.28970000000000001</v>
      </c>
      <c r="AU10" s="336">
        <v>9.0389999999999997</v>
      </c>
      <c r="AV10" s="329">
        <v>11.6465</v>
      </c>
      <c r="AW10" s="337">
        <v>6.0836999999999994</v>
      </c>
      <c r="AX10" s="334"/>
      <c r="AY10" s="323">
        <v>7.117799999999999</v>
      </c>
      <c r="AZ10" s="323">
        <v>9.9159000000000006</v>
      </c>
      <c r="BA10" s="323">
        <v>5.0853999999999999</v>
      </c>
      <c r="BB10" s="319"/>
      <c r="BC10" s="321">
        <f t="shared" si="0"/>
        <v>1.2699148613335582</v>
      </c>
      <c r="BD10" s="321">
        <f t="shared" si="1"/>
        <v>1.1745277786181787</v>
      </c>
      <c r="BE10" s="321">
        <f t="shared" si="2"/>
        <v>1.1963070751563298</v>
      </c>
      <c r="BG10" s="22">
        <f t="shared" si="3"/>
        <v>-1.7763568394002505E-15</v>
      </c>
      <c r="BH10" s="22">
        <f t="shared" si="4"/>
        <v>-6.6613381477509392E-16</v>
      </c>
      <c r="BI10" s="22">
        <f t="shared" si="5"/>
        <v>6.6613381477509392E-16</v>
      </c>
    </row>
    <row r="11" spans="1:61" x14ac:dyDescent="0.25">
      <c r="B11" s="312">
        <v>4</v>
      </c>
      <c r="C11" s="312" t="s">
        <v>465</v>
      </c>
      <c r="D11" s="312" t="s">
        <v>946</v>
      </c>
      <c r="E11" s="312">
        <v>9</v>
      </c>
      <c r="F11" s="312">
        <v>4</v>
      </c>
      <c r="G11" s="313" t="s">
        <v>176</v>
      </c>
      <c r="H11" s="313"/>
      <c r="I11" s="313">
        <v>7563.89</v>
      </c>
      <c r="J11" s="312">
        <v>789.82000000000062</v>
      </c>
      <c r="K11" s="312">
        <v>6774.07</v>
      </c>
      <c r="L11" s="312">
        <v>0</v>
      </c>
      <c r="M11" s="317"/>
      <c r="N11" s="319">
        <v>0.17929999999999999</v>
      </c>
      <c r="O11" s="319">
        <v>0.1162</v>
      </c>
      <c r="P11" s="319">
        <v>0.3014</v>
      </c>
      <c r="Q11" s="319">
        <v>7.2800000000000004E-2</v>
      </c>
      <c r="R11" s="319">
        <v>2.3199999999999998E-2</v>
      </c>
      <c r="S11" s="319">
        <v>0.29459999999999997</v>
      </c>
      <c r="T11" s="319">
        <v>0</v>
      </c>
      <c r="U11" s="319">
        <v>0.63149999999999995</v>
      </c>
      <c r="V11" s="319">
        <v>2.0236999999999998</v>
      </c>
      <c r="W11" s="319">
        <v>0</v>
      </c>
      <c r="X11" s="319">
        <v>0.15049999999999999</v>
      </c>
      <c r="Y11" s="319">
        <v>0</v>
      </c>
      <c r="Z11" s="319">
        <v>2.8296000000000001</v>
      </c>
      <c r="AA11" s="319">
        <v>0.23300000000000001</v>
      </c>
      <c r="AB11" s="319">
        <v>0.40510000000000002</v>
      </c>
      <c r="AC11" s="319">
        <v>0.1215</v>
      </c>
      <c r="AD11" s="319">
        <v>0.1065</v>
      </c>
      <c r="AE11" s="319">
        <v>4.5199999999999997E-2</v>
      </c>
      <c r="AF11" s="319">
        <v>0.1197</v>
      </c>
      <c r="AG11" s="319">
        <v>2.9700000000000001E-2</v>
      </c>
      <c r="AH11" s="319">
        <v>0</v>
      </c>
      <c r="AI11" s="319">
        <v>0.94630000000000003</v>
      </c>
      <c r="AJ11" s="319">
        <v>1.5411999999999999</v>
      </c>
      <c r="AK11" s="319">
        <v>7.7399999999999997E-2</v>
      </c>
      <c r="AL11" s="319">
        <v>0.38069999999999998</v>
      </c>
      <c r="AM11" s="319">
        <v>3.4299999999999997E-2</v>
      </c>
      <c r="AN11" s="319">
        <v>5.5999999999999999E-3</v>
      </c>
      <c r="AO11" s="319">
        <v>9.5799999999999996E-2</v>
      </c>
      <c r="AP11" s="319">
        <v>0.58069999999999999</v>
      </c>
      <c r="AQ11" s="319">
        <v>0</v>
      </c>
      <c r="AR11" s="319">
        <v>0.43709999999999999</v>
      </c>
      <c r="AS11" s="319">
        <v>0.56730000000000003</v>
      </c>
      <c r="AT11" s="331">
        <v>0.28889999999999999</v>
      </c>
      <c r="AU11" s="336">
        <v>9.1781999999999986</v>
      </c>
      <c r="AV11" s="329">
        <v>11.912799999999999</v>
      </c>
      <c r="AW11" s="337">
        <v>6.0659999999999998</v>
      </c>
      <c r="AX11" s="334"/>
      <c r="AY11" s="323">
        <v>7.2272999999999996</v>
      </c>
      <c r="AZ11" s="323">
        <v>10.323099999999998</v>
      </c>
      <c r="BA11" s="323">
        <v>5.1730999999999998</v>
      </c>
      <c r="BB11" s="319"/>
      <c r="BC11" s="321">
        <f t="shared" si="0"/>
        <v>1.2699348304346021</v>
      </c>
      <c r="BD11" s="321">
        <f t="shared" si="1"/>
        <v>1.153994439654755</v>
      </c>
      <c r="BE11" s="321">
        <f t="shared" si="2"/>
        <v>1.1726044344783593</v>
      </c>
      <c r="BG11" s="22">
        <f t="shared" si="3"/>
        <v>0</v>
      </c>
      <c r="BH11" s="22">
        <f t="shared" si="4"/>
        <v>0</v>
      </c>
      <c r="BI11" s="22">
        <f t="shared" si="5"/>
        <v>0</v>
      </c>
    </row>
    <row r="12" spans="1:61" x14ac:dyDescent="0.25">
      <c r="B12" s="312">
        <v>5</v>
      </c>
      <c r="C12" s="312" t="s">
        <v>467</v>
      </c>
      <c r="D12" s="312" t="s">
        <v>946</v>
      </c>
      <c r="E12" s="312">
        <v>10</v>
      </c>
      <c r="F12" s="312">
        <v>1</v>
      </c>
      <c r="G12" s="313" t="s">
        <v>240</v>
      </c>
      <c r="H12" s="313"/>
      <c r="I12" s="313">
        <v>2441.3000000000002</v>
      </c>
      <c r="J12" s="312">
        <v>233.70000000000027</v>
      </c>
      <c r="K12" s="312">
        <v>2207.6</v>
      </c>
      <c r="L12" s="312">
        <v>0</v>
      </c>
      <c r="M12" s="317"/>
      <c r="N12" s="319">
        <v>0.1605</v>
      </c>
      <c r="O12" s="319">
        <v>0.10150000000000001</v>
      </c>
      <c r="P12" s="319">
        <v>0.31569999999999998</v>
      </c>
      <c r="Q12" s="319">
        <v>6.8099999999999994E-2</v>
      </c>
      <c r="R12" s="319">
        <v>1.9199999999999998E-2</v>
      </c>
      <c r="S12" s="319">
        <v>0.26319999999999999</v>
      </c>
      <c r="T12" s="319">
        <v>0</v>
      </c>
      <c r="U12" s="319">
        <v>0.63149999999999995</v>
      </c>
      <c r="V12" s="319">
        <v>1.1335</v>
      </c>
      <c r="W12" s="319">
        <v>8.14E-2</v>
      </c>
      <c r="X12" s="319">
        <v>0.12959999999999999</v>
      </c>
      <c r="Y12" s="319">
        <v>0</v>
      </c>
      <c r="Z12" s="319">
        <v>1.5746</v>
      </c>
      <c r="AA12" s="319">
        <v>0.21010000000000001</v>
      </c>
      <c r="AB12" s="319">
        <v>0.3543</v>
      </c>
      <c r="AC12" s="319">
        <v>0.1206</v>
      </c>
      <c r="AD12" s="319">
        <v>8.2199999999999995E-2</v>
      </c>
      <c r="AE12" s="319">
        <v>3.7400000000000003E-2</v>
      </c>
      <c r="AF12" s="319">
        <v>6.8699999999999997E-2</v>
      </c>
      <c r="AG12" s="319">
        <v>2.92E-2</v>
      </c>
      <c r="AH12" s="319">
        <v>0</v>
      </c>
      <c r="AI12" s="319">
        <v>3.2534999999999998</v>
      </c>
      <c r="AJ12" s="319">
        <v>1.2014</v>
      </c>
      <c r="AK12" s="319">
        <v>7.8899999999999998E-2</v>
      </c>
      <c r="AL12" s="319">
        <v>0.35210000000000002</v>
      </c>
      <c r="AM12" s="319">
        <v>3.7400000000000003E-2</v>
      </c>
      <c r="AN12" s="319">
        <v>6.1000000000000004E-3</v>
      </c>
      <c r="AO12" s="319">
        <v>0.36470000000000002</v>
      </c>
      <c r="AP12" s="319">
        <v>0.51580000000000004</v>
      </c>
      <c r="AQ12" s="319">
        <v>0</v>
      </c>
      <c r="AR12" s="319">
        <v>0.47299999999999998</v>
      </c>
      <c r="AS12" s="319">
        <v>0.55959999999999999</v>
      </c>
      <c r="AT12" s="331">
        <v>0.21440000000000001</v>
      </c>
      <c r="AU12" s="336">
        <v>9.9335000000000004</v>
      </c>
      <c r="AV12" s="329">
        <v>11.7508</v>
      </c>
      <c r="AW12" s="337">
        <v>4.5032000000000014</v>
      </c>
      <c r="AX12" s="334"/>
      <c r="AY12" s="323">
        <v>7.8219999999999983</v>
      </c>
      <c r="AZ12" s="323">
        <v>9.8863000000000003</v>
      </c>
      <c r="BA12" s="323">
        <v>4.0570999999999993</v>
      </c>
      <c r="BB12" s="319"/>
      <c r="BC12" s="321">
        <f t="shared" si="0"/>
        <v>1.2699437484019436</v>
      </c>
      <c r="BD12" s="321">
        <f t="shared" si="1"/>
        <v>1.1885943173887097</v>
      </c>
      <c r="BE12" s="321">
        <f t="shared" si="2"/>
        <v>1.1099553868526786</v>
      </c>
      <c r="BG12" s="22">
        <f t="shared" si="3"/>
        <v>2.886579864025407E-15</v>
      </c>
      <c r="BH12" s="22">
        <f t="shared" si="4"/>
        <v>5.5511151231257827E-16</v>
      </c>
      <c r="BI12" s="22">
        <f t="shared" si="5"/>
        <v>1.4432899320127035E-15</v>
      </c>
    </row>
    <row r="13" spans="1:61" x14ac:dyDescent="0.25">
      <c r="B13" s="312">
        <v>6</v>
      </c>
      <c r="C13" s="312" t="s">
        <v>469</v>
      </c>
      <c r="D13" s="312" t="s">
        <v>946</v>
      </c>
      <c r="E13" s="312">
        <v>9</v>
      </c>
      <c r="F13" s="312">
        <v>3</v>
      </c>
      <c r="G13" s="313" t="s">
        <v>177</v>
      </c>
      <c r="H13" s="313"/>
      <c r="I13" s="313">
        <v>5692.97</v>
      </c>
      <c r="J13" s="312">
        <v>171.10000000000036</v>
      </c>
      <c r="K13" s="312">
        <v>5091.87</v>
      </c>
      <c r="L13" s="312">
        <v>430</v>
      </c>
      <c r="M13" s="317"/>
      <c r="N13" s="319">
        <v>0.17699999999999999</v>
      </c>
      <c r="O13" s="319">
        <v>0.10150000000000001</v>
      </c>
      <c r="P13" s="319">
        <v>0.28089999999999998</v>
      </c>
      <c r="Q13" s="319">
        <v>8.3299999999999999E-2</v>
      </c>
      <c r="R13" s="319">
        <v>2.3199999999999998E-2</v>
      </c>
      <c r="S13" s="319">
        <v>0.25840000000000002</v>
      </c>
      <c r="T13" s="319">
        <v>0</v>
      </c>
      <c r="U13" s="319">
        <v>0.63149999999999995</v>
      </c>
      <c r="V13" s="319">
        <v>1.8293999999999999</v>
      </c>
      <c r="W13" s="319">
        <v>3.5299999999999998E-2</v>
      </c>
      <c r="X13" s="319">
        <v>0.15</v>
      </c>
      <c r="Y13" s="319">
        <v>0</v>
      </c>
      <c r="Z13" s="319">
        <v>2.1236000000000002</v>
      </c>
      <c r="AA13" s="319">
        <v>0.2293</v>
      </c>
      <c r="AB13" s="319">
        <v>0.36409999999999998</v>
      </c>
      <c r="AC13" s="319">
        <v>0.1188</v>
      </c>
      <c r="AD13" s="319">
        <v>0.154</v>
      </c>
      <c r="AE13" s="319">
        <v>4.4999999999999998E-2</v>
      </c>
      <c r="AF13" s="319">
        <v>9.9400000000000002E-2</v>
      </c>
      <c r="AG13" s="319">
        <v>2.9700000000000001E-2</v>
      </c>
      <c r="AH13" s="319">
        <v>0</v>
      </c>
      <c r="AI13" s="319">
        <v>1.2839</v>
      </c>
      <c r="AJ13" s="319">
        <v>1.6929000000000001</v>
      </c>
      <c r="AK13" s="319">
        <v>9.2299999999999993E-2</v>
      </c>
      <c r="AL13" s="319">
        <v>0.3594</v>
      </c>
      <c r="AM13" s="319">
        <v>3.39E-2</v>
      </c>
      <c r="AN13" s="319">
        <v>5.4999999999999997E-3</v>
      </c>
      <c r="AO13" s="319">
        <v>0.15140000000000001</v>
      </c>
      <c r="AP13" s="319">
        <v>0.51229999999999998</v>
      </c>
      <c r="AQ13" s="319">
        <v>0</v>
      </c>
      <c r="AR13" s="319">
        <v>0.42449999999999999</v>
      </c>
      <c r="AS13" s="319">
        <v>0.54330000000000001</v>
      </c>
      <c r="AT13" s="331">
        <v>0.25009999999999999</v>
      </c>
      <c r="AU13" s="336">
        <v>8.9134999999999991</v>
      </c>
      <c r="AV13" s="329">
        <v>11.409299999999998</v>
      </c>
      <c r="AW13" s="337">
        <v>5.2514999999999983</v>
      </c>
      <c r="AX13" s="334"/>
      <c r="AY13" s="323">
        <v>7.0187999999999997</v>
      </c>
      <c r="AZ13" s="323">
        <v>9.8791999999999991</v>
      </c>
      <c r="BA13" s="323">
        <v>4.5878999999999994</v>
      </c>
      <c r="BB13" s="319"/>
      <c r="BC13" s="321">
        <f t="shared" si="0"/>
        <v>1.2699464295891034</v>
      </c>
      <c r="BD13" s="321">
        <f t="shared" si="1"/>
        <v>1.1548809620212162</v>
      </c>
      <c r="BE13" s="321">
        <f t="shared" si="2"/>
        <v>1.1446413391747856</v>
      </c>
      <c r="BG13" s="22">
        <f t="shared" si="3"/>
        <v>-8.8817841970012523E-16</v>
      </c>
      <c r="BH13" s="22">
        <f t="shared" si="4"/>
        <v>-1.8596235662471372E-15</v>
      </c>
      <c r="BI13" s="22">
        <f t="shared" si="5"/>
        <v>-7.4940054162198066E-16</v>
      </c>
    </row>
    <row r="14" spans="1:61" x14ac:dyDescent="0.25">
      <c r="B14" s="312">
        <v>7</v>
      </c>
      <c r="C14" s="312" t="s">
        <v>471</v>
      </c>
      <c r="D14" s="312" t="s">
        <v>946</v>
      </c>
      <c r="E14" s="312">
        <v>9</v>
      </c>
      <c r="F14" s="312">
        <v>2</v>
      </c>
      <c r="G14" s="313" t="s">
        <v>178</v>
      </c>
      <c r="H14" s="313"/>
      <c r="I14" s="313">
        <v>4220.8</v>
      </c>
      <c r="J14" s="312">
        <v>466.40000000000009</v>
      </c>
      <c r="K14" s="312">
        <v>3754.4</v>
      </c>
      <c r="L14" s="312">
        <v>0</v>
      </c>
      <c r="M14" s="317"/>
      <c r="N14" s="319">
        <v>0.1653</v>
      </c>
      <c r="O14" s="319">
        <v>0.109</v>
      </c>
      <c r="P14" s="319">
        <v>0.25540000000000002</v>
      </c>
      <c r="Q14" s="319">
        <v>7.2999999999999995E-2</v>
      </c>
      <c r="R14" s="319">
        <v>2.0799999999999999E-2</v>
      </c>
      <c r="S14" s="319">
        <v>0.21460000000000001</v>
      </c>
      <c r="T14" s="319">
        <v>0</v>
      </c>
      <c r="U14" s="319">
        <v>0.63149999999999995</v>
      </c>
      <c r="V14" s="319">
        <v>1.8255999999999999</v>
      </c>
      <c r="W14" s="319">
        <v>0</v>
      </c>
      <c r="X14" s="319">
        <v>0.13489999999999999</v>
      </c>
      <c r="Y14" s="319">
        <v>0</v>
      </c>
      <c r="Z14" s="319">
        <v>1.8585</v>
      </c>
      <c r="AA14" s="319">
        <v>0.21510000000000001</v>
      </c>
      <c r="AB14" s="319">
        <v>0.3765</v>
      </c>
      <c r="AC14" s="319">
        <v>0.13020000000000001</v>
      </c>
      <c r="AD14" s="319">
        <v>0.115</v>
      </c>
      <c r="AE14" s="319">
        <v>4.0500000000000001E-2</v>
      </c>
      <c r="AF14" s="319">
        <v>7.8299999999999995E-2</v>
      </c>
      <c r="AG14" s="319">
        <v>3.1E-2</v>
      </c>
      <c r="AH14" s="319">
        <v>0</v>
      </c>
      <c r="AI14" s="319">
        <v>1.7609999999999999</v>
      </c>
      <c r="AJ14" s="319">
        <v>1.3404</v>
      </c>
      <c r="AK14" s="319">
        <v>8.5300000000000001E-2</v>
      </c>
      <c r="AL14" s="319">
        <v>0.38669999999999999</v>
      </c>
      <c r="AM14" s="319">
        <v>3.8100000000000002E-2</v>
      </c>
      <c r="AN14" s="319">
        <v>6.1999999999999998E-3</v>
      </c>
      <c r="AO14" s="319">
        <v>0.1925</v>
      </c>
      <c r="AP14" s="319">
        <v>0.75819999999999999</v>
      </c>
      <c r="AQ14" s="319">
        <v>0</v>
      </c>
      <c r="AR14" s="319">
        <v>0.41299999999999998</v>
      </c>
      <c r="AS14" s="319">
        <v>0.54220000000000002</v>
      </c>
      <c r="AT14" s="331">
        <v>0.22900000000000001</v>
      </c>
      <c r="AU14" s="336">
        <v>8.6728000000000005</v>
      </c>
      <c r="AV14" s="329">
        <v>11.3858</v>
      </c>
      <c r="AW14" s="337">
        <v>4.8081999999999994</v>
      </c>
      <c r="AX14" s="334"/>
      <c r="AY14" s="323">
        <v>6.8293000000000008</v>
      </c>
      <c r="AZ14" s="323">
        <v>9.8414999999999999</v>
      </c>
      <c r="BA14" s="323">
        <v>4.2416999999999998</v>
      </c>
      <c r="BB14" s="319"/>
      <c r="BC14" s="321">
        <f t="shared" si="0"/>
        <v>1.2699398181365587</v>
      </c>
      <c r="BD14" s="321">
        <f t="shared" si="1"/>
        <v>1.1569171366153532</v>
      </c>
      <c r="BE14" s="321">
        <f t="shared" si="2"/>
        <v>1.1335549425937712</v>
      </c>
      <c r="BG14" s="22">
        <f t="shared" si="3"/>
        <v>1.0547118733938987E-15</v>
      </c>
      <c r="BH14" s="22">
        <f t="shared" si="4"/>
        <v>-3.8857805861880479E-16</v>
      </c>
      <c r="BI14" s="22">
        <f t="shared" si="5"/>
        <v>-3.8857805861880479E-16</v>
      </c>
    </row>
    <row r="15" spans="1:61" x14ac:dyDescent="0.25">
      <c r="B15" s="312">
        <v>8</v>
      </c>
      <c r="C15" s="312" t="s">
        <v>473</v>
      </c>
      <c r="D15" s="312" t="s">
        <v>946</v>
      </c>
      <c r="E15" s="312">
        <v>9</v>
      </c>
      <c r="F15" s="312">
        <v>3</v>
      </c>
      <c r="G15" s="313" t="s">
        <v>180</v>
      </c>
      <c r="H15" s="313"/>
      <c r="I15" s="313">
        <v>6173.06</v>
      </c>
      <c r="J15" s="312">
        <v>686.40000000000055</v>
      </c>
      <c r="K15" s="312">
        <v>5486.66</v>
      </c>
      <c r="L15" s="312">
        <v>0</v>
      </c>
      <c r="M15" s="317"/>
      <c r="N15" s="319">
        <v>0.1239</v>
      </c>
      <c r="O15" s="319">
        <v>9.3600000000000003E-2</v>
      </c>
      <c r="P15" s="319">
        <v>0.2757</v>
      </c>
      <c r="Q15" s="319">
        <v>7.5700000000000003E-2</v>
      </c>
      <c r="R15" s="319">
        <v>1.6199999999999999E-2</v>
      </c>
      <c r="S15" s="319">
        <v>0.24940000000000001</v>
      </c>
      <c r="T15" s="319">
        <v>0</v>
      </c>
      <c r="U15" s="319">
        <v>0.63149999999999995</v>
      </c>
      <c r="V15" s="319">
        <v>1.6978</v>
      </c>
      <c r="W15" s="319">
        <v>3.2800000000000003E-2</v>
      </c>
      <c r="X15" s="319">
        <v>0.1845</v>
      </c>
      <c r="Y15" s="319">
        <v>0</v>
      </c>
      <c r="Z15" s="319">
        <v>2.0459000000000001</v>
      </c>
      <c r="AA15" s="319">
        <v>0.16400000000000001</v>
      </c>
      <c r="AB15" s="319">
        <v>0.33579999999999999</v>
      </c>
      <c r="AC15" s="319">
        <v>0.1217</v>
      </c>
      <c r="AD15" s="319">
        <v>0.1255</v>
      </c>
      <c r="AE15" s="319">
        <v>3.15E-2</v>
      </c>
      <c r="AF15" s="319">
        <v>9.8299999999999998E-2</v>
      </c>
      <c r="AG15" s="319">
        <v>3.0200000000000001E-2</v>
      </c>
      <c r="AH15" s="319">
        <v>0</v>
      </c>
      <c r="AI15" s="319">
        <v>1.1572</v>
      </c>
      <c r="AJ15" s="319">
        <v>1.5705</v>
      </c>
      <c r="AK15" s="319">
        <v>8.3500000000000005E-2</v>
      </c>
      <c r="AL15" s="319">
        <v>0.39889999999999998</v>
      </c>
      <c r="AM15" s="319">
        <v>3.7400000000000003E-2</v>
      </c>
      <c r="AN15" s="319">
        <v>6.1000000000000004E-3</v>
      </c>
      <c r="AO15" s="319">
        <v>0.40250000000000002</v>
      </c>
      <c r="AP15" s="319">
        <v>0.82920000000000005</v>
      </c>
      <c r="AQ15" s="319">
        <v>0</v>
      </c>
      <c r="AR15" s="319">
        <v>0.41299999999999998</v>
      </c>
      <c r="AS15" s="319">
        <v>0.54100000000000004</v>
      </c>
      <c r="AT15" s="331">
        <v>0.23649999999999999</v>
      </c>
      <c r="AU15" s="336">
        <v>8.6725000000000012</v>
      </c>
      <c r="AV15" s="329">
        <v>11.360300000000001</v>
      </c>
      <c r="AW15" s="337">
        <v>4.9669000000000016</v>
      </c>
      <c r="AX15" s="334"/>
      <c r="AY15" s="323">
        <v>6.9057000000000004</v>
      </c>
      <c r="AZ15" s="323">
        <v>9.5849000000000011</v>
      </c>
      <c r="BA15" s="323">
        <v>4.1638000000000002</v>
      </c>
      <c r="BB15" s="319"/>
      <c r="BC15" s="321">
        <f t="shared" si="0"/>
        <v>1.2558466194592874</v>
      </c>
      <c r="BD15" s="321">
        <f t="shared" si="1"/>
        <v>1.1852288495445962</v>
      </c>
      <c r="BE15" s="321">
        <f t="shared" si="2"/>
        <v>1.1928766991690287</v>
      </c>
      <c r="BG15" s="22">
        <f t="shared" si="3"/>
        <v>1.5543122344752192E-15</v>
      </c>
      <c r="BH15" s="22">
        <f t="shared" si="4"/>
        <v>6.3837823915946501E-16</v>
      </c>
      <c r="BI15" s="22">
        <f t="shared" si="5"/>
        <v>1.9706458687096529E-15</v>
      </c>
    </row>
    <row r="16" spans="1:61" x14ac:dyDescent="0.25">
      <c r="B16" s="312">
        <v>9</v>
      </c>
      <c r="C16" s="312" t="s">
        <v>475</v>
      </c>
      <c r="D16" s="312" t="s">
        <v>946</v>
      </c>
      <c r="E16" s="312">
        <v>2</v>
      </c>
      <c r="F16" s="312">
        <v>2</v>
      </c>
      <c r="G16" s="313" t="s">
        <v>7</v>
      </c>
      <c r="H16" s="313"/>
      <c r="I16" s="313">
        <v>635.4</v>
      </c>
      <c r="J16" s="312">
        <v>405.2</v>
      </c>
      <c r="K16" s="312">
        <v>0</v>
      </c>
      <c r="L16" s="312">
        <v>230.2</v>
      </c>
      <c r="M16" s="317"/>
      <c r="N16" s="319">
        <v>0.22509999999999999</v>
      </c>
      <c r="O16" s="319">
        <v>0.104</v>
      </c>
      <c r="P16" s="319">
        <v>0</v>
      </c>
      <c r="Q16" s="319">
        <v>0</v>
      </c>
      <c r="R16" s="319">
        <v>0</v>
      </c>
      <c r="S16" s="319">
        <v>0.30590000000000001</v>
      </c>
      <c r="T16" s="319">
        <v>0</v>
      </c>
      <c r="U16" s="319">
        <v>0.61070000000000002</v>
      </c>
      <c r="V16" s="319">
        <v>0</v>
      </c>
      <c r="W16" s="319">
        <v>0</v>
      </c>
      <c r="X16" s="319">
        <v>0.59740000000000004</v>
      </c>
      <c r="Y16" s="319">
        <v>0</v>
      </c>
      <c r="Z16" s="319">
        <v>1.3346</v>
      </c>
      <c r="AA16" s="319">
        <v>0.161</v>
      </c>
      <c r="AB16" s="319">
        <v>0.53390000000000004</v>
      </c>
      <c r="AC16" s="319">
        <v>0</v>
      </c>
      <c r="AD16" s="319">
        <v>0</v>
      </c>
      <c r="AE16" s="319">
        <v>0</v>
      </c>
      <c r="AF16" s="319">
        <v>8.8999999999999996E-2</v>
      </c>
      <c r="AG16" s="319">
        <v>0.04</v>
      </c>
      <c r="AH16" s="319">
        <v>0</v>
      </c>
      <c r="AI16" s="319">
        <v>3.73</v>
      </c>
      <c r="AJ16" s="319">
        <v>1.5455000000000001</v>
      </c>
      <c r="AK16" s="319">
        <v>0</v>
      </c>
      <c r="AL16" s="319">
        <v>0.75380000000000003</v>
      </c>
      <c r="AM16" s="319">
        <v>0</v>
      </c>
      <c r="AN16" s="319">
        <v>0</v>
      </c>
      <c r="AO16" s="319">
        <v>0.28100000000000003</v>
      </c>
      <c r="AP16" s="319">
        <v>0</v>
      </c>
      <c r="AQ16" s="319">
        <v>0</v>
      </c>
      <c r="AR16" s="319">
        <v>0.51559999999999995</v>
      </c>
      <c r="AS16" s="319">
        <v>0.51559999999999995</v>
      </c>
      <c r="AT16" s="331">
        <v>0.2001</v>
      </c>
      <c r="AU16" s="336">
        <v>10.827500000000001</v>
      </c>
      <c r="AV16" s="329">
        <v>10.827500000000001</v>
      </c>
      <c r="AW16" s="337">
        <v>4.2016999999999998</v>
      </c>
      <c r="AX16" s="334"/>
      <c r="AY16" s="323">
        <v>8.5260000000000016</v>
      </c>
      <c r="AZ16" s="323">
        <v>8.5260000000000016</v>
      </c>
      <c r="BA16" s="323">
        <v>3.9618000000000002</v>
      </c>
      <c r="BB16" s="319"/>
      <c r="BC16" s="321">
        <f t="shared" si="0"/>
        <v>1.2699390100867931</v>
      </c>
      <c r="BD16" s="321">
        <f t="shared" si="1"/>
        <v>1.2699390100867931</v>
      </c>
      <c r="BE16" s="321">
        <f t="shared" si="2"/>
        <v>1.0605532838608711</v>
      </c>
      <c r="BG16" s="22">
        <f t="shared" si="3"/>
        <v>2.4424906541753444E-15</v>
      </c>
      <c r="BH16" s="22">
        <f t="shared" si="4"/>
        <v>0</v>
      </c>
      <c r="BI16" s="22">
        <f t="shared" si="5"/>
        <v>0</v>
      </c>
    </row>
    <row r="17" spans="2:61" x14ac:dyDescent="0.25">
      <c r="B17" s="312">
        <v>10</v>
      </c>
      <c r="C17" s="312" t="s">
        <v>477</v>
      </c>
      <c r="D17" s="312" t="s">
        <v>946</v>
      </c>
      <c r="E17" s="312">
        <v>9</v>
      </c>
      <c r="F17" s="312">
        <v>3</v>
      </c>
      <c r="G17" s="313" t="s">
        <v>181</v>
      </c>
      <c r="H17" s="313"/>
      <c r="I17" s="313">
        <v>6437.8</v>
      </c>
      <c r="J17" s="312">
        <v>534.80000000000018</v>
      </c>
      <c r="K17" s="312">
        <v>5736.2</v>
      </c>
      <c r="L17" s="312">
        <v>166.8</v>
      </c>
      <c r="M17" s="317"/>
      <c r="N17" s="319">
        <v>0.18060000000000001</v>
      </c>
      <c r="O17" s="319">
        <v>8.9800000000000005E-2</v>
      </c>
      <c r="P17" s="319">
        <v>0.27389999999999998</v>
      </c>
      <c r="Q17" s="319">
        <v>7.4800000000000005E-2</v>
      </c>
      <c r="R17" s="319">
        <v>2.0500000000000001E-2</v>
      </c>
      <c r="S17" s="319">
        <v>0.2414</v>
      </c>
      <c r="T17" s="319">
        <v>0</v>
      </c>
      <c r="U17" s="319">
        <v>0.63149999999999995</v>
      </c>
      <c r="V17" s="319">
        <v>1.7923</v>
      </c>
      <c r="W17" s="319">
        <v>0</v>
      </c>
      <c r="X17" s="319">
        <v>0.13020000000000001</v>
      </c>
      <c r="Y17" s="319">
        <v>0</v>
      </c>
      <c r="Z17" s="319">
        <v>1.782</v>
      </c>
      <c r="AA17" s="319">
        <v>0.2341</v>
      </c>
      <c r="AB17" s="319">
        <v>0.32200000000000001</v>
      </c>
      <c r="AC17" s="319">
        <v>0.1207</v>
      </c>
      <c r="AD17" s="319">
        <v>0.12</v>
      </c>
      <c r="AE17" s="319">
        <v>3.9800000000000002E-2</v>
      </c>
      <c r="AF17" s="319">
        <v>9.5600000000000004E-2</v>
      </c>
      <c r="AG17" s="319">
        <v>0.03</v>
      </c>
      <c r="AH17" s="319">
        <v>0</v>
      </c>
      <c r="AI17" s="319">
        <v>1.8917999999999999</v>
      </c>
      <c r="AJ17" s="319">
        <v>1.3754999999999999</v>
      </c>
      <c r="AK17" s="319">
        <v>7.8899999999999998E-2</v>
      </c>
      <c r="AL17" s="319">
        <v>0.28520000000000001</v>
      </c>
      <c r="AM17" s="319">
        <v>3.7600000000000001E-2</v>
      </c>
      <c r="AN17" s="319">
        <v>6.1000000000000004E-3</v>
      </c>
      <c r="AO17" s="319">
        <v>0.19400000000000001</v>
      </c>
      <c r="AP17" s="319">
        <v>0.5766</v>
      </c>
      <c r="AQ17" s="319">
        <v>0</v>
      </c>
      <c r="AR17" s="319">
        <v>0.4128</v>
      </c>
      <c r="AS17" s="319">
        <v>0.53120000000000001</v>
      </c>
      <c r="AT17" s="331">
        <v>0.22550000000000001</v>
      </c>
      <c r="AU17" s="336">
        <v>8.6688000000000009</v>
      </c>
      <c r="AV17" s="329">
        <v>11.1561</v>
      </c>
      <c r="AW17" s="337">
        <v>4.7350000000000003</v>
      </c>
      <c r="AX17" s="334"/>
      <c r="AY17" s="323">
        <v>6.8265000000000002</v>
      </c>
      <c r="AZ17" s="323">
        <v>9.6157000000000004</v>
      </c>
      <c r="BA17" s="323">
        <v>4.1424000000000003</v>
      </c>
      <c r="BB17" s="319"/>
      <c r="BC17" s="321">
        <f t="shared" si="0"/>
        <v>1.2698747528015821</v>
      </c>
      <c r="BD17" s="321">
        <f t="shared" si="1"/>
        <v>1.1601963455598656</v>
      </c>
      <c r="BE17" s="321">
        <f t="shared" si="2"/>
        <v>1.1430571649285439</v>
      </c>
      <c r="BG17" s="22">
        <f t="shared" si="3"/>
        <v>1.3322676295501878E-15</v>
      </c>
      <c r="BH17" s="22">
        <f t="shared" si="4"/>
        <v>0</v>
      </c>
      <c r="BI17" s="22">
        <f t="shared" si="5"/>
        <v>-4.163336342344337E-16</v>
      </c>
    </row>
    <row r="18" spans="2:61" x14ac:dyDescent="0.25">
      <c r="B18" s="312">
        <v>11</v>
      </c>
      <c r="C18" s="312" t="s">
        <v>479</v>
      </c>
      <c r="D18" s="312" t="s">
        <v>946</v>
      </c>
      <c r="E18" s="312">
        <v>9</v>
      </c>
      <c r="F18" s="312">
        <v>3</v>
      </c>
      <c r="G18" s="313" t="s">
        <v>182</v>
      </c>
      <c r="H18" s="313"/>
      <c r="I18" s="313">
        <v>6401.5</v>
      </c>
      <c r="J18" s="312">
        <v>702.19999999999982</v>
      </c>
      <c r="K18" s="312">
        <v>5699.3</v>
      </c>
      <c r="L18" s="312">
        <v>0</v>
      </c>
      <c r="M18" s="317"/>
      <c r="N18" s="319">
        <v>0.1794</v>
      </c>
      <c r="O18" s="319">
        <v>9.0300000000000005E-2</v>
      </c>
      <c r="P18" s="319">
        <v>0.27729999999999999</v>
      </c>
      <c r="Q18" s="319">
        <v>7.5499999999999998E-2</v>
      </c>
      <c r="R18" s="319">
        <v>2.06E-2</v>
      </c>
      <c r="S18" s="319">
        <v>0.24279999999999999</v>
      </c>
      <c r="T18" s="319">
        <v>0</v>
      </c>
      <c r="U18" s="319">
        <v>0.63149999999999995</v>
      </c>
      <c r="V18" s="319">
        <v>1.804</v>
      </c>
      <c r="W18" s="319">
        <v>0</v>
      </c>
      <c r="X18" s="319">
        <v>0.13339999999999999</v>
      </c>
      <c r="Y18" s="319">
        <v>0</v>
      </c>
      <c r="Z18" s="319">
        <v>1.7323</v>
      </c>
      <c r="AA18" s="319">
        <v>0.23300000000000001</v>
      </c>
      <c r="AB18" s="319">
        <v>0.32379999999999998</v>
      </c>
      <c r="AC18" s="319">
        <v>0.12230000000000001</v>
      </c>
      <c r="AD18" s="319">
        <v>0.1205</v>
      </c>
      <c r="AE18" s="319">
        <v>4.0099999999999997E-2</v>
      </c>
      <c r="AF18" s="319">
        <v>9.6199999999999994E-2</v>
      </c>
      <c r="AG18" s="319">
        <v>3.0099999999999998E-2</v>
      </c>
      <c r="AH18" s="319">
        <v>0</v>
      </c>
      <c r="AI18" s="319">
        <v>1.8655999999999999</v>
      </c>
      <c r="AJ18" s="319">
        <v>1.4125000000000001</v>
      </c>
      <c r="AK18" s="319">
        <v>8.3900000000000002E-2</v>
      </c>
      <c r="AL18" s="319">
        <v>0.3594</v>
      </c>
      <c r="AM18" s="319">
        <v>3.6200000000000003E-2</v>
      </c>
      <c r="AN18" s="319">
        <v>5.8999999999999999E-3</v>
      </c>
      <c r="AO18" s="319">
        <v>0.14879999999999999</v>
      </c>
      <c r="AP18" s="319">
        <v>0.5585</v>
      </c>
      <c r="AQ18" s="319">
        <v>0</v>
      </c>
      <c r="AR18" s="319">
        <v>0.41310000000000002</v>
      </c>
      <c r="AS18" s="319">
        <v>0.53120000000000001</v>
      </c>
      <c r="AT18" s="331">
        <v>0.2238</v>
      </c>
      <c r="AU18" s="336">
        <v>8.6744999999999983</v>
      </c>
      <c r="AV18" s="329">
        <v>11.155099999999999</v>
      </c>
      <c r="AW18" s="337">
        <v>4.6988999999999983</v>
      </c>
      <c r="AX18" s="334"/>
      <c r="AY18" s="323">
        <v>6.8468000000000009</v>
      </c>
      <c r="AZ18" s="323">
        <v>9.6313000000000013</v>
      </c>
      <c r="BA18" s="323">
        <v>4.1144000000000016</v>
      </c>
      <c r="BB18" s="319"/>
      <c r="BC18" s="321">
        <f t="shared" si="0"/>
        <v>1.2669422211836183</v>
      </c>
      <c r="BD18" s="321">
        <f t="shared" si="1"/>
        <v>1.1582133253039566</v>
      </c>
      <c r="BE18" s="321">
        <f t="shared" si="2"/>
        <v>1.1420620260548309</v>
      </c>
      <c r="BG18" s="22">
        <f t="shared" si="3"/>
        <v>0</v>
      </c>
      <c r="BH18" s="22">
        <f t="shared" si="4"/>
        <v>0</v>
      </c>
      <c r="BI18" s="22">
        <f t="shared" si="5"/>
        <v>0</v>
      </c>
    </row>
    <row r="19" spans="2:61" x14ac:dyDescent="0.25">
      <c r="B19" s="312">
        <v>12</v>
      </c>
      <c r="C19" s="312" t="s">
        <v>481</v>
      </c>
      <c r="D19" s="312" t="s">
        <v>946</v>
      </c>
      <c r="E19" s="312">
        <v>9</v>
      </c>
      <c r="F19" s="312">
        <v>3</v>
      </c>
      <c r="G19" s="313" t="s">
        <v>183</v>
      </c>
      <c r="H19" s="313"/>
      <c r="I19" s="313">
        <v>6416.8</v>
      </c>
      <c r="J19" s="312">
        <v>705.10000000000036</v>
      </c>
      <c r="K19" s="312">
        <v>5711.7</v>
      </c>
      <c r="L19" s="312">
        <v>0</v>
      </c>
      <c r="M19" s="317"/>
      <c r="N19" s="319">
        <v>0.16239999999999999</v>
      </c>
      <c r="O19" s="319">
        <v>0.1032</v>
      </c>
      <c r="P19" s="319">
        <v>0.27529999999999999</v>
      </c>
      <c r="Q19" s="319">
        <v>7.5499999999999998E-2</v>
      </c>
      <c r="R19" s="319">
        <v>2.06E-2</v>
      </c>
      <c r="S19" s="319">
        <v>0.2422</v>
      </c>
      <c r="T19" s="319">
        <v>0</v>
      </c>
      <c r="U19" s="319">
        <v>0.63149999999999995</v>
      </c>
      <c r="V19" s="319">
        <v>1.6309</v>
      </c>
      <c r="W19" s="319">
        <v>3.15E-2</v>
      </c>
      <c r="X19" s="319">
        <v>0.1331</v>
      </c>
      <c r="Y19" s="319">
        <v>0</v>
      </c>
      <c r="Z19" s="319">
        <v>2.0695999999999999</v>
      </c>
      <c r="AA19" s="319">
        <v>0.21229999999999999</v>
      </c>
      <c r="AB19" s="319">
        <v>0.36969999999999997</v>
      </c>
      <c r="AC19" s="319">
        <v>0.1235</v>
      </c>
      <c r="AD19" s="319">
        <v>0.12529999999999999</v>
      </c>
      <c r="AE19" s="319">
        <v>0.04</v>
      </c>
      <c r="AF19" s="319">
        <v>9.5899999999999999E-2</v>
      </c>
      <c r="AG19" s="319">
        <v>0.03</v>
      </c>
      <c r="AH19" s="319">
        <v>0</v>
      </c>
      <c r="AI19" s="319">
        <v>1.2831999999999999</v>
      </c>
      <c r="AJ19" s="319">
        <v>1.3853</v>
      </c>
      <c r="AK19" s="319">
        <v>8.4199999999999997E-2</v>
      </c>
      <c r="AL19" s="319">
        <v>0.34499999999999997</v>
      </c>
      <c r="AM19" s="319">
        <v>3.8800000000000001E-2</v>
      </c>
      <c r="AN19" s="319">
        <v>6.3E-3</v>
      </c>
      <c r="AO19" s="319">
        <v>0.20569999999999999</v>
      </c>
      <c r="AP19" s="319">
        <v>0.54369999999999996</v>
      </c>
      <c r="AQ19" s="319">
        <v>0</v>
      </c>
      <c r="AR19" s="319">
        <v>0.40289999999999998</v>
      </c>
      <c r="AS19" s="319">
        <v>0.51319999999999999</v>
      </c>
      <c r="AT19" s="331">
        <v>0.24199999999999999</v>
      </c>
      <c r="AU19" s="336">
        <v>8.4615000000000009</v>
      </c>
      <c r="AV19" s="329">
        <v>10.777899999999999</v>
      </c>
      <c r="AW19" s="337">
        <v>5.0814000000000004</v>
      </c>
      <c r="AX19" s="334"/>
      <c r="AY19" s="323">
        <v>6.6631000000000018</v>
      </c>
      <c r="AZ19" s="323">
        <v>9.2100000000000009</v>
      </c>
      <c r="BA19" s="323">
        <v>4.3402000000000012</v>
      </c>
      <c r="BB19" s="319"/>
      <c r="BC19" s="321">
        <f t="shared" si="0"/>
        <v>1.2699043988533865</v>
      </c>
      <c r="BD19" s="321">
        <f t="shared" si="1"/>
        <v>1.1702388707926166</v>
      </c>
      <c r="BE19" s="321">
        <f t="shared" si="2"/>
        <v>1.1707755402976818</v>
      </c>
      <c r="BG19" s="22">
        <f t="shared" si="3"/>
        <v>3.1641356201816961E-15</v>
      </c>
      <c r="BH19" s="22">
        <f t="shared" si="4"/>
        <v>0</v>
      </c>
      <c r="BI19" s="22">
        <f t="shared" si="5"/>
        <v>-6.106226635438361E-16</v>
      </c>
    </row>
    <row r="20" spans="2:61" x14ac:dyDescent="0.25">
      <c r="B20" s="312">
        <v>13</v>
      </c>
      <c r="C20" s="312" t="s">
        <v>483</v>
      </c>
      <c r="D20" s="312" t="s">
        <v>946</v>
      </c>
      <c r="E20" s="312">
        <v>9</v>
      </c>
      <c r="F20" s="312">
        <v>1</v>
      </c>
      <c r="G20" s="313" t="s">
        <v>184</v>
      </c>
      <c r="H20" s="313"/>
      <c r="I20" s="313">
        <v>6528.35</v>
      </c>
      <c r="J20" s="312">
        <v>423.75</v>
      </c>
      <c r="K20" s="312">
        <v>5946.5</v>
      </c>
      <c r="L20" s="312">
        <v>158.1</v>
      </c>
      <c r="M20" s="317"/>
      <c r="N20" s="319">
        <v>8.8099999999999998E-2</v>
      </c>
      <c r="O20" s="319">
        <v>4.0099999999999997E-2</v>
      </c>
      <c r="P20" s="319">
        <v>0.29370000000000002</v>
      </c>
      <c r="Q20" s="319">
        <v>6.3200000000000006E-2</v>
      </c>
      <c r="R20" s="319">
        <v>2.1999999999999999E-2</v>
      </c>
      <c r="S20" s="319">
        <v>0.18990000000000001</v>
      </c>
      <c r="T20" s="319">
        <v>0</v>
      </c>
      <c r="U20" s="319">
        <v>0.63149999999999995</v>
      </c>
      <c r="V20" s="319">
        <v>1.1526000000000001</v>
      </c>
      <c r="W20" s="319">
        <v>0</v>
      </c>
      <c r="X20" s="319">
        <v>0.1163</v>
      </c>
      <c r="Y20" s="319">
        <v>0</v>
      </c>
      <c r="Z20" s="319">
        <v>1.5318000000000001</v>
      </c>
      <c r="AA20" s="319">
        <v>0.12659999999999999</v>
      </c>
      <c r="AB20" s="319">
        <v>0.1444</v>
      </c>
      <c r="AC20" s="319">
        <v>0.1265</v>
      </c>
      <c r="AD20" s="319">
        <v>6.7000000000000004E-2</v>
      </c>
      <c r="AE20" s="319">
        <v>4.2900000000000001E-2</v>
      </c>
      <c r="AF20" s="319">
        <v>4.1000000000000002E-2</v>
      </c>
      <c r="AG20" s="319">
        <v>0</v>
      </c>
      <c r="AH20" s="319">
        <v>0</v>
      </c>
      <c r="AI20" s="319">
        <v>2.1714000000000002</v>
      </c>
      <c r="AJ20" s="319">
        <v>1.1459999999999999</v>
      </c>
      <c r="AK20" s="319">
        <v>8.8800000000000004E-2</v>
      </c>
      <c r="AL20" s="319">
        <v>0.58720000000000006</v>
      </c>
      <c r="AM20" s="319">
        <v>3.8300000000000001E-2</v>
      </c>
      <c r="AN20" s="319">
        <v>6.1999999999999998E-3</v>
      </c>
      <c r="AO20" s="319">
        <v>6.4199999999999993E-2</v>
      </c>
      <c r="AP20" s="319">
        <v>0.5222</v>
      </c>
      <c r="AQ20" s="319">
        <v>0</v>
      </c>
      <c r="AR20" s="319">
        <v>0.38140000000000002</v>
      </c>
      <c r="AS20" s="319">
        <v>0.46510000000000001</v>
      </c>
      <c r="AT20" s="331">
        <v>0.18290000000000001</v>
      </c>
      <c r="AU20" s="336">
        <v>8.0084999999999997</v>
      </c>
      <c r="AV20" s="329">
        <v>9.7669999999999995</v>
      </c>
      <c r="AW20" s="337">
        <v>3.8412000000000006</v>
      </c>
      <c r="AX20" s="334"/>
      <c r="AY20" s="323">
        <v>6.0818999999999992</v>
      </c>
      <c r="AZ20" s="323">
        <v>8.0916999999999994</v>
      </c>
      <c r="BA20" s="323">
        <v>3.4810999999999996</v>
      </c>
      <c r="BB20" s="319"/>
      <c r="BC20" s="321">
        <f t="shared" si="0"/>
        <v>1.3167760074976571</v>
      </c>
      <c r="BD20" s="321">
        <f t="shared" si="1"/>
        <v>1.2070393118874896</v>
      </c>
      <c r="BE20" s="321">
        <f t="shared" si="2"/>
        <v>1.1034443135790415</v>
      </c>
      <c r="BG20" s="22">
        <f t="shared" si="3"/>
        <v>-7.7715611723760958E-16</v>
      </c>
      <c r="BH20" s="22">
        <f t="shared" si="4"/>
        <v>9.298117831235686E-16</v>
      </c>
      <c r="BI20" s="22">
        <f t="shared" si="5"/>
        <v>2.6367796834847468E-16</v>
      </c>
    </row>
    <row r="21" spans="2:61" x14ac:dyDescent="0.25">
      <c r="B21" s="312">
        <v>14</v>
      </c>
      <c r="C21" s="312" t="s">
        <v>485</v>
      </c>
      <c r="D21" s="312" t="s">
        <v>946</v>
      </c>
      <c r="E21" s="312">
        <v>2</v>
      </c>
      <c r="F21" s="312">
        <v>3</v>
      </c>
      <c r="G21" s="313" t="s">
        <v>9</v>
      </c>
      <c r="H21" s="313"/>
      <c r="I21" s="313">
        <v>932</v>
      </c>
      <c r="J21" s="312">
        <v>932</v>
      </c>
      <c r="K21" s="312">
        <v>0</v>
      </c>
      <c r="L21" s="312">
        <v>0</v>
      </c>
      <c r="M21" s="317"/>
      <c r="N21" s="319">
        <v>0.156</v>
      </c>
      <c r="O21" s="319">
        <v>9.8699999999999996E-2</v>
      </c>
      <c r="P21" s="319">
        <v>0.36430000000000001</v>
      </c>
      <c r="Q21" s="319">
        <v>7.1400000000000005E-2</v>
      </c>
      <c r="R21" s="319">
        <v>0</v>
      </c>
      <c r="S21" s="319">
        <v>0.58520000000000005</v>
      </c>
      <c r="T21" s="319">
        <v>0</v>
      </c>
      <c r="U21" s="319">
        <v>0.63149999999999995</v>
      </c>
      <c r="V21" s="319">
        <v>0</v>
      </c>
      <c r="W21" s="319">
        <v>0</v>
      </c>
      <c r="X21" s="319">
        <v>0.1358</v>
      </c>
      <c r="Y21" s="319">
        <v>0</v>
      </c>
      <c r="Z21" s="319">
        <v>1.4052</v>
      </c>
      <c r="AA21" s="319">
        <v>0.20269999999999999</v>
      </c>
      <c r="AB21" s="319">
        <v>0.36220000000000002</v>
      </c>
      <c r="AC21" s="319">
        <v>9.1700000000000004E-2</v>
      </c>
      <c r="AD21" s="319">
        <v>0.1231</v>
      </c>
      <c r="AE21" s="319">
        <v>0</v>
      </c>
      <c r="AF21" s="319">
        <v>0.14399999999999999</v>
      </c>
      <c r="AG21" s="319">
        <v>4.4200000000000003E-2</v>
      </c>
      <c r="AH21" s="319">
        <v>0</v>
      </c>
      <c r="AI21" s="319">
        <v>2.8563000000000001</v>
      </c>
      <c r="AJ21" s="319">
        <v>1.1818</v>
      </c>
      <c r="AK21" s="319">
        <v>8.2000000000000003E-2</v>
      </c>
      <c r="AL21" s="319">
        <v>0.93110000000000004</v>
      </c>
      <c r="AM21" s="319">
        <v>0.17330000000000001</v>
      </c>
      <c r="AN21" s="319">
        <v>2.81E-2</v>
      </c>
      <c r="AO21" s="319">
        <v>0.49430000000000002</v>
      </c>
      <c r="AP21" s="319">
        <v>0</v>
      </c>
      <c r="AQ21" s="319">
        <v>0</v>
      </c>
      <c r="AR21" s="319">
        <v>0.5081</v>
      </c>
      <c r="AS21" s="319">
        <v>0.5081</v>
      </c>
      <c r="AT21" s="331">
        <v>0.23499999999999999</v>
      </c>
      <c r="AU21" s="336">
        <v>10.671000000000003</v>
      </c>
      <c r="AV21" s="329">
        <v>10.671000000000003</v>
      </c>
      <c r="AW21" s="337">
        <v>4.934400000000001</v>
      </c>
      <c r="AX21" s="334"/>
      <c r="AY21" s="323">
        <v>8.4027999999999992</v>
      </c>
      <c r="AZ21" s="323">
        <v>8.4027999999999992</v>
      </c>
      <c r="BA21" s="323">
        <v>4.4276999999999997</v>
      </c>
      <c r="BB21" s="319"/>
      <c r="BC21" s="321">
        <f t="shared" si="0"/>
        <v>1.26993383157995</v>
      </c>
      <c r="BD21" s="321">
        <f t="shared" si="1"/>
        <v>1.26993383157995</v>
      </c>
      <c r="BE21" s="321">
        <f t="shared" si="2"/>
        <v>1.1144386476048516</v>
      </c>
      <c r="BG21" s="22">
        <f t="shared" si="3"/>
        <v>3.5527136788005009E-15</v>
      </c>
      <c r="BH21" s="22">
        <f t="shared" si="4"/>
        <v>-4.7184478546569153E-16</v>
      </c>
      <c r="BI21" s="22">
        <f t="shared" si="5"/>
        <v>-4.7184478546569153E-16</v>
      </c>
    </row>
    <row r="22" spans="2:61" x14ac:dyDescent="0.25">
      <c r="B22" s="312">
        <v>15</v>
      </c>
      <c r="C22" s="312" t="s">
        <v>487</v>
      </c>
      <c r="D22" s="312"/>
      <c r="E22" s="312">
        <v>2</v>
      </c>
      <c r="F22" s="312">
        <v>1</v>
      </c>
      <c r="G22" s="313" t="s">
        <v>10</v>
      </c>
      <c r="H22" s="313"/>
      <c r="I22" s="313">
        <v>880.78</v>
      </c>
      <c r="J22" s="312">
        <v>880.78</v>
      </c>
      <c r="K22" s="312">
        <v>0</v>
      </c>
      <c r="L22" s="312">
        <v>0</v>
      </c>
      <c r="M22" s="317"/>
      <c r="N22" s="319">
        <v>0.1857</v>
      </c>
      <c r="O22" s="319">
        <v>0.17230000000000001</v>
      </c>
      <c r="P22" s="319">
        <v>0.32979999999999998</v>
      </c>
      <c r="Q22" s="319">
        <v>0</v>
      </c>
      <c r="R22" s="319">
        <v>0</v>
      </c>
      <c r="S22" s="319">
        <v>0.17510000000000001</v>
      </c>
      <c r="T22" s="319">
        <v>0</v>
      </c>
      <c r="U22" s="319">
        <v>0.62080000000000002</v>
      </c>
      <c r="V22" s="319">
        <v>0</v>
      </c>
      <c r="W22" s="319">
        <v>0</v>
      </c>
      <c r="X22" s="319">
        <v>2.69E-2</v>
      </c>
      <c r="Y22" s="319">
        <v>0</v>
      </c>
      <c r="Z22" s="319">
        <v>1.6395</v>
      </c>
      <c r="AA22" s="319">
        <v>0.34139999999999998</v>
      </c>
      <c r="AB22" s="319">
        <v>0.3639</v>
      </c>
      <c r="AC22" s="319">
        <v>8.5199999999999998E-2</v>
      </c>
      <c r="AD22" s="319">
        <v>0</v>
      </c>
      <c r="AE22" s="319">
        <v>0</v>
      </c>
      <c r="AF22" s="319">
        <v>2.5000000000000001E-2</v>
      </c>
      <c r="AG22" s="319">
        <v>0.04</v>
      </c>
      <c r="AH22" s="319">
        <v>0</v>
      </c>
      <c r="AI22" s="319">
        <v>3.6109</v>
      </c>
      <c r="AJ22" s="319">
        <v>0.78869999999999996</v>
      </c>
      <c r="AK22" s="319">
        <v>0</v>
      </c>
      <c r="AL22" s="319">
        <v>0.80059999999999998</v>
      </c>
      <c r="AM22" s="319">
        <v>0</v>
      </c>
      <c r="AN22" s="319">
        <v>0</v>
      </c>
      <c r="AO22" s="319">
        <v>0.999</v>
      </c>
      <c r="AP22" s="319">
        <v>0</v>
      </c>
      <c r="AQ22" s="319">
        <v>0</v>
      </c>
      <c r="AR22" s="319">
        <v>0.51019999999999999</v>
      </c>
      <c r="AS22" s="319">
        <v>0.51019999999999999</v>
      </c>
      <c r="AT22" s="331">
        <v>0.20030000000000001</v>
      </c>
      <c r="AU22" s="336">
        <v>10.715</v>
      </c>
      <c r="AV22" s="329">
        <v>10.715</v>
      </c>
      <c r="AW22" s="337">
        <v>4.2059000000000006</v>
      </c>
      <c r="AX22" s="334"/>
      <c r="AY22" s="323">
        <v>8.5299999999999994</v>
      </c>
      <c r="AZ22" s="323">
        <v>8.5299999999999994</v>
      </c>
      <c r="BA22" s="323">
        <v>3.7541999999999991</v>
      </c>
      <c r="BB22" s="319"/>
      <c r="BC22" s="321">
        <f t="shared" si="0"/>
        <v>1.2561547479484174</v>
      </c>
      <c r="BD22" s="321">
        <f t="shared" si="1"/>
        <v>1.2561547479484174</v>
      </c>
      <c r="BE22" s="321">
        <f t="shared" si="2"/>
        <v>1.1203185765276229</v>
      </c>
      <c r="BG22" s="22">
        <f t="shared" si="3"/>
        <v>-2.9976021664879227E-15</v>
      </c>
      <c r="BH22" s="22">
        <f t="shared" si="4"/>
        <v>0</v>
      </c>
      <c r="BI22" s="22">
        <f t="shared" si="5"/>
        <v>0</v>
      </c>
    </row>
    <row r="23" spans="2:61" x14ac:dyDescent="0.25">
      <c r="B23" s="312">
        <v>16</v>
      </c>
      <c r="C23" s="312" t="s">
        <v>489</v>
      </c>
      <c r="D23" s="312"/>
      <c r="E23" s="312">
        <v>2</v>
      </c>
      <c r="F23" s="312">
        <v>2</v>
      </c>
      <c r="G23" s="313" t="s">
        <v>12</v>
      </c>
      <c r="H23" s="313"/>
      <c r="I23" s="313">
        <v>625.79999999999995</v>
      </c>
      <c r="J23" s="312">
        <v>625.79999999999995</v>
      </c>
      <c r="K23" s="312">
        <v>0</v>
      </c>
      <c r="L23" s="312">
        <v>0</v>
      </c>
      <c r="M23" s="317"/>
      <c r="N23" s="319">
        <v>0.2324</v>
      </c>
      <c r="O23" s="319">
        <v>0.1469</v>
      </c>
      <c r="P23" s="319">
        <v>0.2797</v>
      </c>
      <c r="Q23" s="319">
        <v>0</v>
      </c>
      <c r="R23" s="319">
        <v>0</v>
      </c>
      <c r="S23" s="319">
        <v>0.4652</v>
      </c>
      <c r="T23" s="319">
        <v>0</v>
      </c>
      <c r="U23" s="319">
        <v>0.62080000000000002</v>
      </c>
      <c r="V23" s="319">
        <v>0</v>
      </c>
      <c r="W23" s="319">
        <v>0</v>
      </c>
      <c r="X23" s="319">
        <v>0.60650000000000004</v>
      </c>
      <c r="Y23" s="319">
        <v>0</v>
      </c>
      <c r="Z23" s="319">
        <v>0.97360000000000002</v>
      </c>
      <c r="AA23" s="319">
        <v>0.2616</v>
      </c>
      <c r="AB23" s="319">
        <v>0.38619999999999999</v>
      </c>
      <c r="AC23" s="319">
        <v>5.8999999999999997E-2</v>
      </c>
      <c r="AD23" s="319">
        <v>0</v>
      </c>
      <c r="AE23" s="319">
        <v>0</v>
      </c>
      <c r="AF23" s="319">
        <v>0.09</v>
      </c>
      <c r="AG23" s="319">
        <v>4.0399999999999998E-2</v>
      </c>
      <c r="AH23" s="319">
        <v>0</v>
      </c>
      <c r="AI23" s="319">
        <v>3.5070999999999999</v>
      </c>
      <c r="AJ23" s="319">
        <v>0.9909</v>
      </c>
      <c r="AK23" s="319">
        <v>0</v>
      </c>
      <c r="AL23" s="319">
        <v>1.0809</v>
      </c>
      <c r="AM23" s="319">
        <v>0</v>
      </c>
      <c r="AN23" s="319">
        <v>0</v>
      </c>
      <c r="AO23" s="319">
        <v>1.7699</v>
      </c>
      <c r="AP23" s="319">
        <v>0</v>
      </c>
      <c r="AQ23" s="319">
        <v>0</v>
      </c>
      <c r="AR23" s="319">
        <v>0.5756</v>
      </c>
      <c r="AS23" s="319">
        <v>0.5756</v>
      </c>
      <c r="AT23" s="331">
        <v>0.20810000000000001</v>
      </c>
      <c r="AU23" s="336">
        <v>12.086699999999999</v>
      </c>
      <c r="AV23" s="329">
        <v>12.086699999999999</v>
      </c>
      <c r="AW23" s="337">
        <v>4.3704000000000001</v>
      </c>
      <c r="AX23" s="334"/>
      <c r="AY23" s="323">
        <v>9.5178000000000011</v>
      </c>
      <c r="AZ23" s="323">
        <v>9.5178000000000011</v>
      </c>
      <c r="BA23" s="323">
        <v>4.0602</v>
      </c>
      <c r="BB23" s="319"/>
      <c r="BC23" s="321">
        <f t="shared" si="0"/>
        <v>1.2699048099350687</v>
      </c>
      <c r="BD23" s="321">
        <f t="shared" si="1"/>
        <v>1.2699048099350687</v>
      </c>
      <c r="BE23" s="321">
        <f t="shared" si="2"/>
        <v>1.076400177331166</v>
      </c>
      <c r="BG23" s="22">
        <f t="shared" si="3"/>
        <v>1.2212453270876722E-15</v>
      </c>
      <c r="BH23" s="22">
        <f t="shared" si="4"/>
        <v>-4.163336342344337E-16</v>
      </c>
      <c r="BI23" s="22">
        <f t="shared" si="5"/>
        <v>-4.163336342344337E-16</v>
      </c>
    </row>
    <row r="24" spans="2:61" x14ac:dyDescent="0.25">
      <c r="B24" s="312">
        <v>17</v>
      </c>
      <c r="C24" s="312" t="s">
        <v>491</v>
      </c>
      <c r="D24" s="312"/>
      <c r="E24" s="312">
        <v>2</v>
      </c>
      <c r="F24" s="312">
        <v>2</v>
      </c>
      <c r="G24" s="313" t="s">
        <v>13</v>
      </c>
      <c r="H24" s="313"/>
      <c r="I24" s="313">
        <v>751.4</v>
      </c>
      <c r="J24" s="312">
        <v>751.4</v>
      </c>
      <c r="K24" s="312">
        <v>0</v>
      </c>
      <c r="L24" s="312">
        <v>0</v>
      </c>
      <c r="M24" s="317"/>
      <c r="N24" s="319">
        <v>0.19350000000000001</v>
      </c>
      <c r="O24" s="319">
        <v>0.12239999999999999</v>
      </c>
      <c r="P24" s="319">
        <v>0.3211</v>
      </c>
      <c r="Q24" s="319">
        <v>0</v>
      </c>
      <c r="R24" s="319">
        <v>0</v>
      </c>
      <c r="S24" s="319">
        <v>0.38750000000000001</v>
      </c>
      <c r="T24" s="319">
        <v>0</v>
      </c>
      <c r="U24" s="319">
        <v>0.62080000000000002</v>
      </c>
      <c r="V24" s="319">
        <v>0</v>
      </c>
      <c r="W24" s="319">
        <v>0</v>
      </c>
      <c r="X24" s="319">
        <v>0.50509999999999999</v>
      </c>
      <c r="Y24" s="319">
        <v>0</v>
      </c>
      <c r="Z24" s="319">
        <v>1.6045</v>
      </c>
      <c r="AA24" s="319">
        <v>0.25140000000000001</v>
      </c>
      <c r="AB24" s="319">
        <v>0.48159999999999997</v>
      </c>
      <c r="AC24" s="319">
        <v>7.6300000000000007E-2</v>
      </c>
      <c r="AD24" s="319">
        <v>0</v>
      </c>
      <c r="AE24" s="319">
        <v>0</v>
      </c>
      <c r="AF24" s="319">
        <v>8.9499999999999996E-2</v>
      </c>
      <c r="AG24" s="319">
        <v>3.7900000000000003E-2</v>
      </c>
      <c r="AH24" s="319">
        <v>0</v>
      </c>
      <c r="AI24" s="319">
        <v>3.6036999999999999</v>
      </c>
      <c r="AJ24" s="319">
        <v>1.1819</v>
      </c>
      <c r="AK24" s="319">
        <v>8.8499999999999995E-2</v>
      </c>
      <c r="AL24" s="319">
        <v>0.96560000000000001</v>
      </c>
      <c r="AM24" s="319">
        <v>5.5500000000000001E-2</v>
      </c>
      <c r="AN24" s="319">
        <v>8.9999999999999993E-3</v>
      </c>
      <c r="AO24" s="319">
        <v>0.4133</v>
      </c>
      <c r="AP24" s="319">
        <v>0</v>
      </c>
      <c r="AQ24" s="319">
        <v>0</v>
      </c>
      <c r="AR24" s="319">
        <v>0.55049999999999999</v>
      </c>
      <c r="AS24" s="319">
        <v>0.55049999999999999</v>
      </c>
      <c r="AT24" s="331">
        <v>0.2422</v>
      </c>
      <c r="AU24" s="336">
        <v>11.559600000000001</v>
      </c>
      <c r="AV24" s="329">
        <v>11.559600000000001</v>
      </c>
      <c r="AW24" s="337">
        <v>5.086800000000002</v>
      </c>
      <c r="AX24" s="334"/>
      <c r="AY24" s="323">
        <v>9.1029999999999998</v>
      </c>
      <c r="AZ24" s="323">
        <v>9.1029999999999998</v>
      </c>
      <c r="BA24" s="323">
        <v>4.1225999999999994</v>
      </c>
      <c r="BB24" s="319"/>
      <c r="BC24" s="321">
        <f t="shared" si="0"/>
        <v>1.2698670767878724</v>
      </c>
      <c r="BD24" s="321">
        <f t="shared" si="1"/>
        <v>1.2698670767878724</v>
      </c>
      <c r="BE24" s="321">
        <f t="shared" si="2"/>
        <v>1.2338815310726248</v>
      </c>
      <c r="BG24" s="22">
        <f t="shared" si="3"/>
        <v>0</v>
      </c>
      <c r="BH24" s="22">
        <f t="shared" si="4"/>
        <v>1.1102230246251565E-15</v>
      </c>
      <c r="BI24" s="22">
        <f t="shared" si="5"/>
        <v>1.1102230246251565E-15</v>
      </c>
    </row>
    <row r="25" spans="2:61" x14ac:dyDescent="0.25">
      <c r="B25" s="312">
        <v>18</v>
      </c>
      <c r="C25" s="312" t="s">
        <v>493</v>
      </c>
      <c r="D25" s="312"/>
      <c r="E25" s="312">
        <v>2</v>
      </c>
      <c r="F25" s="312">
        <v>2</v>
      </c>
      <c r="G25" s="313" t="s">
        <v>14</v>
      </c>
      <c r="H25" s="313"/>
      <c r="I25" s="313">
        <v>705.49</v>
      </c>
      <c r="J25" s="312">
        <v>705.49</v>
      </c>
      <c r="K25" s="312">
        <v>0</v>
      </c>
      <c r="L25" s="312">
        <v>0</v>
      </c>
      <c r="M25" s="317"/>
      <c r="N25" s="319">
        <v>0.2319</v>
      </c>
      <c r="O25" s="319">
        <v>0.14660000000000001</v>
      </c>
      <c r="P25" s="319">
        <v>0.33289999999999997</v>
      </c>
      <c r="Q25" s="319">
        <v>0</v>
      </c>
      <c r="R25" s="319">
        <v>0</v>
      </c>
      <c r="S25" s="319">
        <v>0.42180000000000001</v>
      </c>
      <c r="T25" s="319">
        <v>0</v>
      </c>
      <c r="U25" s="319">
        <v>0.62080000000000002</v>
      </c>
      <c r="V25" s="319">
        <v>0</v>
      </c>
      <c r="W25" s="319">
        <v>0</v>
      </c>
      <c r="X25" s="319">
        <v>0.53800000000000003</v>
      </c>
      <c r="Y25" s="319">
        <v>0</v>
      </c>
      <c r="Z25" s="319">
        <v>1.6980999999999999</v>
      </c>
      <c r="AA25" s="319">
        <v>0.30120000000000002</v>
      </c>
      <c r="AB25" s="319">
        <v>0.36070000000000002</v>
      </c>
      <c r="AC25" s="319">
        <v>8.2100000000000006E-2</v>
      </c>
      <c r="AD25" s="319">
        <v>0</v>
      </c>
      <c r="AE25" s="319">
        <v>0</v>
      </c>
      <c r="AF25" s="319">
        <v>9.2799999999999994E-2</v>
      </c>
      <c r="AG25" s="319">
        <v>3.8100000000000002E-2</v>
      </c>
      <c r="AH25" s="319">
        <v>0</v>
      </c>
      <c r="AI25" s="319">
        <v>4.4371999999999998</v>
      </c>
      <c r="AJ25" s="319">
        <v>0.97040000000000004</v>
      </c>
      <c r="AK25" s="319">
        <v>4.1799999999999997E-2</v>
      </c>
      <c r="AL25" s="319">
        <v>1.0589999999999999</v>
      </c>
      <c r="AM25" s="319">
        <v>5.91E-2</v>
      </c>
      <c r="AN25" s="319">
        <v>9.5999999999999992E-3</v>
      </c>
      <c r="AO25" s="319">
        <v>1.7166999999999999</v>
      </c>
      <c r="AP25" s="319">
        <v>0</v>
      </c>
      <c r="AQ25" s="319">
        <v>0</v>
      </c>
      <c r="AR25" s="319">
        <v>0.65790000000000004</v>
      </c>
      <c r="AS25" s="319">
        <v>0.65790000000000004</v>
      </c>
      <c r="AT25" s="331">
        <v>0.24879999999999999</v>
      </c>
      <c r="AU25" s="336">
        <v>13.816699999999999</v>
      </c>
      <c r="AV25" s="329">
        <v>13.816699999999999</v>
      </c>
      <c r="AW25" s="337">
        <v>5.2243000000000013</v>
      </c>
      <c r="AX25" s="334"/>
      <c r="AY25" s="323">
        <v>10.8825</v>
      </c>
      <c r="AZ25" s="323">
        <v>10.8825</v>
      </c>
      <c r="BA25" s="323">
        <v>4.0785999999999998</v>
      </c>
      <c r="BB25" s="319"/>
      <c r="BC25" s="321">
        <f t="shared" si="0"/>
        <v>1.269625545600735</v>
      </c>
      <c r="BD25" s="321">
        <f t="shared" si="1"/>
        <v>1.269625545600735</v>
      </c>
      <c r="BE25" s="321">
        <f t="shared" si="2"/>
        <v>1.2809052125729421</v>
      </c>
      <c r="BG25" s="22">
        <f t="shared" si="3"/>
        <v>0</v>
      </c>
      <c r="BH25" s="22">
        <f t="shared" si="4"/>
        <v>0</v>
      </c>
      <c r="BI25" s="22">
        <f t="shared" si="5"/>
        <v>1.609823385706477E-15</v>
      </c>
    </row>
    <row r="26" spans="2:61" x14ac:dyDescent="0.25">
      <c r="B26" s="312">
        <v>19</v>
      </c>
      <c r="C26" s="312" t="s">
        <v>495</v>
      </c>
      <c r="D26" s="312"/>
      <c r="E26" s="312">
        <v>1</v>
      </c>
      <c r="F26" s="312">
        <v>0</v>
      </c>
      <c r="G26" s="313" t="s">
        <v>3</v>
      </c>
      <c r="H26" s="313"/>
      <c r="I26" s="313">
        <v>152.30000000000001</v>
      </c>
      <c r="J26" s="312">
        <v>152.30000000000001</v>
      </c>
      <c r="K26" s="312">
        <v>0</v>
      </c>
      <c r="L26" s="312">
        <v>0</v>
      </c>
      <c r="M26" s="317"/>
      <c r="N26" s="319">
        <v>0</v>
      </c>
      <c r="O26" s="319">
        <v>0</v>
      </c>
      <c r="P26" s="319">
        <v>0</v>
      </c>
      <c r="Q26" s="319">
        <v>0</v>
      </c>
      <c r="R26" s="319">
        <v>0</v>
      </c>
      <c r="S26" s="319">
        <v>0</v>
      </c>
      <c r="T26" s="319">
        <v>0</v>
      </c>
      <c r="U26" s="319">
        <v>0</v>
      </c>
      <c r="V26" s="319">
        <v>0</v>
      </c>
      <c r="W26" s="319">
        <v>0</v>
      </c>
      <c r="X26" s="319">
        <v>0</v>
      </c>
      <c r="Y26" s="319">
        <v>0</v>
      </c>
      <c r="Z26" s="319">
        <v>1.6605000000000001</v>
      </c>
      <c r="AA26" s="319">
        <v>0</v>
      </c>
      <c r="AB26" s="319">
        <v>0</v>
      </c>
      <c r="AC26" s="319">
        <v>0</v>
      </c>
      <c r="AD26" s="319">
        <v>0</v>
      </c>
      <c r="AE26" s="319">
        <v>0</v>
      </c>
      <c r="AF26" s="319">
        <v>0</v>
      </c>
      <c r="AG26" s="319">
        <v>0</v>
      </c>
      <c r="AH26" s="319">
        <v>0</v>
      </c>
      <c r="AI26" s="319">
        <v>0</v>
      </c>
      <c r="AJ26" s="319">
        <v>0</v>
      </c>
      <c r="AK26" s="319">
        <v>0</v>
      </c>
      <c r="AL26" s="319">
        <v>0</v>
      </c>
      <c r="AM26" s="319">
        <v>0</v>
      </c>
      <c r="AN26" s="319">
        <v>0</v>
      </c>
      <c r="AO26" s="319">
        <v>0</v>
      </c>
      <c r="AP26" s="319">
        <v>0</v>
      </c>
      <c r="AQ26" s="319">
        <v>0</v>
      </c>
      <c r="AR26" s="319">
        <v>8.3000000000000004E-2</v>
      </c>
      <c r="AS26" s="319">
        <v>8.3000000000000004E-2</v>
      </c>
      <c r="AT26" s="331">
        <v>8.3000000000000004E-2</v>
      </c>
      <c r="AU26" s="336">
        <v>1.7435</v>
      </c>
      <c r="AV26" s="329">
        <v>1.7435</v>
      </c>
      <c r="AW26" s="337">
        <v>1.7435</v>
      </c>
      <c r="AX26" s="334"/>
      <c r="AY26" s="323">
        <v>1.3729</v>
      </c>
      <c r="AZ26" s="323">
        <v>1.3729</v>
      </c>
      <c r="BA26" s="323">
        <v>1.3729</v>
      </c>
      <c r="BB26" s="319"/>
      <c r="BC26" s="321">
        <f t="shared" si="0"/>
        <v>1.2699395440308836</v>
      </c>
      <c r="BD26" s="321">
        <f t="shared" si="1"/>
        <v>1.2699395440308836</v>
      </c>
      <c r="BE26" s="321">
        <f t="shared" si="2"/>
        <v>1.2699395440308836</v>
      </c>
      <c r="BG26" s="22">
        <f t="shared" si="3"/>
        <v>0</v>
      </c>
      <c r="BH26" s="22">
        <f t="shared" si="4"/>
        <v>0</v>
      </c>
      <c r="BI26" s="22">
        <f t="shared" si="5"/>
        <v>0</v>
      </c>
    </row>
    <row r="27" spans="2:61" x14ac:dyDescent="0.25">
      <c r="B27" s="312">
        <v>20</v>
      </c>
      <c r="C27" s="312" t="s">
        <v>497</v>
      </c>
      <c r="D27" s="312"/>
      <c r="E27" s="312">
        <v>7</v>
      </c>
      <c r="F27" s="312">
        <v>1</v>
      </c>
      <c r="G27" s="313" t="s">
        <v>166</v>
      </c>
      <c r="H27" s="313"/>
      <c r="I27" s="313">
        <v>3601.1</v>
      </c>
      <c r="J27" s="312">
        <v>508.52999999999975</v>
      </c>
      <c r="K27" s="312">
        <v>3092.57</v>
      </c>
      <c r="L27" s="312">
        <v>0</v>
      </c>
      <c r="M27" s="317"/>
      <c r="N27" s="319">
        <v>0.1235</v>
      </c>
      <c r="O27" s="319">
        <v>6.3399999999999998E-2</v>
      </c>
      <c r="P27" s="319">
        <v>0.29039999999999999</v>
      </c>
      <c r="Q27" s="319">
        <v>7.0999999999999994E-2</v>
      </c>
      <c r="R27" s="319">
        <v>1.44E-2</v>
      </c>
      <c r="S27" s="319">
        <v>0.22750000000000001</v>
      </c>
      <c r="T27" s="319">
        <v>0</v>
      </c>
      <c r="U27" s="319">
        <v>0.63149999999999995</v>
      </c>
      <c r="V27" s="319">
        <v>0.71740000000000004</v>
      </c>
      <c r="W27" s="319">
        <v>0</v>
      </c>
      <c r="X27" s="319">
        <v>0.19980000000000001</v>
      </c>
      <c r="Y27" s="319">
        <v>0</v>
      </c>
      <c r="Z27" s="319">
        <v>2.4457</v>
      </c>
      <c r="AA27" s="319">
        <v>0.1699</v>
      </c>
      <c r="AB27" s="319">
        <v>0.22689999999999999</v>
      </c>
      <c r="AC27" s="319">
        <v>0.12720000000000001</v>
      </c>
      <c r="AD27" s="319">
        <v>9.9900000000000003E-2</v>
      </c>
      <c r="AE27" s="319">
        <v>2.81E-2</v>
      </c>
      <c r="AF27" s="319">
        <v>6.0499999999999998E-2</v>
      </c>
      <c r="AG27" s="319">
        <v>3.2899999999999999E-2</v>
      </c>
      <c r="AH27" s="319">
        <v>0</v>
      </c>
      <c r="AI27" s="319">
        <v>1.8540000000000001</v>
      </c>
      <c r="AJ27" s="319">
        <v>1.1952</v>
      </c>
      <c r="AK27" s="319">
        <v>0.10829999999999999</v>
      </c>
      <c r="AL27" s="319">
        <v>0.35949999999999999</v>
      </c>
      <c r="AM27" s="319">
        <v>3.9600000000000003E-2</v>
      </c>
      <c r="AN27" s="319">
        <v>6.4000000000000003E-3</v>
      </c>
      <c r="AO27" s="319">
        <v>0.7359</v>
      </c>
      <c r="AP27" s="319">
        <v>0.20080000000000001</v>
      </c>
      <c r="AQ27" s="319">
        <v>0</v>
      </c>
      <c r="AR27" s="319">
        <v>0.4556</v>
      </c>
      <c r="AS27" s="319">
        <v>0.50149999999999995</v>
      </c>
      <c r="AT27" s="331">
        <v>0.24829999999999999</v>
      </c>
      <c r="AU27" s="336">
        <v>9.5670999999999999</v>
      </c>
      <c r="AV27" s="329">
        <v>10.531199999999998</v>
      </c>
      <c r="AW27" s="337">
        <v>5.2151999999999985</v>
      </c>
      <c r="AX27" s="334"/>
      <c r="AY27" s="323">
        <v>7.5797999999999996</v>
      </c>
      <c r="AZ27" s="323">
        <v>8.9034999999999993</v>
      </c>
      <c r="BA27" s="323">
        <v>4.5819000000000001</v>
      </c>
      <c r="BB27" s="319"/>
      <c r="BC27" s="321">
        <f t="shared" si="0"/>
        <v>1.2621836987783319</v>
      </c>
      <c r="BD27" s="321">
        <f t="shared" si="1"/>
        <v>1.182815746616499</v>
      </c>
      <c r="BE27" s="321">
        <f t="shared" si="2"/>
        <v>1.1382177699207749</v>
      </c>
      <c r="BG27" s="22">
        <f t="shared" si="3"/>
        <v>1.7763568394002505E-15</v>
      </c>
      <c r="BH27" s="22">
        <f t="shared" si="4"/>
        <v>0</v>
      </c>
      <c r="BI27" s="22">
        <f t="shared" si="5"/>
        <v>-1.9845236565174673E-15</v>
      </c>
    </row>
    <row r="28" spans="2:61" x14ac:dyDescent="0.25">
      <c r="B28" s="312">
        <v>21</v>
      </c>
      <c r="C28" s="312" t="s">
        <v>499</v>
      </c>
      <c r="D28" s="312"/>
      <c r="E28" s="312">
        <v>5</v>
      </c>
      <c r="F28" s="312">
        <v>4</v>
      </c>
      <c r="G28" s="313" t="s">
        <v>48</v>
      </c>
      <c r="H28" s="313"/>
      <c r="I28" s="313">
        <v>2791.7</v>
      </c>
      <c r="J28" s="312">
        <v>2791.7</v>
      </c>
      <c r="K28" s="312">
        <v>0</v>
      </c>
      <c r="L28" s="312">
        <v>0</v>
      </c>
      <c r="M28" s="317"/>
      <c r="N28" s="319">
        <v>0.1646</v>
      </c>
      <c r="O28" s="319">
        <v>9.1200000000000003E-2</v>
      </c>
      <c r="P28" s="319">
        <v>0.3105</v>
      </c>
      <c r="Q28" s="319">
        <v>7.4200000000000002E-2</v>
      </c>
      <c r="R28" s="319">
        <v>2.86E-2</v>
      </c>
      <c r="S28" s="319">
        <v>0.49270000000000003</v>
      </c>
      <c r="T28" s="319">
        <v>0</v>
      </c>
      <c r="U28" s="319">
        <v>0.63149999999999995</v>
      </c>
      <c r="V28" s="319">
        <v>0</v>
      </c>
      <c r="W28" s="319">
        <v>0</v>
      </c>
      <c r="X28" s="319">
        <v>0.1699</v>
      </c>
      <c r="Y28" s="319">
        <v>0</v>
      </c>
      <c r="Z28" s="319">
        <v>1.9198</v>
      </c>
      <c r="AA28" s="319">
        <v>0.21820000000000001</v>
      </c>
      <c r="AB28" s="319">
        <v>0.3236</v>
      </c>
      <c r="AC28" s="319">
        <v>9.3100000000000002E-2</v>
      </c>
      <c r="AD28" s="319">
        <v>0.10539999999999999</v>
      </c>
      <c r="AE28" s="319">
        <v>5.6300000000000003E-2</v>
      </c>
      <c r="AF28" s="319">
        <v>0.1699</v>
      </c>
      <c r="AG28" s="319">
        <v>3.3300000000000003E-2</v>
      </c>
      <c r="AH28" s="319">
        <v>0</v>
      </c>
      <c r="AI28" s="319">
        <v>2.8450000000000002</v>
      </c>
      <c r="AJ28" s="319">
        <v>1.1323000000000001</v>
      </c>
      <c r="AK28" s="319">
        <v>8.43E-2</v>
      </c>
      <c r="AL28" s="319">
        <v>0.52090000000000003</v>
      </c>
      <c r="AM28" s="319">
        <v>5.0999999999999997E-2</v>
      </c>
      <c r="AN28" s="319">
        <v>8.3000000000000001E-3</v>
      </c>
      <c r="AO28" s="319">
        <v>0.33929999999999999</v>
      </c>
      <c r="AP28" s="319">
        <v>0</v>
      </c>
      <c r="AQ28" s="319">
        <v>0</v>
      </c>
      <c r="AR28" s="319">
        <v>0.49320000000000003</v>
      </c>
      <c r="AS28" s="319">
        <v>0.49320000000000003</v>
      </c>
      <c r="AT28" s="331">
        <v>0.25130000000000002</v>
      </c>
      <c r="AU28" s="336">
        <v>10.357100000000001</v>
      </c>
      <c r="AV28" s="329">
        <v>10.357100000000001</v>
      </c>
      <c r="AW28" s="337">
        <v>5.2777000000000021</v>
      </c>
      <c r="AX28" s="334"/>
      <c r="AY28" s="323">
        <v>8.155800000000001</v>
      </c>
      <c r="AZ28" s="323">
        <v>8.155800000000001</v>
      </c>
      <c r="BA28" s="323">
        <v>4.5497000000000005</v>
      </c>
      <c r="BB28" s="319"/>
      <c r="BC28" s="321">
        <f t="shared" si="0"/>
        <v>1.2699060791093455</v>
      </c>
      <c r="BD28" s="321">
        <f t="shared" si="1"/>
        <v>1.2699060791093455</v>
      </c>
      <c r="BE28" s="321">
        <f t="shared" si="2"/>
        <v>1.1600105501461637</v>
      </c>
      <c r="BG28" s="22">
        <f t="shared" si="3"/>
        <v>-8.8817841970012523E-16</v>
      </c>
      <c r="BH28" s="22">
        <f t="shared" si="4"/>
        <v>1.4710455076283324E-15</v>
      </c>
      <c r="BI28" s="22">
        <f t="shared" si="5"/>
        <v>2.3592239273284576E-15</v>
      </c>
    </row>
    <row r="29" spans="2:61" x14ac:dyDescent="0.25">
      <c r="B29" s="312">
        <v>22</v>
      </c>
      <c r="C29" s="312" t="s">
        <v>501</v>
      </c>
      <c r="D29" s="312"/>
      <c r="E29" s="312">
        <v>5</v>
      </c>
      <c r="F29" s="312">
        <v>2</v>
      </c>
      <c r="G29" s="313" t="s">
        <v>50</v>
      </c>
      <c r="H29" s="313"/>
      <c r="I29" s="313">
        <v>1719.5</v>
      </c>
      <c r="J29" s="312">
        <v>1719.5</v>
      </c>
      <c r="K29" s="312">
        <v>0</v>
      </c>
      <c r="L29" s="312">
        <v>0</v>
      </c>
      <c r="M29" s="317"/>
      <c r="N29" s="319">
        <v>0.17630000000000001</v>
      </c>
      <c r="O29" s="319">
        <v>0.1002</v>
      </c>
      <c r="P29" s="319">
        <v>0.31830000000000003</v>
      </c>
      <c r="Q29" s="319">
        <v>7.1400000000000005E-2</v>
      </c>
      <c r="R29" s="319">
        <v>2.3199999999999998E-2</v>
      </c>
      <c r="S29" s="319">
        <v>0.34279999999999999</v>
      </c>
      <c r="T29" s="319">
        <v>0</v>
      </c>
      <c r="U29" s="319">
        <v>0.63149999999999995</v>
      </c>
      <c r="V29" s="319">
        <v>0</v>
      </c>
      <c r="W29" s="319">
        <v>0</v>
      </c>
      <c r="X29" s="319">
        <v>0.18390000000000001</v>
      </c>
      <c r="Y29" s="319">
        <v>0</v>
      </c>
      <c r="Z29" s="319">
        <v>2.2265000000000001</v>
      </c>
      <c r="AA29" s="319">
        <v>0.23669999999999999</v>
      </c>
      <c r="AB29" s="319">
        <v>0.37519999999999998</v>
      </c>
      <c r="AC29" s="319">
        <v>8.8499999999999995E-2</v>
      </c>
      <c r="AD29" s="319">
        <v>8.9800000000000005E-2</v>
      </c>
      <c r="AE29" s="319">
        <v>4.5199999999999997E-2</v>
      </c>
      <c r="AF29" s="319">
        <v>0.11210000000000001</v>
      </c>
      <c r="AG29" s="319">
        <v>3.1399999999999997E-2</v>
      </c>
      <c r="AH29" s="319">
        <v>0</v>
      </c>
      <c r="AI29" s="319">
        <v>1.4918</v>
      </c>
      <c r="AJ29" s="319">
        <v>0.91749999999999998</v>
      </c>
      <c r="AK29" s="319">
        <v>8.7300000000000003E-2</v>
      </c>
      <c r="AL29" s="319">
        <v>0.53310000000000002</v>
      </c>
      <c r="AM29" s="319">
        <v>5.0200000000000002E-2</v>
      </c>
      <c r="AN29" s="319">
        <v>8.2000000000000007E-3</v>
      </c>
      <c r="AO29" s="319">
        <v>0.37930000000000003</v>
      </c>
      <c r="AP29" s="319">
        <v>0</v>
      </c>
      <c r="AQ29" s="319">
        <v>0</v>
      </c>
      <c r="AR29" s="319">
        <v>0.42599999999999999</v>
      </c>
      <c r="AS29" s="319">
        <v>0.42599999999999999</v>
      </c>
      <c r="AT29" s="331">
        <v>0.25990000000000002</v>
      </c>
      <c r="AU29" s="336">
        <v>8.9464000000000024</v>
      </c>
      <c r="AV29" s="329">
        <v>8.9464000000000024</v>
      </c>
      <c r="AW29" s="337">
        <v>5.4586000000000023</v>
      </c>
      <c r="AX29" s="334"/>
      <c r="AY29" s="323">
        <v>7.0448999999999993</v>
      </c>
      <c r="AZ29" s="323">
        <v>7.0448999999999993</v>
      </c>
      <c r="BA29" s="323">
        <v>4.6779999999999999</v>
      </c>
      <c r="BB29" s="319"/>
      <c r="BC29" s="321">
        <f t="shared" si="0"/>
        <v>1.2699115672330343</v>
      </c>
      <c r="BD29" s="321">
        <f t="shared" si="1"/>
        <v>1.2699115672330343</v>
      </c>
      <c r="BE29" s="321">
        <f t="shared" si="2"/>
        <v>1.1668661821291155</v>
      </c>
      <c r="BG29" s="22">
        <f t="shared" si="3"/>
        <v>1.9984014443252818E-15</v>
      </c>
      <c r="BH29" s="22">
        <f t="shared" si="4"/>
        <v>3.8857805861880479E-16</v>
      </c>
      <c r="BI29" s="22">
        <f t="shared" si="5"/>
        <v>2.1649348980190553E-15</v>
      </c>
    </row>
    <row r="30" spans="2:61" x14ac:dyDescent="0.25">
      <c r="B30" s="312">
        <v>23</v>
      </c>
      <c r="C30" s="312" t="s">
        <v>503</v>
      </c>
      <c r="D30" s="312"/>
      <c r="E30" s="312">
        <v>5</v>
      </c>
      <c r="F30" s="312">
        <v>2</v>
      </c>
      <c r="G30" s="313" t="s">
        <v>51</v>
      </c>
      <c r="H30" s="313"/>
      <c r="I30" s="313">
        <v>1721.3</v>
      </c>
      <c r="J30" s="312">
        <v>1721.3</v>
      </c>
      <c r="K30" s="312">
        <v>0</v>
      </c>
      <c r="L30" s="312">
        <v>0</v>
      </c>
      <c r="M30" s="317"/>
      <c r="N30" s="319">
        <v>0.17610000000000001</v>
      </c>
      <c r="O30" s="319">
        <v>0.1</v>
      </c>
      <c r="P30" s="319">
        <v>0.31780000000000003</v>
      </c>
      <c r="Q30" s="319">
        <v>7.1300000000000002E-2</v>
      </c>
      <c r="R30" s="319">
        <v>2.3199999999999998E-2</v>
      </c>
      <c r="S30" s="319">
        <v>0.33629999999999999</v>
      </c>
      <c r="T30" s="319">
        <v>0</v>
      </c>
      <c r="U30" s="319">
        <v>0.63149999999999995</v>
      </c>
      <c r="V30" s="319">
        <v>0</v>
      </c>
      <c r="W30" s="319">
        <v>0</v>
      </c>
      <c r="X30" s="319">
        <v>0.18379999999999999</v>
      </c>
      <c r="Y30" s="319">
        <v>0</v>
      </c>
      <c r="Z30" s="319">
        <v>2.1272000000000002</v>
      </c>
      <c r="AA30" s="319">
        <v>0.2364</v>
      </c>
      <c r="AB30" s="319">
        <v>0.3548</v>
      </c>
      <c r="AC30" s="319">
        <v>8.8099999999999998E-2</v>
      </c>
      <c r="AD30" s="319">
        <v>8.9700000000000002E-2</v>
      </c>
      <c r="AE30" s="319">
        <v>4.5100000000000001E-2</v>
      </c>
      <c r="AF30" s="319">
        <v>0.112</v>
      </c>
      <c r="AG30" s="319">
        <v>3.1399999999999997E-2</v>
      </c>
      <c r="AH30" s="319">
        <v>0</v>
      </c>
      <c r="AI30" s="319">
        <v>1.5438000000000001</v>
      </c>
      <c r="AJ30" s="319">
        <v>0.91649999999999998</v>
      </c>
      <c r="AK30" s="319">
        <v>8.7300000000000003E-2</v>
      </c>
      <c r="AL30" s="319">
        <v>1.1865000000000001</v>
      </c>
      <c r="AM30" s="319">
        <v>5.0200000000000002E-2</v>
      </c>
      <c r="AN30" s="319">
        <v>8.0999999999999996E-3</v>
      </c>
      <c r="AO30" s="319">
        <v>0.39689999999999998</v>
      </c>
      <c r="AP30" s="319">
        <v>0</v>
      </c>
      <c r="AQ30" s="319">
        <v>0</v>
      </c>
      <c r="AR30" s="319">
        <v>0.45569999999999999</v>
      </c>
      <c r="AS30" s="319">
        <v>0.45569999999999999</v>
      </c>
      <c r="AT30" s="331">
        <v>0.2535</v>
      </c>
      <c r="AU30" s="336">
        <v>9.569700000000001</v>
      </c>
      <c r="AV30" s="329">
        <v>9.569700000000001</v>
      </c>
      <c r="AW30" s="337">
        <v>5.3237999999999994</v>
      </c>
      <c r="AX30" s="334"/>
      <c r="AY30" s="323">
        <v>7.5357000000000003</v>
      </c>
      <c r="AZ30" s="323">
        <v>7.5357000000000003</v>
      </c>
      <c r="BA30" s="323">
        <v>4.4672999999999998</v>
      </c>
      <c r="BB30" s="319"/>
      <c r="BC30" s="321">
        <f t="shared" si="0"/>
        <v>1.269915203630718</v>
      </c>
      <c r="BD30" s="321">
        <f t="shared" si="1"/>
        <v>1.269915203630718</v>
      </c>
      <c r="BE30" s="321">
        <f t="shared" si="2"/>
        <v>1.1917265462359814</v>
      </c>
      <c r="BG30" s="22">
        <f t="shared" si="3"/>
        <v>2.9420910152566648E-15</v>
      </c>
      <c r="BH30" s="22">
        <f t="shared" si="4"/>
        <v>-6.106226635438361E-16</v>
      </c>
      <c r="BI30" s="22">
        <f t="shared" si="5"/>
        <v>2.7755575615628914E-16</v>
      </c>
    </row>
    <row r="31" spans="2:61" x14ac:dyDescent="0.25">
      <c r="B31" s="312">
        <v>24</v>
      </c>
      <c r="C31" s="312" t="s">
        <v>505</v>
      </c>
      <c r="D31" s="312"/>
      <c r="E31" s="312">
        <v>5</v>
      </c>
      <c r="F31" s="312">
        <v>4</v>
      </c>
      <c r="G31" s="313" t="s">
        <v>52</v>
      </c>
      <c r="H31" s="313"/>
      <c r="I31" s="313">
        <v>2751.8</v>
      </c>
      <c r="J31" s="312">
        <v>2751.8</v>
      </c>
      <c r="K31" s="312">
        <v>0</v>
      </c>
      <c r="L31" s="312">
        <v>0</v>
      </c>
      <c r="M31" s="317"/>
      <c r="N31" s="319">
        <v>0.16700000000000001</v>
      </c>
      <c r="O31" s="319">
        <v>9.2600000000000002E-2</v>
      </c>
      <c r="P31" s="319">
        <v>0.32350000000000001</v>
      </c>
      <c r="Q31" s="319">
        <v>7.4399999999999994E-2</v>
      </c>
      <c r="R31" s="319">
        <v>2.9000000000000001E-2</v>
      </c>
      <c r="S31" s="319">
        <v>0.49990000000000001</v>
      </c>
      <c r="T31" s="319">
        <v>0</v>
      </c>
      <c r="U31" s="319">
        <v>0.63149999999999995</v>
      </c>
      <c r="V31" s="319">
        <v>0</v>
      </c>
      <c r="W31" s="319">
        <v>0</v>
      </c>
      <c r="X31" s="319">
        <v>0.1724</v>
      </c>
      <c r="Y31" s="319">
        <v>0</v>
      </c>
      <c r="Z31" s="319">
        <v>1.4722</v>
      </c>
      <c r="AA31" s="319">
        <v>0.2213</v>
      </c>
      <c r="AB31" s="319">
        <v>0.32829999999999998</v>
      </c>
      <c r="AC31" s="319">
        <v>8.8200000000000001E-2</v>
      </c>
      <c r="AD31" s="319">
        <v>0.1067</v>
      </c>
      <c r="AE31" s="319">
        <v>5.6500000000000002E-2</v>
      </c>
      <c r="AF31" s="319">
        <v>0.17230000000000001</v>
      </c>
      <c r="AG31" s="319">
        <v>3.3599999999999998E-2</v>
      </c>
      <c r="AH31" s="319">
        <v>0</v>
      </c>
      <c r="AI31" s="319">
        <v>3.2099000000000002</v>
      </c>
      <c r="AJ31" s="319">
        <v>1.1347</v>
      </c>
      <c r="AK31" s="319">
        <v>8.8499999999999995E-2</v>
      </c>
      <c r="AL31" s="319">
        <v>0.6351</v>
      </c>
      <c r="AM31" s="319">
        <v>6.0100000000000001E-2</v>
      </c>
      <c r="AN31" s="319">
        <v>9.7999999999999997E-3</v>
      </c>
      <c r="AO31" s="319">
        <v>0.22009999999999999</v>
      </c>
      <c r="AP31" s="319">
        <v>0</v>
      </c>
      <c r="AQ31" s="319">
        <v>0</v>
      </c>
      <c r="AR31" s="319">
        <v>0.4914</v>
      </c>
      <c r="AS31" s="319">
        <v>0.4914</v>
      </c>
      <c r="AT31" s="331">
        <v>0.23139999999999999</v>
      </c>
      <c r="AU31" s="336">
        <v>10.318999999999999</v>
      </c>
      <c r="AV31" s="329">
        <v>10.318999999999999</v>
      </c>
      <c r="AW31" s="337">
        <v>4.8591999999999977</v>
      </c>
      <c r="AX31" s="334"/>
      <c r="AY31" s="323">
        <v>8.1257000000000001</v>
      </c>
      <c r="AZ31" s="323">
        <v>8.1257000000000001</v>
      </c>
      <c r="BA31" s="323">
        <v>4.5122</v>
      </c>
      <c r="BB31" s="319"/>
      <c r="BC31" s="321">
        <f t="shared" si="0"/>
        <v>1.2699213606212387</v>
      </c>
      <c r="BD31" s="321">
        <f t="shared" si="1"/>
        <v>1.2699213606212387</v>
      </c>
      <c r="BE31" s="321">
        <f t="shared" si="2"/>
        <v>1.0769026195647351</v>
      </c>
      <c r="BG31" s="22">
        <f t="shared" si="3"/>
        <v>2.0539125955565396E-15</v>
      </c>
      <c r="BH31" s="22">
        <f t="shared" si="4"/>
        <v>-1.5265566588595902E-15</v>
      </c>
      <c r="BI31" s="22">
        <f t="shared" si="5"/>
        <v>-1.5265566588595902E-15</v>
      </c>
    </row>
    <row r="32" spans="2:61" x14ac:dyDescent="0.25">
      <c r="B32" s="312">
        <v>25</v>
      </c>
      <c r="C32" s="312" t="s">
        <v>507</v>
      </c>
      <c r="D32" s="312"/>
      <c r="E32" s="312">
        <v>9</v>
      </c>
      <c r="F32" s="312">
        <v>4</v>
      </c>
      <c r="G32" s="313" t="s">
        <v>186</v>
      </c>
      <c r="H32" s="313"/>
      <c r="I32" s="313">
        <v>7846.3</v>
      </c>
      <c r="J32" s="312">
        <v>689.30000000000018</v>
      </c>
      <c r="K32" s="312">
        <v>7027.5</v>
      </c>
      <c r="L32" s="312">
        <v>129.5</v>
      </c>
      <c r="M32" s="317"/>
      <c r="N32" s="319">
        <v>0.17050000000000001</v>
      </c>
      <c r="O32" s="319">
        <v>9.7900000000000001E-2</v>
      </c>
      <c r="P32" s="319">
        <v>0.3044</v>
      </c>
      <c r="Q32" s="319">
        <v>6.6199999999999995E-2</v>
      </c>
      <c r="R32" s="319">
        <v>2.24E-2</v>
      </c>
      <c r="S32" s="319">
        <v>0.2918</v>
      </c>
      <c r="T32" s="319">
        <v>0</v>
      </c>
      <c r="U32" s="319">
        <v>0.63149999999999995</v>
      </c>
      <c r="V32" s="319">
        <v>1.8131999999999999</v>
      </c>
      <c r="W32" s="319">
        <v>2.5600000000000001E-2</v>
      </c>
      <c r="X32" s="319">
        <v>0.1411</v>
      </c>
      <c r="Y32" s="319">
        <v>0</v>
      </c>
      <c r="Z32" s="319">
        <v>2.9615999999999998</v>
      </c>
      <c r="AA32" s="319">
        <v>0.22109999999999999</v>
      </c>
      <c r="AB32" s="319">
        <v>0.35110000000000002</v>
      </c>
      <c r="AC32" s="319">
        <v>0.1065</v>
      </c>
      <c r="AD32" s="319">
        <v>8.4500000000000006E-2</v>
      </c>
      <c r="AE32" s="319">
        <v>4.36E-2</v>
      </c>
      <c r="AF32" s="319">
        <v>0.11600000000000001</v>
      </c>
      <c r="AG32" s="319">
        <v>2.8799999999999999E-2</v>
      </c>
      <c r="AH32" s="319">
        <v>0</v>
      </c>
      <c r="AI32" s="319">
        <v>0.71689999999999998</v>
      </c>
      <c r="AJ32" s="319">
        <v>1.7350000000000001</v>
      </c>
      <c r="AK32" s="319">
        <v>8.8300000000000003E-2</v>
      </c>
      <c r="AL32" s="319">
        <v>0.29380000000000001</v>
      </c>
      <c r="AM32" s="319">
        <v>3.2500000000000001E-2</v>
      </c>
      <c r="AN32" s="319">
        <v>5.3E-3</v>
      </c>
      <c r="AO32" s="319">
        <v>0.1207</v>
      </c>
      <c r="AP32" s="319">
        <v>0.49199999999999999</v>
      </c>
      <c r="AQ32" s="319">
        <v>0</v>
      </c>
      <c r="AR32" s="319">
        <v>0.43159999999999998</v>
      </c>
      <c r="AS32" s="319">
        <v>0.54810000000000003</v>
      </c>
      <c r="AT32" s="331">
        <v>0.2883</v>
      </c>
      <c r="AU32" s="336">
        <v>9.0630999999999986</v>
      </c>
      <c r="AV32" s="329">
        <v>11.510399999999999</v>
      </c>
      <c r="AW32" s="337">
        <v>6.0533999999999999</v>
      </c>
      <c r="AX32" s="334"/>
      <c r="AY32" s="323">
        <v>7.1374000000000004</v>
      </c>
      <c r="AZ32" s="323">
        <v>9.9029000000000007</v>
      </c>
      <c r="BA32" s="323">
        <v>5.1220999999999997</v>
      </c>
      <c r="BB32" s="319"/>
      <c r="BC32" s="321">
        <f t="shared" si="0"/>
        <v>1.2698041303555914</v>
      </c>
      <c r="BD32" s="321">
        <f t="shared" si="1"/>
        <v>1.1623261872784738</v>
      </c>
      <c r="BE32" s="321">
        <f t="shared" si="2"/>
        <v>1.1818199566584018</v>
      </c>
      <c r="BG32" s="22">
        <f t="shared" si="3"/>
        <v>0</v>
      </c>
      <c r="BH32" s="22">
        <f t="shared" si="4"/>
        <v>8.6042284408449632E-16</v>
      </c>
      <c r="BI32" s="22">
        <f t="shared" si="5"/>
        <v>1.3045120539345589E-15</v>
      </c>
    </row>
    <row r="33" spans="2:61" x14ac:dyDescent="0.25">
      <c r="B33" s="312">
        <v>26</v>
      </c>
      <c r="C33" s="312" t="s">
        <v>509</v>
      </c>
      <c r="D33" s="312"/>
      <c r="E33" s="312">
        <v>5</v>
      </c>
      <c r="F33" s="312">
        <v>4</v>
      </c>
      <c r="G33" s="313" t="s">
        <v>53</v>
      </c>
      <c r="H33" s="313"/>
      <c r="I33" s="313">
        <v>2769.6</v>
      </c>
      <c r="J33" s="312">
        <v>2769.6</v>
      </c>
      <c r="K33" s="312">
        <v>0</v>
      </c>
      <c r="L33" s="312">
        <v>0</v>
      </c>
      <c r="M33" s="317"/>
      <c r="N33" s="319">
        <v>0.16589999999999999</v>
      </c>
      <c r="O33" s="319">
        <v>9.1999999999999998E-2</v>
      </c>
      <c r="P33" s="319">
        <v>0.32329999999999998</v>
      </c>
      <c r="Q33" s="319">
        <v>7.4499999999999997E-2</v>
      </c>
      <c r="R33" s="319">
        <v>2.8899999999999999E-2</v>
      </c>
      <c r="S33" s="319">
        <v>0.49669999999999997</v>
      </c>
      <c r="T33" s="319">
        <v>0</v>
      </c>
      <c r="U33" s="319">
        <v>0.63149999999999995</v>
      </c>
      <c r="V33" s="319">
        <v>0</v>
      </c>
      <c r="W33" s="319">
        <v>0</v>
      </c>
      <c r="X33" s="319">
        <v>0.17130000000000001</v>
      </c>
      <c r="Y33" s="319">
        <v>0</v>
      </c>
      <c r="Z33" s="319">
        <v>2.0827</v>
      </c>
      <c r="AA33" s="319">
        <v>0.21990000000000001</v>
      </c>
      <c r="AB33" s="319">
        <v>0.32619999999999999</v>
      </c>
      <c r="AC33" s="319">
        <v>8.8499999999999995E-2</v>
      </c>
      <c r="AD33" s="319">
        <v>0.1061</v>
      </c>
      <c r="AE33" s="319">
        <v>5.6099999999999997E-2</v>
      </c>
      <c r="AF33" s="319">
        <v>0.17119999999999999</v>
      </c>
      <c r="AG33" s="319">
        <v>3.3500000000000002E-2</v>
      </c>
      <c r="AH33" s="319">
        <v>0</v>
      </c>
      <c r="AI33" s="319">
        <v>2.5465</v>
      </c>
      <c r="AJ33" s="319">
        <v>1.133</v>
      </c>
      <c r="AK33" s="319">
        <v>8.8200000000000001E-2</v>
      </c>
      <c r="AL33" s="319">
        <v>0.626</v>
      </c>
      <c r="AM33" s="319">
        <v>5.1299999999999998E-2</v>
      </c>
      <c r="AN33" s="319">
        <v>8.3000000000000001E-3</v>
      </c>
      <c r="AO33" s="319">
        <v>0.43730000000000002</v>
      </c>
      <c r="AP33" s="319">
        <v>0</v>
      </c>
      <c r="AQ33" s="319">
        <v>0</v>
      </c>
      <c r="AR33" s="319">
        <v>0.49790000000000001</v>
      </c>
      <c r="AS33" s="319">
        <v>0.49790000000000001</v>
      </c>
      <c r="AT33" s="331">
        <v>0.26079999999999998</v>
      </c>
      <c r="AU33" s="336">
        <v>10.456799999999998</v>
      </c>
      <c r="AV33" s="329">
        <v>10.456799999999998</v>
      </c>
      <c r="AW33" s="337">
        <v>5.4768999999999979</v>
      </c>
      <c r="AX33" s="334"/>
      <c r="AY33" s="323">
        <v>8.2340999999999998</v>
      </c>
      <c r="AZ33" s="323">
        <v>8.2340999999999998</v>
      </c>
      <c r="BA33" s="323">
        <v>4.7356000000000007</v>
      </c>
      <c r="BB33" s="319"/>
      <c r="BC33" s="321">
        <f t="shared" si="0"/>
        <v>1.2699384267861695</v>
      </c>
      <c r="BD33" s="321">
        <f t="shared" si="1"/>
        <v>1.2699384267861695</v>
      </c>
      <c r="BE33" s="321">
        <f t="shared" si="2"/>
        <v>1.1565377143339803</v>
      </c>
      <c r="BG33" s="22">
        <f t="shared" si="3"/>
        <v>-4.8849813083506888E-15</v>
      </c>
      <c r="BH33" s="22">
        <f t="shared" si="4"/>
        <v>-1.0269562977782698E-15</v>
      </c>
      <c r="BI33" s="22">
        <f t="shared" si="5"/>
        <v>-1.0269562977782698E-15</v>
      </c>
    </row>
    <row r="34" spans="2:61" x14ac:dyDescent="0.25">
      <c r="B34" s="312">
        <v>27</v>
      </c>
      <c r="C34" s="312" t="s">
        <v>511</v>
      </c>
      <c r="D34" s="312"/>
      <c r="E34" s="312">
        <v>9</v>
      </c>
      <c r="F34" s="312">
        <v>5</v>
      </c>
      <c r="G34" s="313" t="s">
        <v>187</v>
      </c>
      <c r="H34" s="313"/>
      <c r="I34" s="313">
        <v>9470.6</v>
      </c>
      <c r="J34" s="312">
        <v>1014.3000000000011</v>
      </c>
      <c r="K34" s="312">
        <v>8456.2999999999993</v>
      </c>
      <c r="L34" s="312">
        <v>0</v>
      </c>
      <c r="M34" s="317"/>
      <c r="N34" s="319">
        <v>0.17680000000000001</v>
      </c>
      <c r="O34" s="319">
        <v>0.1048</v>
      </c>
      <c r="P34" s="319">
        <v>0.32490000000000002</v>
      </c>
      <c r="Q34" s="319">
        <v>6.5500000000000003E-2</v>
      </c>
      <c r="R34" s="319">
        <v>2.3199999999999998E-2</v>
      </c>
      <c r="S34" s="319">
        <v>0.3468</v>
      </c>
      <c r="T34" s="319">
        <v>0</v>
      </c>
      <c r="U34" s="319">
        <v>0.63149999999999995</v>
      </c>
      <c r="V34" s="319">
        <v>1.9120999999999999</v>
      </c>
      <c r="W34" s="319">
        <v>2.1299999999999999E-2</v>
      </c>
      <c r="X34" s="319">
        <v>0.14949999999999999</v>
      </c>
      <c r="Y34" s="319">
        <v>0</v>
      </c>
      <c r="Z34" s="319">
        <v>2.6452</v>
      </c>
      <c r="AA34" s="319">
        <v>0.23019999999999999</v>
      </c>
      <c r="AB34" s="319">
        <v>0.37069999999999997</v>
      </c>
      <c r="AC34" s="319">
        <v>9.1600000000000001E-2</v>
      </c>
      <c r="AD34" s="319">
        <v>7.46E-2</v>
      </c>
      <c r="AE34" s="319">
        <v>4.5100000000000001E-2</v>
      </c>
      <c r="AF34" s="319">
        <v>0.14399999999999999</v>
      </c>
      <c r="AG34" s="319">
        <v>2.9700000000000001E-2</v>
      </c>
      <c r="AH34" s="319">
        <v>0</v>
      </c>
      <c r="AI34" s="319">
        <v>1.0528999999999999</v>
      </c>
      <c r="AJ34" s="319">
        <v>1.5384</v>
      </c>
      <c r="AK34" s="319">
        <v>7.0699999999999999E-2</v>
      </c>
      <c r="AL34" s="319">
        <v>0.37680000000000002</v>
      </c>
      <c r="AM34" s="319">
        <v>2.76E-2</v>
      </c>
      <c r="AN34" s="319">
        <v>4.4999999999999997E-3</v>
      </c>
      <c r="AO34" s="319">
        <v>0.20710000000000001</v>
      </c>
      <c r="AP34" s="319">
        <v>0.49580000000000002</v>
      </c>
      <c r="AQ34" s="319">
        <v>0</v>
      </c>
      <c r="AR34" s="319">
        <v>0.43659999999999999</v>
      </c>
      <c r="AS34" s="319">
        <v>0.55810000000000004</v>
      </c>
      <c r="AT34" s="331">
        <v>0.27779999999999999</v>
      </c>
      <c r="AU34" s="336">
        <v>9.1686999999999994</v>
      </c>
      <c r="AV34" s="329">
        <v>11.7194</v>
      </c>
      <c r="AW34" s="337">
        <v>5.8346999999999989</v>
      </c>
      <c r="AX34" s="334"/>
      <c r="AY34" s="323">
        <v>7.2199000000000009</v>
      </c>
      <c r="AZ34" s="323">
        <v>10.126500000000002</v>
      </c>
      <c r="BA34" s="323">
        <v>4.9135000000000009</v>
      </c>
      <c r="BB34" s="319"/>
      <c r="BC34" s="321">
        <f t="shared" si="0"/>
        <v>1.2699206360198891</v>
      </c>
      <c r="BD34" s="321">
        <f t="shared" si="1"/>
        <v>1.1573001530637435</v>
      </c>
      <c r="BE34" s="321">
        <f t="shared" si="2"/>
        <v>1.187483463925918</v>
      </c>
      <c r="BG34" s="22">
        <f t="shared" si="3"/>
        <v>1.609823385706477E-15</v>
      </c>
      <c r="BH34" s="22">
        <f t="shared" si="4"/>
        <v>1.7763568394002505E-15</v>
      </c>
      <c r="BI34" s="22">
        <f t="shared" si="5"/>
        <v>-1.3322676295501878E-15</v>
      </c>
    </row>
    <row r="35" spans="2:61" x14ac:dyDescent="0.25">
      <c r="B35" s="312">
        <v>28</v>
      </c>
      <c r="C35" s="312" t="s">
        <v>513</v>
      </c>
      <c r="D35" s="312"/>
      <c r="E35" s="312">
        <v>5</v>
      </c>
      <c r="F35" s="312">
        <v>4</v>
      </c>
      <c r="G35" s="313" t="s">
        <v>54</v>
      </c>
      <c r="H35" s="313"/>
      <c r="I35" s="313">
        <v>2744.6</v>
      </c>
      <c r="J35" s="312">
        <v>2744.6</v>
      </c>
      <c r="K35" s="312">
        <v>0</v>
      </c>
      <c r="L35" s="312">
        <v>0</v>
      </c>
      <c r="M35" s="317"/>
      <c r="N35" s="319">
        <v>0.16739999999999999</v>
      </c>
      <c r="O35" s="319">
        <v>9.2799999999999994E-2</v>
      </c>
      <c r="P35" s="319">
        <v>0.32250000000000001</v>
      </c>
      <c r="Q35" s="319">
        <v>7.46E-2</v>
      </c>
      <c r="R35" s="319">
        <v>2.9100000000000001E-2</v>
      </c>
      <c r="S35" s="319">
        <v>0.50119999999999998</v>
      </c>
      <c r="T35" s="319">
        <v>0</v>
      </c>
      <c r="U35" s="319">
        <v>0.63149999999999995</v>
      </c>
      <c r="V35" s="319">
        <v>0</v>
      </c>
      <c r="W35" s="319">
        <v>0</v>
      </c>
      <c r="X35" s="319">
        <v>0.1729</v>
      </c>
      <c r="Y35" s="319">
        <v>0</v>
      </c>
      <c r="Z35" s="319">
        <v>2.1635</v>
      </c>
      <c r="AA35" s="319">
        <v>0.22189999999999999</v>
      </c>
      <c r="AB35" s="319">
        <v>0.3291</v>
      </c>
      <c r="AC35" s="319">
        <v>8.7999999999999995E-2</v>
      </c>
      <c r="AD35" s="319">
        <v>0.107</v>
      </c>
      <c r="AE35" s="319">
        <v>5.6599999999999998E-2</v>
      </c>
      <c r="AF35" s="319">
        <v>0.17280000000000001</v>
      </c>
      <c r="AG35" s="319">
        <v>3.3700000000000001E-2</v>
      </c>
      <c r="AH35" s="319">
        <v>0</v>
      </c>
      <c r="AI35" s="319">
        <v>2.7071000000000001</v>
      </c>
      <c r="AJ35" s="319">
        <v>1.1495</v>
      </c>
      <c r="AK35" s="319">
        <v>8.5400000000000004E-2</v>
      </c>
      <c r="AL35" s="319">
        <v>0.51419999999999999</v>
      </c>
      <c r="AM35" s="319">
        <v>5.16E-2</v>
      </c>
      <c r="AN35" s="319">
        <v>8.3999999999999995E-3</v>
      </c>
      <c r="AO35" s="319">
        <v>0.19420000000000001</v>
      </c>
      <c r="AP35" s="319">
        <v>0</v>
      </c>
      <c r="AQ35" s="319">
        <v>0</v>
      </c>
      <c r="AR35" s="319">
        <v>0.49380000000000002</v>
      </c>
      <c r="AS35" s="319">
        <v>0.49380000000000002</v>
      </c>
      <c r="AT35" s="331">
        <v>0.26550000000000001</v>
      </c>
      <c r="AU35" s="336">
        <v>10.368800000000002</v>
      </c>
      <c r="AV35" s="329">
        <v>10.368800000000002</v>
      </c>
      <c r="AW35" s="337">
        <v>5.5755000000000008</v>
      </c>
      <c r="AX35" s="334"/>
      <c r="AY35" s="323">
        <v>8.1648000000000014</v>
      </c>
      <c r="AZ35" s="323">
        <v>8.1648000000000014</v>
      </c>
      <c r="BA35" s="323">
        <v>4.6636000000000006</v>
      </c>
      <c r="BB35" s="319"/>
      <c r="BC35" s="321">
        <f t="shared" si="0"/>
        <v>1.2699392514207328</v>
      </c>
      <c r="BD35" s="321">
        <f t="shared" si="1"/>
        <v>1.2699392514207328</v>
      </c>
      <c r="BE35" s="321">
        <f t="shared" si="2"/>
        <v>1.1955356377047774</v>
      </c>
      <c r="BG35" s="22">
        <f t="shared" si="3"/>
        <v>1.1102230246251565E-15</v>
      </c>
      <c r="BH35" s="22">
        <f t="shared" si="4"/>
        <v>0</v>
      </c>
      <c r="BI35" s="22">
        <f t="shared" si="5"/>
        <v>8.8817841970012523E-16</v>
      </c>
    </row>
    <row r="36" spans="2:61" x14ac:dyDescent="0.25">
      <c r="B36" s="312">
        <v>29</v>
      </c>
      <c r="C36" s="312" t="s">
        <v>515</v>
      </c>
      <c r="D36" s="312"/>
      <c r="E36" s="312">
        <v>9</v>
      </c>
      <c r="F36" s="312">
        <v>4</v>
      </c>
      <c r="G36" s="313" t="s">
        <v>188</v>
      </c>
      <c r="H36" s="313"/>
      <c r="I36" s="313">
        <v>7768.2</v>
      </c>
      <c r="J36" s="312">
        <v>283.60000000000036</v>
      </c>
      <c r="K36" s="312">
        <v>7037.2</v>
      </c>
      <c r="L36" s="312">
        <v>447.4</v>
      </c>
      <c r="M36" s="317"/>
      <c r="N36" s="319">
        <v>0.17180000000000001</v>
      </c>
      <c r="O36" s="319">
        <v>9.8900000000000002E-2</v>
      </c>
      <c r="P36" s="319">
        <v>0.30120000000000002</v>
      </c>
      <c r="Q36" s="319">
        <v>6.3399999999999998E-2</v>
      </c>
      <c r="R36" s="319">
        <v>2.2599999999999999E-2</v>
      </c>
      <c r="S36" s="319">
        <v>0.28420000000000001</v>
      </c>
      <c r="T36" s="319">
        <v>0</v>
      </c>
      <c r="U36" s="319">
        <v>0.63149999999999995</v>
      </c>
      <c r="V36" s="319">
        <v>1.948</v>
      </c>
      <c r="W36" s="319">
        <v>0</v>
      </c>
      <c r="X36" s="319">
        <v>0.14249999999999999</v>
      </c>
      <c r="Y36" s="319">
        <v>0</v>
      </c>
      <c r="Z36" s="319">
        <v>2.9409000000000001</v>
      </c>
      <c r="AA36" s="319">
        <v>0.2223</v>
      </c>
      <c r="AB36" s="319">
        <v>0.35460000000000003</v>
      </c>
      <c r="AC36" s="319">
        <v>9.7600000000000006E-2</v>
      </c>
      <c r="AD36" s="319">
        <v>6.7500000000000004E-2</v>
      </c>
      <c r="AE36" s="319">
        <v>4.3999999999999997E-2</v>
      </c>
      <c r="AF36" s="319">
        <v>0.115</v>
      </c>
      <c r="AG36" s="319">
        <v>2.9000000000000001E-2</v>
      </c>
      <c r="AH36" s="319">
        <v>0</v>
      </c>
      <c r="AI36" s="319">
        <v>0.78800000000000003</v>
      </c>
      <c r="AJ36" s="319">
        <v>1.8079000000000001</v>
      </c>
      <c r="AK36" s="319">
        <v>9.4899999999999998E-2</v>
      </c>
      <c r="AL36" s="319">
        <v>0.32540000000000002</v>
      </c>
      <c r="AM36" s="319">
        <v>3.2800000000000003E-2</v>
      </c>
      <c r="AN36" s="319">
        <v>5.3E-3</v>
      </c>
      <c r="AO36" s="319">
        <v>0.27289999999999998</v>
      </c>
      <c r="AP36" s="319">
        <v>0.39419999999999999</v>
      </c>
      <c r="AQ36" s="319">
        <v>0</v>
      </c>
      <c r="AR36" s="319">
        <v>0.44569999999999999</v>
      </c>
      <c r="AS36" s="319">
        <v>0.56279999999999997</v>
      </c>
      <c r="AT36" s="331">
        <v>0.28599999999999998</v>
      </c>
      <c r="AU36" s="336">
        <v>9.3599000000000014</v>
      </c>
      <c r="AV36" s="329">
        <v>11.8192</v>
      </c>
      <c r="AW36" s="337">
        <v>6.0060000000000002</v>
      </c>
      <c r="AX36" s="334"/>
      <c r="AY36" s="323">
        <v>7.4379000000000008</v>
      </c>
      <c r="AZ36" s="323">
        <v>10.360100000000001</v>
      </c>
      <c r="BA36" s="323">
        <v>5.0378000000000007</v>
      </c>
      <c r="BB36" s="319"/>
      <c r="BC36" s="321">
        <f t="shared" si="0"/>
        <v>1.2584062705871282</v>
      </c>
      <c r="BD36" s="321">
        <f t="shared" si="1"/>
        <v>1.1408384088956669</v>
      </c>
      <c r="BE36" s="321">
        <f t="shared" si="2"/>
        <v>1.1921870657826827</v>
      </c>
      <c r="BG36" s="22">
        <f t="shared" si="3"/>
        <v>1.3877787807814457E-15</v>
      </c>
      <c r="BH36" s="22">
        <f t="shared" si="4"/>
        <v>1.27675647831893E-15</v>
      </c>
      <c r="BI36" s="22">
        <f t="shared" si="5"/>
        <v>8.3266726846886741E-16</v>
      </c>
    </row>
    <row r="37" spans="2:61" x14ac:dyDescent="0.25">
      <c r="B37" s="312">
        <v>30</v>
      </c>
      <c r="C37" s="312" t="s">
        <v>517</v>
      </c>
      <c r="D37" s="312" t="s">
        <v>390</v>
      </c>
      <c r="E37" s="312">
        <v>5</v>
      </c>
      <c r="F37" s="312">
        <v>7</v>
      </c>
      <c r="G37" s="313" t="s">
        <v>55</v>
      </c>
      <c r="H37" s="313"/>
      <c r="I37" s="313">
        <v>4568.2</v>
      </c>
      <c r="J37" s="312">
        <v>4568.2</v>
      </c>
      <c r="K37" s="312">
        <v>0</v>
      </c>
      <c r="L37" s="312">
        <v>0</v>
      </c>
      <c r="M37" s="317"/>
      <c r="N37" s="319">
        <v>0.16569999999999999</v>
      </c>
      <c r="O37" s="319">
        <v>0.1077</v>
      </c>
      <c r="P37" s="319">
        <v>0.3095</v>
      </c>
      <c r="Q37" s="319">
        <v>7.8799999999999995E-2</v>
      </c>
      <c r="R37" s="319">
        <v>3.2800000000000003E-2</v>
      </c>
      <c r="S37" s="319">
        <v>0.72789999999999999</v>
      </c>
      <c r="T37" s="319">
        <v>0</v>
      </c>
      <c r="U37" s="319">
        <v>0.63149999999999995</v>
      </c>
      <c r="V37" s="319">
        <v>0</v>
      </c>
      <c r="W37" s="319">
        <v>0</v>
      </c>
      <c r="X37" s="319">
        <v>0.13850000000000001</v>
      </c>
      <c r="Y37" s="319">
        <v>0</v>
      </c>
      <c r="Z37" s="319">
        <v>1.8785000000000001</v>
      </c>
      <c r="AA37" s="319">
        <v>0.2185</v>
      </c>
      <c r="AB37" s="319">
        <v>0.32300000000000001</v>
      </c>
      <c r="AC37" s="319">
        <v>9.9199999999999997E-2</v>
      </c>
      <c r="AD37" s="319">
        <v>0.1057</v>
      </c>
      <c r="AE37" s="319">
        <v>6.3799999999999996E-2</v>
      </c>
      <c r="AF37" s="319">
        <v>0.28449999999999998</v>
      </c>
      <c r="AG37" s="319">
        <v>3.6400000000000002E-2</v>
      </c>
      <c r="AH37" s="319">
        <v>0</v>
      </c>
      <c r="AI37" s="319">
        <v>1.7063999999999999</v>
      </c>
      <c r="AJ37" s="319">
        <v>0.7742</v>
      </c>
      <c r="AK37" s="319">
        <v>0.1104</v>
      </c>
      <c r="AL37" s="319">
        <v>0.4652</v>
      </c>
      <c r="AM37" s="319">
        <v>6.9699999999999998E-2</v>
      </c>
      <c r="AN37" s="319">
        <v>1.1299999999999999E-2</v>
      </c>
      <c r="AO37" s="319">
        <v>0.27079999999999999</v>
      </c>
      <c r="AP37" s="319">
        <v>0</v>
      </c>
      <c r="AQ37" s="319">
        <v>0</v>
      </c>
      <c r="AR37" s="319">
        <v>0.43049999999999999</v>
      </c>
      <c r="AS37" s="319">
        <v>0.43049999999999999</v>
      </c>
      <c r="AT37" s="331">
        <v>0.2697</v>
      </c>
      <c r="AU37" s="336">
        <v>9.0404999999999998</v>
      </c>
      <c r="AV37" s="329">
        <v>9.0404999999999998</v>
      </c>
      <c r="AW37" s="337">
        <v>5.6631</v>
      </c>
      <c r="AX37" s="334"/>
      <c r="AY37" s="323">
        <v>7.1189999999999998</v>
      </c>
      <c r="AZ37" s="323">
        <v>7.1189999999999998</v>
      </c>
      <c r="BA37" s="323">
        <v>4.6009999999999991</v>
      </c>
      <c r="BB37" s="319"/>
      <c r="BC37" s="321">
        <f t="shared" si="0"/>
        <v>1.2699115044247788</v>
      </c>
      <c r="BD37" s="321">
        <f t="shared" si="1"/>
        <v>1.2699115044247788</v>
      </c>
      <c r="BE37" s="321">
        <f t="shared" si="2"/>
        <v>1.2308411214953274</v>
      </c>
      <c r="BG37" s="22">
        <f t="shared" si="3"/>
        <v>3.3861802251067274E-15</v>
      </c>
      <c r="BH37" s="22">
        <f t="shared" si="4"/>
        <v>9.7144514654701197E-16</v>
      </c>
      <c r="BI37" s="22">
        <f t="shared" si="5"/>
        <v>-8.0491169285323849E-16</v>
      </c>
    </row>
    <row r="38" spans="2:61" x14ac:dyDescent="0.25">
      <c r="B38" s="312">
        <v>31</v>
      </c>
      <c r="C38" s="312" t="s">
        <v>520</v>
      </c>
      <c r="D38" s="312" t="s">
        <v>390</v>
      </c>
      <c r="E38" s="312">
        <v>5</v>
      </c>
      <c r="F38" s="312">
        <v>6</v>
      </c>
      <c r="G38" s="313" t="s">
        <v>57</v>
      </c>
      <c r="H38" s="313"/>
      <c r="I38" s="313">
        <v>4737.7</v>
      </c>
      <c r="J38" s="312">
        <v>4737.7</v>
      </c>
      <c r="K38" s="312">
        <v>0</v>
      </c>
      <c r="L38" s="312">
        <v>0</v>
      </c>
      <c r="M38" s="317"/>
      <c r="N38" s="319">
        <v>0.1653</v>
      </c>
      <c r="O38" s="319">
        <v>7.9899999999999999E-2</v>
      </c>
      <c r="P38" s="319">
        <v>0.3306</v>
      </c>
      <c r="Q38" s="319">
        <v>7.3400000000000007E-2</v>
      </c>
      <c r="R38" s="319">
        <v>3.7999999999999999E-2</v>
      </c>
      <c r="S38" s="319">
        <v>0.56310000000000004</v>
      </c>
      <c r="T38" s="319">
        <v>0</v>
      </c>
      <c r="U38" s="319">
        <v>0.63149999999999995</v>
      </c>
      <c r="V38" s="319">
        <v>0</v>
      </c>
      <c r="W38" s="319">
        <v>0</v>
      </c>
      <c r="X38" s="319">
        <v>0.1502</v>
      </c>
      <c r="Y38" s="319">
        <v>0</v>
      </c>
      <c r="Z38" s="319">
        <v>2.3104</v>
      </c>
      <c r="AA38" s="319">
        <v>0.2162</v>
      </c>
      <c r="AB38" s="319">
        <v>0.29189999999999999</v>
      </c>
      <c r="AC38" s="319">
        <v>9.0700000000000003E-2</v>
      </c>
      <c r="AD38" s="319">
        <v>9.1600000000000001E-2</v>
      </c>
      <c r="AE38" s="319">
        <v>7.3800000000000004E-2</v>
      </c>
      <c r="AF38" s="319">
        <v>0.20830000000000001</v>
      </c>
      <c r="AG38" s="319">
        <v>3.1199999999999999E-2</v>
      </c>
      <c r="AH38" s="319">
        <v>0</v>
      </c>
      <c r="AI38" s="319">
        <v>1.7713000000000001</v>
      </c>
      <c r="AJ38" s="319">
        <v>0.95350000000000001</v>
      </c>
      <c r="AK38" s="319">
        <v>8.6199999999999999E-2</v>
      </c>
      <c r="AL38" s="319">
        <v>0.57799999999999996</v>
      </c>
      <c r="AM38" s="319">
        <v>5.4399999999999997E-2</v>
      </c>
      <c r="AN38" s="319">
        <v>8.8000000000000005E-3</v>
      </c>
      <c r="AO38" s="319">
        <v>0.1333</v>
      </c>
      <c r="AP38" s="319">
        <v>0</v>
      </c>
      <c r="AQ38" s="319">
        <v>0</v>
      </c>
      <c r="AR38" s="319">
        <v>0.4466</v>
      </c>
      <c r="AS38" s="319">
        <v>0.4466</v>
      </c>
      <c r="AT38" s="331">
        <v>0.27479999999999999</v>
      </c>
      <c r="AU38" s="336">
        <v>9.3781999999999996</v>
      </c>
      <c r="AV38" s="329">
        <v>9.3781999999999996</v>
      </c>
      <c r="AW38" s="337">
        <v>5.7702999999999998</v>
      </c>
      <c r="AX38" s="334"/>
      <c r="AY38" s="323">
        <v>7.3849</v>
      </c>
      <c r="AZ38" s="323">
        <v>7.3849</v>
      </c>
      <c r="BA38" s="323">
        <v>4.9619999999999997</v>
      </c>
      <c r="BB38" s="319"/>
      <c r="BC38" s="321">
        <f t="shared" si="0"/>
        <v>1.269915638668093</v>
      </c>
      <c r="BD38" s="321">
        <f t="shared" si="1"/>
        <v>1.269915638668093</v>
      </c>
      <c r="BE38" s="321">
        <f t="shared" si="2"/>
        <v>1.1628980249899235</v>
      </c>
      <c r="BG38" s="22">
        <f t="shared" si="3"/>
        <v>-2.1094237467877974E-15</v>
      </c>
      <c r="BH38" s="22">
        <f t="shared" si="4"/>
        <v>-3.6082248300317588E-16</v>
      </c>
      <c r="BI38" s="22">
        <f t="shared" si="5"/>
        <v>-3.6082248300317588E-16</v>
      </c>
    </row>
    <row r="39" spans="2:61" x14ac:dyDescent="0.25">
      <c r="B39" s="312">
        <v>32</v>
      </c>
      <c r="C39" s="312" t="s">
        <v>522</v>
      </c>
      <c r="D39" s="312" t="s">
        <v>390</v>
      </c>
      <c r="E39" s="312">
        <v>5</v>
      </c>
      <c r="F39" s="312">
        <v>4</v>
      </c>
      <c r="G39" s="313" t="s">
        <v>58</v>
      </c>
      <c r="H39" s="313"/>
      <c r="I39" s="313">
        <v>2911.3</v>
      </c>
      <c r="J39" s="312">
        <v>2911.3</v>
      </c>
      <c r="K39" s="312">
        <v>0</v>
      </c>
      <c r="L39" s="312">
        <v>0</v>
      </c>
      <c r="M39" s="317"/>
      <c r="N39" s="319">
        <v>0.16189999999999999</v>
      </c>
      <c r="O39" s="319">
        <v>8.7499999999999994E-2</v>
      </c>
      <c r="P39" s="319">
        <v>0.33260000000000001</v>
      </c>
      <c r="Q39" s="319">
        <v>7.4499999999999997E-2</v>
      </c>
      <c r="R39" s="319">
        <v>3.09E-2</v>
      </c>
      <c r="S39" s="319">
        <v>0.46629999999999999</v>
      </c>
      <c r="T39" s="319">
        <v>0</v>
      </c>
      <c r="U39" s="319">
        <v>0.63149999999999995</v>
      </c>
      <c r="V39" s="319">
        <v>0</v>
      </c>
      <c r="W39" s="319">
        <v>0</v>
      </c>
      <c r="X39" s="319">
        <v>0.16300000000000001</v>
      </c>
      <c r="Y39" s="319">
        <v>0</v>
      </c>
      <c r="Z39" s="319">
        <v>2.1282999999999999</v>
      </c>
      <c r="AA39" s="319">
        <v>0.21410000000000001</v>
      </c>
      <c r="AB39" s="319">
        <v>0.31030000000000002</v>
      </c>
      <c r="AC39" s="319">
        <v>8.7300000000000003E-2</v>
      </c>
      <c r="AD39" s="319">
        <v>0.1042</v>
      </c>
      <c r="AE39" s="319">
        <v>6.0100000000000001E-2</v>
      </c>
      <c r="AF39" s="319">
        <v>0.16289999999999999</v>
      </c>
      <c r="AG39" s="319">
        <v>3.1699999999999999E-2</v>
      </c>
      <c r="AH39" s="319">
        <v>0</v>
      </c>
      <c r="AI39" s="319">
        <v>2.4333999999999998</v>
      </c>
      <c r="AJ39" s="319">
        <v>1.0831999999999999</v>
      </c>
      <c r="AK39" s="319">
        <v>8.7800000000000003E-2</v>
      </c>
      <c r="AL39" s="319">
        <v>0.60519999999999996</v>
      </c>
      <c r="AM39" s="319">
        <v>5.5E-2</v>
      </c>
      <c r="AN39" s="319">
        <v>8.8999999999999999E-3</v>
      </c>
      <c r="AO39" s="319">
        <v>0.16889999999999999</v>
      </c>
      <c r="AP39" s="319">
        <v>0</v>
      </c>
      <c r="AQ39" s="319">
        <v>0</v>
      </c>
      <c r="AR39" s="319">
        <v>0.47449999999999998</v>
      </c>
      <c r="AS39" s="319">
        <v>0.47449999999999998</v>
      </c>
      <c r="AT39" s="331">
        <v>0.25990000000000002</v>
      </c>
      <c r="AU39" s="336">
        <v>9.9640000000000004</v>
      </c>
      <c r="AV39" s="329">
        <v>9.9640000000000004</v>
      </c>
      <c r="AW39" s="337">
        <v>5.4586999999999994</v>
      </c>
      <c r="AX39" s="334"/>
      <c r="AY39" s="323">
        <v>7.8461000000000007</v>
      </c>
      <c r="AZ39" s="323">
        <v>7.8461000000000007</v>
      </c>
      <c r="BA39" s="323">
        <v>4.6458000000000004</v>
      </c>
      <c r="BB39" s="319"/>
      <c r="BC39" s="321">
        <f t="shared" si="0"/>
        <v>1.2699302838352811</v>
      </c>
      <c r="BD39" s="321">
        <f t="shared" si="1"/>
        <v>1.2699302838352811</v>
      </c>
      <c r="BE39" s="321">
        <f t="shared" si="2"/>
        <v>1.1749752464591672</v>
      </c>
      <c r="BG39" s="22">
        <f t="shared" si="3"/>
        <v>0</v>
      </c>
      <c r="BH39" s="22">
        <f t="shared" si="4"/>
        <v>4.163336342344337E-16</v>
      </c>
      <c r="BI39" s="22">
        <f t="shared" si="5"/>
        <v>1.3045120539345589E-15</v>
      </c>
    </row>
    <row r="40" spans="2:61" x14ac:dyDescent="0.25">
      <c r="B40" s="312">
        <v>33</v>
      </c>
      <c r="C40" s="312" t="s">
        <v>524</v>
      </c>
      <c r="D40" s="312" t="s">
        <v>390</v>
      </c>
      <c r="E40" s="312">
        <v>5</v>
      </c>
      <c r="F40" s="312">
        <v>4</v>
      </c>
      <c r="G40" s="313" t="s">
        <v>59</v>
      </c>
      <c r="H40" s="313"/>
      <c r="I40" s="313">
        <v>2889.2</v>
      </c>
      <c r="J40" s="312">
        <v>2889.2</v>
      </c>
      <c r="K40" s="312">
        <v>0</v>
      </c>
      <c r="L40" s="312">
        <v>0</v>
      </c>
      <c r="M40" s="317"/>
      <c r="N40" s="319">
        <v>0.19489999999999999</v>
      </c>
      <c r="O40" s="319">
        <v>8.5999999999999993E-2</v>
      </c>
      <c r="P40" s="319">
        <v>0.3226</v>
      </c>
      <c r="Q40" s="319">
        <v>7.4499999999999997E-2</v>
      </c>
      <c r="R40" s="319">
        <v>2.9700000000000001E-2</v>
      </c>
      <c r="S40" s="319">
        <v>0.50580000000000003</v>
      </c>
      <c r="T40" s="319">
        <v>0</v>
      </c>
      <c r="U40" s="319">
        <v>0.63149999999999995</v>
      </c>
      <c r="V40" s="319">
        <v>0</v>
      </c>
      <c r="W40" s="319">
        <v>0</v>
      </c>
      <c r="X40" s="319">
        <v>0.1779</v>
      </c>
      <c r="Y40" s="319">
        <v>0</v>
      </c>
      <c r="Z40" s="319">
        <v>1.2888999999999999</v>
      </c>
      <c r="AA40" s="319">
        <v>0.2651</v>
      </c>
      <c r="AB40" s="319">
        <v>0.29599999999999999</v>
      </c>
      <c r="AC40" s="319">
        <v>8.9899999999999994E-2</v>
      </c>
      <c r="AD40" s="319">
        <v>0.1021</v>
      </c>
      <c r="AE40" s="319">
        <v>5.7799999999999997E-2</v>
      </c>
      <c r="AF40" s="319">
        <v>0.17899999999999999</v>
      </c>
      <c r="AG40" s="319">
        <v>3.5299999999999998E-2</v>
      </c>
      <c r="AH40" s="319">
        <v>0</v>
      </c>
      <c r="AI40" s="319">
        <v>2.8818000000000001</v>
      </c>
      <c r="AJ40" s="319">
        <v>1.3498000000000001</v>
      </c>
      <c r="AK40" s="319">
        <v>0.1018</v>
      </c>
      <c r="AL40" s="319">
        <v>0.57520000000000004</v>
      </c>
      <c r="AM40" s="319">
        <v>6.6000000000000003E-2</v>
      </c>
      <c r="AN40" s="319">
        <v>1.0699999999999999E-2</v>
      </c>
      <c r="AO40" s="319">
        <v>0.53029999999999999</v>
      </c>
      <c r="AP40" s="319">
        <v>0</v>
      </c>
      <c r="AQ40" s="319">
        <v>0</v>
      </c>
      <c r="AR40" s="319">
        <v>0.49259999999999998</v>
      </c>
      <c r="AS40" s="319">
        <v>0.49259999999999998</v>
      </c>
      <c r="AT40" s="331">
        <v>0.2258</v>
      </c>
      <c r="AU40" s="336">
        <v>10.345200000000002</v>
      </c>
      <c r="AV40" s="329">
        <v>10.345200000000002</v>
      </c>
      <c r="AW40" s="337">
        <v>4.7413000000000007</v>
      </c>
      <c r="AX40" s="334"/>
      <c r="AY40" s="323">
        <v>8.1463999999999999</v>
      </c>
      <c r="AZ40" s="323">
        <v>8.1463999999999999</v>
      </c>
      <c r="BA40" s="323">
        <v>4.0788000000000011</v>
      </c>
      <c r="BB40" s="319"/>
      <c r="BC40" s="321">
        <f t="shared" si="0"/>
        <v>1.2699106353726801</v>
      </c>
      <c r="BD40" s="321">
        <f t="shared" si="1"/>
        <v>1.2699106353726801</v>
      </c>
      <c r="BE40" s="321">
        <f t="shared" si="2"/>
        <v>1.1624252231048346</v>
      </c>
      <c r="BG40" s="22">
        <f t="shared" si="3"/>
        <v>-1.609823385706477E-15</v>
      </c>
      <c r="BH40" s="22">
        <f t="shared" si="4"/>
        <v>-8.3266726846886741E-16</v>
      </c>
      <c r="BI40" s="22">
        <f t="shared" si="5"/>
        <v>9.4368957093138306E-16</v>
      </c>
    </row>
    <row r="41" spans="2:61" x14ac:dyDescent="0.25">
      <c r="B41" s="312">
        <v>34</v>
      </c>
      <c r="C41" s="312" t="s">
        <v>526</v>
      </c>
      <c r="D41" s="312" t="s">
        <v>390</v>
      </c>
      <c r="E41" s="312">
        <v>13</v>
      </c>
      <c r="F41" s="312">
        <v>1</v>
      </c>
      <c r="G41" s="313" t="s">
        <v>246</v>
      </c>
      <c r="H41" s="313"/>
      <c r="I41" s="313">
        <v>4159.2</v>
      </c>
      <c r="J41" s="312">
        <v>271.39999999999964</v>
      </c>
      <c r="K41" s="312">
        <v>3887.8</v>
      </c>
      <c r="L41" s="312">
        <v>0</v>
      </c>
      <c r="M41" s="317"/>
      <c r="N41" s="319">
        <v>0.1072</v>
      </c>
      <c r="O41" s="319">
        <v>7.2300000000000003E-2</v>
      </c>
      <c r="P41" s="319">
        <v>0.29320000000000002</v>
      </c>
      <c r="Q41" s="319">
        <v>6.9699999999999998E-2</v>
      </c>
      <c r="R41" s="319">
        <v>2.3099999999999999E-2</v>
      </c>
      <c r="S41" s="319">
        <v>0.21229999999999999</v>
      </c>
      <c r="T41" s="319">
        <v>0</v>
      </c>
      <c r="U41" s="319">
        <v>0.63149999999999995</v>
      </c>
      <c r="V41" s="319">
        <v>1.544</v>
      </c>
      <c r="W41" s="319">
        <v>0</v>
      </c>
      <c r="X41" s="319">
        <v>0.1464</v>
      </c>
      <c r="Y41" s="319">
        <v>0</v>
      </c>
      <c r="Z41" s="319">
        <v>1.5073000000000001</v>
      </c>
      <c r="AA41" s="319">
        <v>0.14729999999999999</v>
      </c>
      <c r="AB41" s="319">
        <v>0.25840000000000002</v>
      </c>
      <c r="AC41" s="319">
        <v>0.10829999999999999</v>
      </c>
      <c r="AD41" s="319">
        <v>0.1079</v>
      </c>
      <c r="AE41" s="319">
        <v>4.48E-2</v>
      </c>
      <c r="AF41" s="319">
        <v>7.17E-2</v>
      </c>
      <c r="AG41" s="319">
        <v>0</v>
      </c>
      <c r="AH41" s="319">
        <v>0</v>
      </c>
      <c r="AI41" s="319">
        <v>2.9984000000000002</v>
      </c>
      <c r="AJ41" s="319">
        <v>1.6402000000000001</v>
      </c>
      <c r="AK41" s="319">
        <v>6.3200000000000006E-2</v>
      </c>
      <c r="AL41" s="319">
        <v>0.42870000000000003</v>
      </c>
      <c r="AM41" s="319">
        <v>2.6800000000000001E-2</v>
      </c>
      <c r="AN41" s="319">
        <v>4.4000000000000003E-3</v>
      </c>
      <c r="AO41" s="319">
        <v>0.1406</v>
      </c>
      <c r="AP41" s="319">
        <v>0.78010000000000002</v>
      </c>
      <c r="AQ41" s="319">
        <v>0</v>
      </c>
      <c r="AR41" s="319">
        <v>0.45519999999999999</v>
      </c>
      <c r="AS41" s="319">
        <v>0.57140000000000002</v>
      </c>
      <c r="AT41" s="331">
        <v>0.1948</v>
      </c>
      <c r="AU41" s="336">
        <v>9.5588999999999977</v>
      </c>
      <c r="AV41" s="329">
        <v>11.999199999999998</v>
      </c>
      <c r="AW41" s="337">
        <v>4.0905999999999993</v>
      </c>
      <c r="AX41" s="334"/>
      <c r="AY41" s="323">
        <v>7.5271999999999997</v>
      </c>
      <c r="AZ41" s="323">
        <v>10.203900000000001</v>
      </c>
      <c r="BA41" s="323">
        <v>3.7757999999999998</v>
      </c>
      <c r="BB41" s="319"/>
      <c r="BC41" s="321">
        <f t="shared" si="0"/>
        <v>1.2699144436178125</v>
      </c>
      <c r="BD41" s="321">
        <f t="shared" si="1"/>
        <v>1.1759425317770653</v>
      </c>
      <c r="BE41" s="321">
        <f t="shared" si="2"/>
        <v>1.0833730600137719</v>
      </c>
      <c r="BG41" s="22">
        <f t="shared" si="3"/>
        <v>-4.4408920985006262E-15</v>
      </c>
      <c r="BH41" s="22">
        <f t="shared" si="4"/>
        <v>-2.1233015345956119E-15</v>
      </c>
      <c r="BI41" s="22">
        <f t="shared" si="5"/>
        <v>-3.4694469519536142E-16</v>
      </c>
    </row>
    <row r="42" spans="2:61" x14ac:dyDescent="0.25">
      <c r="B42" s="312">
        <v>35</v>
      </c>
      <c r="C42" s="312" t="s">
        <v>528</v>
      </c>
      <c r="D42" s="312" t="s">
        <v>390</v>
      </c>
      <c r="E42" s="312">
        <v>9</v>
      </c>
      <c r="F42" s="312">
        <v>5</v>
      </c>
      <c r="G42" s="313" t="s">
        <v>189</v>
      </c>
      <c r="H42" s="313"/>
      <c r="I42" s="313">
        <v>10572.8</v>
      </c>
      <c r="J42" s="312">
        <v>1130.0999999999985</v>
      </c>
      <c r="K42" s="312">
        <v>9442.7000000000007</v>
      </c>
      <c r="L42" s="312">
        <v>0</v>
      </c>
      <c r="M42" s="317"/>
      <c r="N42" s="319">
        <v>0.12770000000000001</v>
      </c>
      <c r="O42" s="319">
        <v>9.0700000000000003E-2</v>
      </c>
      <c r="P42" s="319">
        <v>0.29920000000000002</v>
      </c>
      <c r="Q42" s="319">
        <v>6.7799999999999999E-2</v>
      </c>
      <c r="R42" s="319">
        <v>2.0799999999999999E-2</v>
      </c>
      <c r="S42" s="319">
        <v>0.27060000000000001</v>
      </c>
      <c r="T42" s="319">
        <v>0</v>
      </c>
      <c r="U42" s="319">
        <v>0.63149999999999995</v>
      </c>
      <c r="V42" s="319">
        <v>1.7123999999999999</v>
      </c>
      <c r="W42" s="319">
        <v>1.9E-2</v>
      </c>
      <c r="X42" s="319">
        <v>0.1346</v>
      </c>
      <c r="Y42" s="319">
        <v>0</v>
      </c>
      <c r="Z42" s="319">
        <v>1.6656</v>
      </c>
      <c r="AA42" s="319">
        <v>0.16819999999999999</v>
      </c>
      <c r="AB42" s="319">
        <v>0.3251</v>
      </c>
      <c r="AC42" s="319">
        <v>0.10349999999999999</v>
      </c>
      <c r="AD42" s="319">
        <v>8.9099999999999999E-2</v>
      </c>
      <c r="AE42" s="319">
        <v>4.0399999999999998E-2</v>
      </c>
      <c r="AF42" s="319">
        <v>7.4899999999999994E-2</v>
      </c>
      <c r="AG42" s="319">
        <v>2.98E-2</v>
      </c>
      <c r="AH42" s="319">
        <v>0</v>
      </c>
      <c r="AI42" s="319">
        <v>1.9403999999999999</v>
      </c>
      <c r="AJ42" s="319">
        <v>1.5662</v>
      </c>
      <c r="AK42" s="319">
        <v>7.85E-2</v>
      </c>
      <c r="AL42" s="319">
        <v>0.35809999999999997</v>
      </c>
      <c r="AM42" s="319">
        <v>3.6900000000000002E-2</v>
      </c>
      <c r="AN42" s="319">
        <v>6.0000000000000001E-3</v>
      </c>
      <c r="AO42" s="319">
        <v>0.15759999999999999</v>
      </c>
      <c r="AP42" s="319">
        <v>0.38640000000000002</v>
      </c>
      <c r="AQ42" s="319">
        <v>0</v>
      </c>
      <c r="AR42" s="319">
        <v>0.41420000000000001</v>
      </c>
      <c r="AS42" s="319">
        <v>0.52010000000000001</v>
      </c>
      <c r="AT42" s="331">
        <v>0.21299999999999999</v>
      </c>
      <c r="AU42" s="336">
        <v>8.6974</v>
      </c>
      <c r="AV42" s="329">
        <v>10.921100000000001</v>
      </c>
      <c r="AW42" s="337">
        <v>4.4738999999999995</v>
      </c>
      <c r="AX42" s="334"/>
      <c r="AY42" s="323">
        <v>6.8488000000000016</v>
      </c>
      <c r="AZ42" s="323">
        <v>9.2313000000000009</v>
      </c>
      <c r="BA42" s="323">
        <v>4.0606000000000009</v>
      </c>
      <c r="BB42" s="319"/>
      <c r="BC42" s="321">
        <f t="shared" si="0"/>
        <v>1.2699158976755049</v>
      </c>
      <c r="BD42" s="321">
        <f t="shared" si="1"/>
        <v>1.183051141226046</v>
      </c>
      <c r="BE42" s="321">
        <f t="shared" si="2"/>
        <v>1.1017829877358023</v>
      </c>
      <c r="BG42" s="22">
        <f t="shared" si="3"/>
        <v>-7.7715611723760958E-16</v>
      </c>
      <c r="BH42" s="22">
        <f t="shared" si="4"/>
        <v>4.7184478546569153E-16</v>
      </c>
      <c r="BI42" s="22">
        <f t="shared" si="5"/>
        <v>-1.3045120539345589E-15</v>
      </c>
    </row>
    <row r="43" spans="2:61" x14ac:dyDescent="0.25">
      <c r="B43" s="312">
        <v>36</v>
      </c>
      <c r="C43" s="312" t="s">
        <v>530</v>
      </c>
      <c r="D43" s="312" t="s">
        <v>390</v>
      </c>
      <c r="E43" s="312">
        <v>9</v>
      </c>
      <c r="F43" s="312">
        <v>1</v>
      </c>
      <c r="G43" s="313" t="s">
        <v>190</v>
      </c>
      <c r="H43" s="313"/>
      <c r="I43" s="313">
        <v>6376.8</v>
      </c>
      <c r="J43" s="312">
        <v>232.10000000000036</v>
      </c>
      <c r="K43" s="312">
        <v>5739.7</v>
      </c>
      <c r="L43" s="312">
        <v>405</v>
      </c>
      <c r="M43" s="317"/>
      <c r="N43" s="319">
        <v>9.0300000000000005E-2</v>
      </c>
      <c r="O43" s="319">
        <v>4.1000000000000002E-2</v>
      </c>
      <c r="P43" s="319">
        <v>0.30620000000000003</v>
      </c>
      <c r="Q43" s="319">
        <v>6.3600000000000004E-2</v>
      </c>
      <c r="R43" s="319">
        <v>2.2599999999999999E-2</v>
      </c>
      <c r="S43" s="319">
        <v>0.19439999999999999</v>
      </c>
      <c r="T43" s="319">
        <v>0</v>
      </c>
      <c r="U43" s="319">
        <v>0.63149999999999995</v>
      </c>
      <c r="V43" s="319">
        <v>1.1941999999999999</v>
      </c>
      <c r="W43" s="319">
        <v>0</v>
      </c>
      <c r="X43" s="319">
        <v>0.11899999999999999</v>
      </c>
      <c r="Y43" s="319">
        <v>0</v>
      </c>
      <c r="Z43" s="319">
        <v>1.3519000000000001</v>
      </c>
      <c r="AA43" s="319">
        <v>0.13</v>
      </c>
      <c r="AB43" s="319">
        <v>0.14779999999999999</v>
      </c>
      <c r="AC43" s="319">
        <v>0.1229</v>
      </c>
      <c r="AD43" s="319">
        <v>6.9199999999999998E-2</v>
      </c>
      <c r="AE43" s="319">
        <v>4.3900000000000002E-2</v>
      </c>
      <c r="AF43" s="319">
        <v>4.2000000000000003E-2</v>
      </c>
      <c r="AG43" s="319">
        <v>0</v>
      </c>
      <c r="AH43" s="319">
        <v>0</v>
      </c>
      <c r="AI43" s="319">
        <v>2.4478</v>
      </c>
      <c r="AJ43" s="319">
        <v>1.2587999999999999</v>
      </c>
      <c r="AK43" s="319">
        <v>9.11E-2</v>
      </c>
      <c r="AL43" s="319">
        <v>0.57050000000000001</v>
      </c>
      <c r="AM43" s="319">
        <v>3.9300000000000002E-2</v>
      </c>
      <c r="AN43" s="319">
        <v>6.4000000000000003E-3</v>
      </c>
      <c r="AO43" s="319">
        <v>9.3600000000000003E-2</v>
      </c>
      <c r="AP43" s="319">
        <v>0.505</v>
      </c>
      <c r="AQ43" s="319">
        <v>0</v>
      </c>
      <c r="AR43" s="319">
        <v>0.39419999999999999</v>
      </c>
      <c r="AS43" s="319">
        <v>0.47920000000000001</v>
      </c>
      <c r="AT43" s="331">
        <v>0.1757</v>
      </c>
      <c r="AU43" s="336">
        <v>8.2780000000000005</v>
      </c>
      <c r="AV43" s="329">
        <v>10.062200000000001</v>
      </c>
      <c r="AW43" s="337">
        <v>3.6887999999999996</v>
      </c>
      <c r="AX43" s="334"/>
      <c r="AY43" s="323">
        <v>6.5185000000000013</v>
      </c>
      <c r="AZ43" s="323">
        <v>8.5789000000000009</v>
      </c>
      <c r="BA43" s="323">
        <v>3.5449000000000006</v>
      </c>
      <c r="BB43" s="319"/>
      <c r="BC43" s="321">
        <f t="shared" si="0"/>
        <v>1.2699240622842676</v>
      </c>
      <c r="BD43" s="321">
        <f t="shared" si="1"/>
        <v>1.1729009546678477</v>
      </c>
      <c r="BE43" s="321">
        <f t="shared" si="2"/>
        <v>1.0405935287314168</v>
      </c>
      <c r="BG43" s="22">
        <f t="shared" si="3"/>
        <v>1.8318679906315083E-15</v>
      </c>
      <c r="BH43" s="22">
        <f t="shared" si="4"/>
        <v>-2.4841240175987878E-15</v>
      </c>
      <c r="BI43" s="22">
        <f t="shared" si="5"/>
        <v>0</v>
      </c>
    </row>
    <row r="44" spans="2:61" x14ac:dyDescent="0.25">
      <c r="B44" s="312">
        <v>37</v>
      </c>
      <c r="C44" s="312" t="s">
        <v>532</v>
      </c>
      <c r="D44" s="312" t="s">
        <v>390</v>
      </c>
      <c r="E44" s="312">
        <v>9</v>
      </c>
      <c r="F44" s="312">
        <v>2</v>
      </c>
      <c r="G44" s="313" t="s">
        <v>191</v>
      </c>
      <c r="H44" s="313"/>
      <c r="I44" s="313">
        <v>3775.4</v>
      </c>
      <c r="J44" s="312">
        <v>402.5</v>
      </c>
      <c r="K44" s="312">
        <v>3372.9</v>
      </c>
      <c r="L44" s="312">
        <v>0</v>
      </c>
      <c r="M44" s="317"/>
      <c r="N44" s="319">
        <v>0.14399999999999999</v>
      </c>
      <c r="O44" s="319">
        <v>6.9199999999999998E-2</v>
      </c>
      <c r="P44" s="319">
        <v>0.3019</v>
      </c>
      <c r="Q44" s="319">
        <v>6.8500000000000005E-2</v>
      </c>
      <c r="R44" s="319">
        <v>2.3300000000000001E-2</v>
      </c>
      <c r="S44" s="319">
        <v>0.20119999999999999</v>
      </c>
      <c r="T44" s="319">
        <v>0</v>
      </c>
      <c r="U44" s="319">
        <v>0.63149999999999995</v>
      </c>
      <c r="V44" s="319">
        <v>2.0320999999999998</v>
      </c>
      <c r="W44" s="319">
        <v>0</v>
      </c>
      <c r="X44" s="319">
        <v>0.15079999999999999</v>
      </c>
      <c r="Y44" s="319">
        <v>0</v>
      </c>
      <c r="Z44" s="319">
        <v>1.9574</v>
      </c>
      <c r="AA44" s="319">
        <v>0.19089999999999999</v>
      </c>
      <c r="AB44" s="319">
        <v>0.24940000000000001</v>
      </c>
      <c r="AC44" s="319">
        <v>0.1012</v>
      </c>
      <c r="AD44" s="319">
        <v>9.2100000000000001E-2</v>
      </c>
      <c r="AE44" s="319">
        <v>4.53E-2</v>
      </c>
      <c r="AF44" s="319">
        <v>3.9699999999999999E-2</v>
      </c>
      <c r="AG44" s="319">
        <v>3.04E-2</v>
      </c>
      <c r="AH44" s="319">
        <v>0</v>
      </c>
      <c r="AI44" s="319">
        <v>2.1534</v>
      </c>
      <c r="AJ44" s="319">
        <v>1.5085999999999999</v>
      </c>
      <c r="AK44" s="319">
        <v>8.5300000000000001E-2</v>
      </c>
      <c r="AL44" s="319">
        <v>0.47120000000000001</v>
      </c>
      <c r="AM44" s="319">
        <v>3.5999999999999997E-2</v>
      </c>
      <c r="AN44" s="319">
        <v>5.7999999999999996E-3</v>
      </c>
      <c r="AO44" s="319">
        <v>0.2303</v>
      </c>
      <c r="AP44" s="319">
        <v>0.4143</v>
      </c>
      <c r="AQ44" s="319">
        <v>0</v>
      </c>
      <c r="AR44" s="319">
        <v>0.43940000000000001</v>
      </c>
      <c r="AS44" s="319">
        <v>0.56169999999999998</v>
      </c>
      <c r="AT44" s="331">
        <v>0.22120000000000001</v>
      </c>
      <c r="AU44" s="336">
        <v>9.2268000000000008</v>
      </c>
      <c r="AV44" s="329">
        <v>11.795500000000001</v>
      </c>
      <c r="AW44" s="337">
        <v>4.6451000000000011</v>
      </c>
      <c r="AX44" s="334"/>
      <c r="AY44" s="323">
        <v>7.2655000000000012</v>
      </c>
      <c r="AZ44" s="323">
        <v>10.124300000000002</v>
      </c>
      <c r="BA44" s="323">
        <v>4.1232000000000006</v>
      </c>
      <c r="BB44" s="319"/>
      <c r="BC44" s="321">
        <f t="shared" si="0"/>
        <v>1.2699470098410295</v>
      </c>
      <c r="BD44" s="321">
        <f t="shared" si="1"/>
        <v>1.165068202246081</v>
      </c>
      <c r="BE44" s="321">
        <f t="shared" si="2"/>
        <v>1.1265764454792395</v>
      </c>
      <c r="BG44" s="22">
        <f t="shared" si="3"/>
        <v>-1.1657341758564144E-15</v>
      </c>
      <c r="BH44" s="22">
        <f t="shared" si="4"/>
        <v>9.1593399531575415E-16</v>
      </c>
      <c r="BI44" s="22">
        <f t="shared" si="5"/>
        <v>1.3600232051658168E-15</v>
      </c>
    </row>
    <row r="45" spans="2:61" x14ac:dyDescent="0.25">
      <c r="B45" s="312">
        <v>38</v>
      </c>
      <c r="C45" s="312" t="s">
        <v>534</v>
      </c>
      <c r="D45" s="312" t="s">
        <v>390</v>
      </c>
      <c r="E45" s="312">
        <v>9</v>
      </c>
      <c r="F45" s="312">
        <v>2</v>
      </c>
      <c r="G45" s="313" t="s">
        <v>192</v>
      </c>
      <c r="H45" s="313"/>
      <c r="I45" s="313">
        <v>4600</v>
      </c>
      <c r="J45" s="312">
        <v>567.19999999999982</v>
      </c>
      <c r="K45" s="312">
        <v>4032.8</v>
      </c>
      <c r="L45" s="312">
        <v>0</v>
      </c>
      <c r="M45" s="317"/>
      <c r="N45" s="319">
        <v>0.11650000000000001</v>
      </c>
      <c r="O45" s="319">
        <v>5.6800000000000003E-2</v>
      </c>
      <c r="P45" s="319">
        <v>0.28260000000000002</v>
      </c>
      <c r="Q45" s="319">
        <v>8.2699999999999996E-2</v>
      </c>
      <c r="R45" s="319">
        <v>4.3400000000000001E-2</v>
      </c>
      <c r="S45" s="319">
        <v>0.29849999999999999</v>
      </c>
      <c r="T45" s="319">
        <v>0</v>
      </c>
      <c r="U45" s="319">
        <v>0.63149999999999995</v>
      </c>
      <c r="V45" s="319">
        <v>1.6996</v>
      </c>
      <c r="W45" s="319">
        <v>0</v>
      </c>
      <c r="X45" s="319">
        <v>0.12379999999999999</v>
      </c>
      <c r="Y45" s="319">
        <v>0</v>
      </c>
      <c r="Z45" s="319">
        <v>1.8629</v>
      </c>
      <c r="AA45" s="319">
        <v>0.15409999999999999</v>
      </c>
      <c r="AB45" s="319">
        <v>0.20480000000000001</v>
      </c>
      <c r="AC45" s="319">
        <v>0.1158</v>
      </c>
      <c r="AD45" s="319">
        <v>0.21590000000000001</v>
      </c>
      <c r="AE45" s="319">
        <v>8.4500000000000006E-2</v>
      </c>
      <c r="AF45" s="319">
        <v>0.14169999999999999</v>
      </c>
      <c r="AG45" s="319">
        <v>3.1199999999999999E-2</v>
      </c>
      <c r="AH45" s="319">
        <v>0</v>
      </c>
      <c r="AI45" s="319">
        <v>2.7563</v>
      </c>
      <c r="AJ45" s="319">
        <v>1.601</v>
      </c>
      <c r="AK45" s="319">
        <v>7.6600000000000001E-2</v>
      </c>
      <c r="AL45" s="319">
        <v>0.4919</v>
      </c>
      <c r="AM45" s="319">
        <v>2.8899999999999999E-2</v>
      </c>
      <c r="AN45" s="319">
        <v>4.7000000000000002E-3</v>
      </c>
      <c r="AO45" s="319">
        <v>0.35110000000000002</v>
      </c>
      <c r="AP45" s="319">
        <v>0.48509999999999998</v>
      </c>
      <c r="AQ45" s="319">
        <v>0</v>
      </c>
      <c r="AR45" s="319">
        <v>0.4879</v>
      </c>
      <c r="AS45" s="319">
        <v>0.59709999999999996</v>
      </c>
      <c r="AT45" s="331">
        <v>0.2278</v>
      </c>
      <c r="AU45" s="336">
        <v>10.245100000000001</v>
      </c>
      <c r="AV45" s="329">
        <v>12.539</v>
      </c>
      <c r="AW45" s="337">
        <v>4.7847000000000008</v>
      </c>
      <c r="AX45" s="334"/>
      <c r="AY45" s="323">
        <v>8.0673999999999992</v>
      </c>
      <c r="AZ45" s="323">
        <v>10.743599999999997</v>
      </c>
      <c r="BA45" s="323">
        <v>4.287399999999999</v>
      </c>
      <c r="BB45" s="319"/>
      <c r="BC45" s="321">
        <f t="shared" si="0"/>
        <v>1.2699382700746216</v>
      </c>
      <c r="BD45" s="321">
        <f t="shared" si="1"/>
        <v>1.1671134442831084</v>
      </c>
      <c r="BE45" s="321">
        <f t="shared" si="2"/>
        <v>1.1159910435228815</v>
      </c>
      <c r="BG45" s="22">
        <f t="shared" si="3"/>
        <v>-2.7200464103316335E-15</v>
      </c>
      <c r="BH45" s="22">
        <f t="shared" si="4"/>
        <v>3.3861802251067274E-15</v>
      </c>
      <c r="BI45" s="22">
        <f t="shared" si="5"/>
        <v>0</v>
      </c>
    </row>
    <row r="46" spans="2:61" x14ac:dyDescent="0.25">
      <c r="B46" s="312">
        <v>39</v>
      </c>
      <c r="C46" s="312" t="s">
        <v>536</v>
      </c>
      <c r="D46" s="312" t="s">
        <v>390</v>
      </c>
      <c r="E46" s="312">
        <v>9</v>
      </c>
      <c r="F46" s="312">
        <v>4</v>
      </c>
      <c r="G46" s="313" t="s">
        <v>194</v>
      </c>
      <c r="H46" s="313"/>
      <c r="I46" s="313">
        <v>8346.5</v>
      </c>
      <c r="J46" s="312">
        <v>940.5</v>
      </c>
      <c r="K46" s="312">
        <v>7406</v>
      </c>
      <c r="L46" s="312">
        <v>0</v>
      </c>
      <c r="M46" s="317"/>
      <c r="N46" s="319">
        <v>8.3699999999999997E-2</v>
      </c>
      <c r="O46" s="319">
        <v>4.5900000000000003E-2</v>
      </c>
      <c r="P46" s="319">
        <v>0.30349999999999999</v>
      </c>
      <c r="Q46" s="319">
        <v>6.4000000000000001E-2</v>
      </c>
      <c r="R46" s="319">
        <v>4.7899999999999998E-2</v>
      </c>
      <c r="S46" s="319">
        <v>0.37230000000000002</v>
      </c>
      <c r="T46" s="319">
        <v>0</v>
      </c>
      <c r="U46" s="319">
        <v>0.63149999999999995</v>
      </c>
      <c r="V46" s="319">
        <v>1.7204999999999999</v>
      </c>
      <c r="W46" s="319">
        <v>2.4299999999999999E-2</v>
      </c>
      <c r="X46" s="319">
        <v>0.13450000000000001</v>
      </c>
      <c r="Y46" s="319">
        <v>0</v>
      </c>
      <c r="Z46" s="319">
        <v>2.9251</v>
      </c>
      <c r="AA46" s="319">
        <v>0.1143</v>
      </c>
      <c r="AB46" s="319">
        <v>0.16650000000000001</v>
      </c>
      <c r="AC46" s="319">
        <v>9.9500000000000005E-2</v>
      </c>
      <c r="AD46" s="319">
        <v>0.1046</v>
      </c>
      <c r="AE46" s="319">
        <v>9.3100000000000002E-2</v>
      </c>
      <c r="AF46" s="319">
        <v>0.1757</v>
      </c>
      <c r="AG46" s="319">
        <v>2.87E-2</v>
      </c>
      <c r="AH46" s="319">
        <v>0</v>
      </c>
      <c r="AI46" s="319">
        <v>1.611</v>
      </c>
      <c r="AJ46" s="319">
        <v>1.4811000000000001</v>
      </c>
      <c r="AK46" s="319">
        <v>8.6699999999999999E-2</v>
      </c>
      <c r="AL46" s="319">
        <v>0.51349999999999996</v>
      </c>
      <c r="AM46" s="319">
        <v>3.9100000000000003E-2</v>
      </c>
      <c r="AN46" s="319">
        <v>6.3E-3</v>
      </c>
      <c r="AO46" s="319">
        <v>0.34289999999999998</v>
      </c>
      <c r="AP46" s="319">
        <v>0.50880000000000003</v>
      </c>
      <c r="AQ46" s="319">
        <v>0</v>
      </c>
      <c r="AR46" s="319">
        <v>0.47360000000000002</v>
      </c>
      <c r="AS46" s="319">
        <v>0.58630000000000004</v>
      </c>
      <c r="AT46" s="331">
        <v>0.27610000000000001</v>
      </c>
      <c r="AU46" s="336">
        <v>9.9449999999999985</v>
      </c>
      <c r="AV46" s="329">
        <v>12.311299999999999</v>
      </c>
      <c r="AW46" s="337">
        <v>5.7989999999999995</v>
      </c>
      <c r="AX46" s="334"/>
      <c r="AY46" s="323">
        <v>7.8311000000000011</v>
      </c>
      <c r="AZ46" s="323">
        <v>10.704800000000001</v>
      </c>
      <c r="BA46" s="323">
        <v>4.9242000000000008</v>
      </c>
      <c r="BB46" s="319"/>
      <c r="BC46" s="321">
        <f t="shared" si="0"/>
        <v>1.26993653509724</v>
      </c>
      <c r="BD46" s="321">
        <f t="shared" si="1"/>
        <v>1.1500728645093787</v>
      </c>
      <c r="BE46" s="321">
        <f t="shared" si="2"/>
        <v>1.177653222858535</v>
      </c>
      <c r="BG46" s="22">
        <f t="shared" si="3"/>
        <v>1.7763568394002505E-15</v>
      </c>
      <c r="BH46" s="22">
        <f t="shared" si="4"/>
        <v>0</v>
      </c>
      <c r="BI46" s="22">
        <f t="shared" si="5"/>
        <v>-4.9960036108132044E-16</v>
      </c>
    </row>
    <row r="47" spans="2:61" x14ac:dyDescent="0.25">
      <c r="B47" s="312">
        <v>40</v>
      </c>
      <c r="C47" s="312" t="s">
        <v>538</v>
      </c>
      <c r="D47" s="312" t="s">
        <v>390</v>
      </c>
      <c r="E47" s="312">
        <v>9</v>
      </c>
      <c r="F47" s="312">
        <v>2</v>
      </c>
      <c r="G47" s="313" t="s">
        <v>195</v>
      </c>
      <c r="H47" s="313"/>
      <c r="I47" s="313">
        <v>4944</v>
      </c>
      <c r="J47" s="312">
        <v>568.89999999999964</v>
      </c>
      <c r="K47" s="312">
        <v>4375.1000000000004</v>
      </c>
      <c r="L47" s="312">
        <v>0</v>
      </c>
      <c r="M47" s="317"/>
      <c r="N47" s="319">
        <v>0.13639999999999999</v>
      </c>
      <c r="O47" s="319">
        <v>5.7200000000000001E-2</v>
      </c>
      <c r="P47" s="319">
        <v>0.29580000000000001</v>
      </c>
      <c r="Q47" s="319">
        <v>6.7100000000000007E-2</v>
      </c>
      <c r="R47" s="319">
        <v>5.5E-2</v>
      </c>
      <c r="S47" s="319">
        <v>0.28110000000000002</v>
      </c>
      <c r="T47" s="319">
        <v>0</v>
      </c>
      <c r="U47" s="319">
        <v>0.63149999999999995</v>
      </c>
      <c r="V47" s="319">
        <v>1.4838</v>
      </c>
      <c r="W47" s="319">
        <v>0</v>
      </c>
      <c r="X47" s="319">
        <v>0.12479999999999999</v>
      </c>
      <c r="Y47" s="319">
        <v>0</v>
      </c>
      <c r="Z47" s="319">
        <v>2.9249000000000001</v>
      </c>
      <c r="AA47" s="319">
        <v>0.1875</v>
      </c>
      <c r="AB47" s="319">
        <v>0.20599999999999999</v>
      </c>
      <c r="AC47" s="319">
        <v>0.1028</v>
      </c>
      <c r="AD47" s="319">
        <v>0.12180000000000001</v>
      </c>
      <c r="AE47" s="319">
        <v>0.1069</v>
      </c>
      <c r="AF47" s="319">
        <v>0.1348</v>
      </c>
      <c r="AG47" s="319">
        <v>3.0800000000000001E-2</v>
      </c>
      <c r="AH47" s="319">
        <v>0</v>
      </c>
      <c r="AI47" s="319">
        <v>1.7955000000000001</v>
      </c>
      <c r="AJ47" s="319">
        <v>1.3920999999999999</v>
      </c>
      <c r="AK47" s="319">
        <v>8.4199999999999997E-2</v>
      </c>
      <c r="AL47" s="319">
        <v>0.47610000000000002</v>
      </c>
      <c r="AM47" s="319">
        <v>3.95E-2</v>
      </c>
      <c r="AN47" s="319">
        <v>6.4000000000000003E-3</v>
      </c>
      <c r="AO47" s="319">
        <v>0.35699999999999998</v>
      </c>
      <c r="AP47" s="319">
        <v>0.47320000000000001</v>
      </c>
      <c r="AQ47" s="319">
        <v>0</v>
      </c>
      <c r="AR47" s="319">
        <v>0.48080000000000001</v>
      </c>
      <c r="AS47" s="319">
        <v>0.5786</v>
      </c>
      <c r="AT47" s="331">
        <v>0.2797</v>
      </c>
      <c r="AU47" s="336">
        <v>10.096</v>
      </c>
      <c r="AV47" s="329">
        <v>12.1508</v>
      </c>
      <c r="AW47" s="337">
        <v>5.8742000000000001</v>
      </c>
      <c r="AX47" s="334"/>
      <c r="AY47" s="323">
        <v>7.9501999999999997</v>
      </c>
      <c r="AZ47" s="323">
        <v>10.303300000000002</v>
      </c>
      <c r="BA47" s="323">
        <v>5.0072000000000001</v>
      </c>
      <c r="BB47" s="319"/>
      <c r="BC47" s="321">
        <f t="shared" si="0"/>
        <v>1.2699051596186259</v>
      </c>
      <c r="BD47" s="321">
        <f t="shared" si="1"/>
        <v>1.1793114827288342</v>
      </c>
      <c r="BE47" s="321">
        <f t="shared" si="2"/>
        <v>1.1731506630452149</v>
      </c>
      <c r="BG47" s="22">
        <f t="shared" si="3"/>
        <v>-1.9984014443252818E-15</v>
      </c>
      <c r="BH47" s="22">
        <f t="shared" si="4"/>
        <v>-2.2204460492503131E-16</v>
      </c>
      <c r="BI47" s="22">
        <f t="shared" si="5"/>
        <v>-2.4424906541753444E-15</v>
      </c>
    </row>
    <row r="48" spans="2:61" x14ac:dyDescent="0.25">
      <c r="B48" s="312">
        <v>41</v>
      </c>
      <c r="C48" s="312" t="s">
        <v>540</v>
      </c>
      <c r="D48" s="312" t="s">
        <v>390</v>
      </c>
      <c r="E48" s="312">
        <v>9</v>
      </c>
      <c r="F48" s="312">
        <v>2</v>
      </c>
      <c r="G48" s="313" t="s">
        <v>196</v>
      </c>
      <c r="H48" s="313"/>
      <c r="I48" s="313">
        <v>3774.7</v>
      </c>
      <c r="J48" s="312">
        <v>398.89999999999964</v>
      </c>
      <c r="K48" s="312">
        <v>3375.8</v>
      </c>
      <c r="L48" s="312">
        <v>0</v>
      </c>
      <c r="M48" s="317"/>
      <c r="N48" s="319">
        <v>0.18129999999999999</v>
      </c>
      <c r="O48" s="319">
        <v>6.9199999999999998E-2</v>
      </c>
      <c r="P48" s="319">
        <v>0.30209999999999998</v>
      </c>
      <c r="Q48" s="319">
        <v>6.8900000000000003E-2</v>
      </c>
      <c r="R48" s="319">
        <v>2.3300000000000001E-2</v>
      </c>
      <c r="S48" s="319">
        <v>0.20760000000000001</v>
      </c>
      <c r="T48" s="319">
        <v>0</v>
      </c>
      <c r="U48" s="319">
        <v>0.63149999999999995</v>
      </c>
      <c r="V48" s="319">
        <v>2.0304000000000002</v>
      </c>
      <c r="W48" s="319">
        <v>0</v>
      </c>
      <c r="X48" s="319">
        <v>0.15079999999999999</v>
      </c>
      <c r="Y48" s="319">
        <v>0</v>
      </c>
      <c r="Z48" s="319">
        <v>1.7565</v>
      </c>
      <c r="AA48" s="319">
        <v>0.23619999999999999</v>
      </c>
      <c r="AB48" s="319">
        <v>0.24940000000000001</v>
      </c>
      <c r="AC48" s="319">
        <v>0.1024</v>
      </c>
      <c r="AD48" s="319">
        <v>9.2600000000000002E-2</v>
      </c>
      <c r="AE48" s="319">
        <v>4.53E-2</v>
      </c>
      <c r="AF48" s="319">
        <v>4.8599999999999997E-2</v>
      </c>
      <c r="AG48" s="319">
        <v>2.5399999999999999E-2</v>
      </c>
      <c r="AH48" s="319">
        <v>0</v>
      </c>
      <c r="AI48" s="319">
        <v>2.0287999999999999</v>
      </c>
      <c r="AJ48" s="319">
        <v>1.4542999999999999</v>
      </c>
      <c r="AK48" s="319">
        <v>8.3900000000000002E-2</v>
      </c>
      <c r="AL48" s="319">
        <v>0.48949999999999999</v>
      </c>
      <c r="AM48" s="319">
        <v>3.56E-2</v>
      </c>
      <c r="AN48" s="319">
        <v>5.7999999999999996E-3</v>
      </c>
      <c r="AO48" s="319">
        <v>0.32500000000000001</v>
      </c>
      <c r="AP48" s="319">
        <v>0.46</v>
      </c>
      <c r="AQ48" s="319">
        <v>0</v>
      </c>
      <c r="AR48" s="319">
        <v>0.43070000000000003</v>
      </c>
      <c r="AS48" s="319">
        <v>0.55520000000000003</v>
      </c>
      <c r="AT48" s="331">
        <v>0.21579999999999999</v>
      </c>
      <c r="AU48" s="336">
        <v>9.0447000000000006</v>
      </c>
      <c r="AV48" s="329">
        <v>11.659600000000001</v>
      </c>
      <c r="AW48" s="337">
        <v>4.5322000000000013</v>
      </c>
      <c r="AX48" s="334"/>
      <c r="AY48" s="323">
        <v>7.1222000000000012</v>
      </c>
      <c r="AZ48" s="323">
        <v>10.2615</v>
      </c>
      <c r="BA48" s="323">
        <v>4.0702000000000007</v>
      </c>
      <c r="BB48" s="319"/>
      <c r="BC48" s="321">
        <f t="shared" si="0"/>
        <v>1.2699306394091712</v>
      </c>
      <c r="BD48" s="321">
        <f t="shared" si="1"/>
        <v>1.1362471373580862</v>
      </c>
      <c r="BE48" s="321">
        <f t="shared" si="2"/>
        <v>1.1135079357279742</v>
      </c>
      <c r="BG48" s="22">
        <f t="shared" si="3"/>
        <v>0</v>
      </c>
      <c r="BH48" s="22">
        <f t="shared" si="4"/>
        <v>0</v>
      </c>
      <c r="BI48" s="22">
        <f t="shared" si="5"/>
        <v>1.4710455076283324E-15</v>
      </c>
    </row>
    <row r="49" spans="2:61" x14ac:dyDescent="0.25">
      <c r="B49" s="312">
        <v>42</v>
      </c>
      <c r="C49" s="312" t="s">
        <v>542</v>
      </c>
      <c r="D49" s="312" t="s">
        <v>390</v>
      </c>
      <c r="E49" s="312">
        <v>9</v>
      </c>
      <c r="F49" s="312">
        <v>2</v>
      </c>
      <c r="G49" s="313" t="s">
        <v>197</v>
      </c>
      <c r="H49" s="313"/>
      <c r="I49" s="313">
        <v>3993</v>
      </c>
      <c r="J49" s="312">
        <v>442</v>
      </c>
      <c r="K49" s="312">
        <v>3551</v>
      </c>
      <c r="L49" s="312">
        <v>0</v>
      </c>
      <c r="M49" s="317"/>
      <c r="N49" s="319">
        <v>0.1079</v>
      </c>
      <c r="O49" s="319">
        <v>5.6800000000000003E-2</v>
      </c>
      <c r="P49" s="319">
        <v>0.28899999999999998</v>
      </c>
      <c r="Q49" s="319">
        <v>6.6100000000000006E-2</v>
      </c>
      <c r="R49" s="319">
        <v>5.2499999999999998E-2</v>
      </c>
      <c r="S49" s="319">
        <v>0.31690000000000002</v>
      </c>
      <c r="T49" s="319">
        <v>0</v>
      </c>
      <c r="U49" s="319">
        <v>0.63149999999999995</v>
      </c>
      <c r="V49" s="319">
        <v>1.9301999999999999</v>
      </c>
      <c r="W49" s="319">
        <v>0</v>
      </c>
      <c r="X49" s="319">
        <v>0.1426</v>
      </c>
      <c r="Y49" s="319">
        <v>0</v>
      </c>
      <c r="Z49" s="319">
        <v>2.331</v>
      </c>
      <c r="AA49" s="319">
        <v>0.1459</v>
      </c>
      <c r="AB49" s="319">
        <v>0.20530000000000001</v>
      </c>
      <c r="AC49" s="319">
        <v>0.12139999999999999</v>
      </c>
      <c r="AD49" s="319">
        <v>0.1011</v>
      </c>
      <c r="AE49" s="319">
        <v>0.1022</v>
      </c>
      <c r="AF49" s="319">
        <v>0.1396</v>
      </c>
      <c r="AG49" s="319">
        <v>2.8000000000000001E-2</v>
      </c>
      <c r="AH49" s="319">
        <v>0</v>
      </c>
      <c r="AI49" s="319">
        <v>1.9164000000000001</v>
      </c>
      <c r="AJ49" s="319">
        <v>1.7116</v>
      </c>
      <c r="AK49" s="319">
        <v>8.2400000000000001E-2</v>
      </c>
      <c r="AL49" s="319">
        <v>0.46939999999999998</v>
      </c>
      <c r="AM49" s="319">
        <v>3.9E-2</v>
      </c>
      <c r="AN49" s="319">
        <v>6.3E-3</v>
      </c>
      <c r="AO49" s="319">
        <v>0.27610000000000001</v>
      </c>
      <c r="AP49" s="319">
        <v>0.41689999999999999</v>
      </c>
      <c r="AQ49" s="319">
        <v>0</v>
      </c>
      <c r="AR49" s="319">
        <v>0.46700000000000003</v>
      </c>
      <c r="AS49" s="319">
        <v>0.58430000000000004</v>
      </c>
      <c r="AT49" s="331">
        <v>0.24829999999999999</v>
      </c>
      <c r="AU49" s="336">
        <v>9.8059999999999992</v>
      </c>
      <c r="AV49" s="329">
        <v>12.270399999999999</v>
      </c>
      <c r="AW49" s="337">
        <v>5.2137999999999991</v>
      </c>
      <c r="AX49" s="334"/>
      <c r="AY49" s="323">
        <v>7.7217000000000002</v>
      </c>
      <c r="AZ49" s="323">
        <v>10.541100000000002</v>
      </c>
      <c r="BA49" s="323">
        <v>4.572000000000001</v>
      </c>
      <c r="BB49" s="319"/>
      <c r="BC49" s="321">
        <f t="shared" si="0"/>
        <v>1.2699276066151235</v>
      </c>
      <c r="BD49" s="321">
        <f t="shared" si="1"/>
        <v>1.1640530874386921</v>
      </c>
      <c r="BE49" s="321">
        <f t="shared" si="2"/>
        <v>1.1403762029746278</v>
      </c>
      <c r="BG49" s="22">
        <f t="shared" si="3"/>
        <v>-3.6082248300317588E-15</v>
      </c>
      <c r="BH49" s="22">
        <f t="shared" si="4"/>
        <v>-1.2628786905111156E-15</v>
      </c>
      <c r="BI49" s="22">
        <f t="shared" si="5"/>
        <v>-8.1878948066105295E-16</v>
      </c>
    </row>
    <row r="50" spans="2:61" x14ac:dyDescent="0.25">
      <c r="B50" s="312">
        <v>43</v>
      </c>
      <c r="C50" s="312" t="s">
        <v>544</v>
      </c>
      <c r="D50" s="312" t="s">
        <v>390</v>
      </c>
      <c r="E50" s="312">
        <v>9</v>
      </c>
      <c r="F50" s="312">
        <v>2</v>
      </c>
      <c r="G50" s="313" t="s">
        <v>198</v>
      </c>
      <c r="H50" s="313"/>
      <c r="I50" s="313">
        <v>4492.5</v>
      </c>
      <c r="J50" s="312">
        <v>498.80000000000018</v>
      </c>
      <c r="K50" s="312">
        <v>3993.7</v>
      </c>
      <c r="L50" s="312">
        <v>0</v>
      </c>
      <c r="M50" s="317"/>
      <c r="N50" s="319">
        <v>0.11219999999999999</v>
      </c>
      <c r="O50" s="319">
        <v>5.8200000000000002E-2</v>
      </c>
      <c r="P50" s="319">
        <v>0.29360000000000003</v>
      </c>
      <c r="Q50" s="319">
        <v>7.4200000000000002E-2</v>
      </c>
      <c r="R50" s="319">
        <v>5.6000000000000001E-2</v>
      </c>
      <c r="S50" s="319">
        <v>0.28170000000000001</v>
      </c>
      <c r="T50" s="319">
        <v>0</v>
      </c>
      <c r="U50" s="319">
        <v>0.63149999999999995</v>
      </c>
      <c r="V50" s="319">
        <v>1.7161999999999999</v>
      </c>
      <c r="W50" s="319">
        <v>0</v>
      </c>
      <c r="X50" s="319">
        <v>0.12670000000000001</v>
      </c>
      <c r="Y50" s="319">
        <v>0</v>
      </c>
      <c r="Z50" s="319">
        <v>2.3603999999999998</v>
      </c>
      <c r="AA50" s="319">
        <v>0.1492</v>
      </c>
      <c r="AB50" s="319">
        <v>0.2097</v>
      </c>
      <c r="AC50" s="319">
        <v>0.1016</v>
      </c>
      <c r="AD50" s="319">
        <v>0.1797</v>
      </c>
      <c r="AE50" s="319">
        <v>0.109</v>
      </c>
      <c r="AF50" s="319">
        <v>0.1241</v>
      </c>
      <c r="AG50" s="319">
        <v>2.64E-2</v>
      </c>
      <c r="AH50" s="319">
        <v>0</v>
      </c>
      <c r="AI50" s="319">
        <v>2.2235999999999998</v>
      </c>
      <c r="AJ50" s="319">
        <v>1.4924999999999999</v>
      </c>
      <c r="AK50" s="319">
        <v>8.2299999999999998E-2</v>
      </c>
      <c r="AL50" s="319">
        <v>0.49819999999999998</v>
      </c>
      <c r="AM50" s="319">
        <v>3.8199999999999998E-2</v>
      </c>
      <c r="AN50" s="319">
        <v>6.1999999999999998E-3</v>
      </c>
      <c r="AO50" s="319">
        <v>0.34100000000000003</v>
      </c>
      <c r="AP50" s="319">
        <v>0.44059999999999999</v>
      </c>
      <c r="AQ50" s="319">
        <v>0</v>
      </c>
      <c r="AR50" s="319">
        <v>0.4788</v>
      </c>
      <c r="AS50" s="319">
        <v>0.5867</v>
      </c>
      <c r="AT50" s="331">
        <v>0.251</v>
      </c>
      <c r="AU50" s="336">
        <v>10.055</v>
      </c>
      <c r="AV50" s="329">
        <v>12.319700000000001</v>
      </c>
      <c r="AW50" s="337">
        <v>5.2719000000000014</v>
      </c>
      <c r="AX50" s="334"/>
      <c r="AY50" s="323">
        <v>7.9177999999999997</v>
      </c>
      <c r="AZ50" s="323">
        <v>10.6088</v>
      </c>
      <c r="BA50" s="323">
        <v>4.4998999999999993</v>
      </c>
      <c r="BB50" s="319"/>
      <c r="BC50" s="321">
        <f t="shared" si="0"/>
        <v>1.2699234635883705</v>
      </c>
      <c r="BD50" s="321">
        <f t="shared" si="1"/>
        <v>1.1612717743759897</v>
      </c>
      <c r="BE50" s="321">
        <f t="shared" si="2"/>
        <v>1.1715593679859557</v>
      </c>
      <c r="BG50" s="22">
        <f t="shared" si="3"/>
        <v>2.0539125955565396E-15</v>
      </c>
      <c r="BH50" s="22">
        <f t="shared" si="4"/>
        <v>1.1102230246251565E-15</v>
      </c>
      <c r="BI50" s="22">
        <f t="shared" si="5"/>
        <v>8.8817841970012523E-16</v>
      </c>
    </row>
    <row r="51" spans="2:61" x14ac:dyDescent="0.25">
      <c r="B51" s="312">
        <v>44</v>
      </c>
      <c r="C51" s="312" t="s">
        <v>546</v>
      </c>
      <c r="D51" s="312" t="s">
        <v>390</v>
      </c>
      <c r="E51" s="312">
        <v>9</v>
      </c>
      <c r="F51" s="312">
        <v>2</v>
      </c>
      <c r="G51" s="313" t="s">
        <v>199</v>
      </c>
      <c r="H51" s="313"/>
      <c r="I51" s="313">
        <v>6412.8</v>
      </c>
      <c r="J51" s="312">
        <v>712.90000000000055</v>
      </c>
      <c r="K51" s="312">
        <v>5699.9</v>
      </c>
      <c r="L51" s="312">
        <v>0</v>
      </c>
      <c r="M51" s="317"/>
      <c r="N51" s="319">
        <v>0.17630000000000001</v>
      </c>
      <c r="O51" s="319">
        <v>6.4199999999999993E-2</v>
      </c>
      <c r="P51" s="319">
        <v>0.29649999999999999</v>
      </c>
      <c r="Q51" s="319">
        <v>6.83E-2</v>
      </c>
      <c r="R51" s="319">
        <v>5.9200000000000003E-2</v>
      </c>
      <c r="S51" s="319">
        <v>0.2397</v>
      </c>
      <c r="T51" s="319">
        <v>0</v>
      </c>
      <c r="U51" s="319">
        <v>0.63149999999999995</v>
      </c>
      <c r="V51" s="319">
        <v>1.2024999999999999</v>
      </c>
      <c r="W51" s="319">
        <v>0</v>
      </c>
      <c r="X51" s="319">
        <v>0.1221</v>
      </c>
      <c r="Y51" s="319">
        <v>0</v>
      </c>
      <c r="Z51" s="319">
        <v>3.0169000000000001</v>
      </c>
      <c r="AA51" s="319">
        <v>0.24640000000000001</v>
      </c>
      <c r="AB51" s="319">
        <v>0.23</v>
      </c>
      <c r="AC51" s="319">
        <v>0.1033</v>
      </c>
      <c r="AD51" s="319">
        <v>0.1358</v>
      </c>
      <c r="AE51" s="319">
        <v>0.11509999999999999</v>
      </c>
      <c r="AF51" s="319">
        <v>0.13489999999999999</v>
      </c>
      <c r="AG51" s="319">
        <v>2.7E-2</v>
      </c>
      <c r="AH51" s="319">
        <v>0</v>
      </c>
      <c r="AI51" s="319">
        <v>1.6012</v>
      </c>
      <c r="AJ51" s="319">
        <v>1.0885</v>
      </c>
      <c r="AK51" s="319">
        <v>8.0399999999999999E-2</v>
      </c>
      <c r="AL51" s="319">
        <v>0.40160000000000001</v>
      </c>
      <c r="AM51" s="319">
        <v>3.6999999999999998E-2</v>
      </c>
      <c r="AN51" s="319">
        <v>6.0000000000000001E-3</v>
      </c>
      <c r="AO51" s="319">
        <v>0.26390000000000002</v>
      </c>
      <c r="AP51" s="319">
        <v>0.71009999999999995</v>
      </c>
      <c r="AQ51" s="319">
        <v>0</v>
      </c>
      <c r="AR51" s="319">
        <v>0.45729999999999998</v>
      </c>
      <c r="AS51" s="319">
        <v>0.55289999999999995</v>
      </c>
      <c r="AT51" s="331">
        <v>0.28949999999999998</v>
      </c>
      <c r="AU51" s="336">
        <v>9.6030999999999995</v>
      </c>
      <c r="AV51" s="329">
        <v>11.6113</v>
      </c>
      <c r="AW51" s="337">
        <v>6.0800999999999998</v>
      </c>
      <c r="AX51" s="334"/>
      <c r="AY51" s="323">
        <v>7.5621999999999989</v>
      </c>
      <c r="AZ51" s="323">
        <v>9.6942999999999984</v>
      </c>
      <c r="BA51" s="323">
        <v>4.9473999999999991</v>
      </c>
      <c r="BB51" s="319"/>
      <c r="BC51" s="321">
        <f t="shared" si="0"/>
        <v>1.2698817804342653</v>
      </c>
      <c r="BD51" s="321">
        <f t="shared" si="1"/>
        <v>1.1977450666886729</v>
      </c>
      <c r="BE51" s="321">
        <f t="shared" si="2"/>
        <v>1.2289485386263495</v>
      </c>
      <c r="BG51" s="22">
        <f t="shared" si="3"/>
        <v>-7.2164496600635175E-16</v>
      </c>
      <c r="BH51" s="22">
        <f t="shared" si="4"/>
        <v>-8.3266726846886741E-16</v>
      </c>
      <c r="BI51" s="22">
        <f t="shared" si="5"/>
        <v>-1.4988010832439613E-15</v>
      </c>
    </row>
    <row r="52" spans="2:61" x14ac:dyDescent="0.25">
      <c r="B52" s="312">
        <v>45</v>
      </c>
      <c r="C52" s="312" t="s">
        <v>548</v>
      </c>
      <c r="D52" s="312" t="s">
        <v>390</v>
      </c>
      <c r="E52" s="312">
        <v>9</v>
      </c>
      <c r="F52" s="312">
        <v>2</v>
      </c>
      <c r="G52" s="313" t="s">
        <v>200</v>
      </c>
      <c r="H52" s="313"/>
      <c r="I52" s="313">
        <v>3984</v>
      </c>
      <c r="J52" s="312">
        <v>442</v>
      </c>
      <c r="K52" s="312">
        <v>3542</v>
      </c>
      <c r="L52" s="312">
        <v>0</v>
      </c>
      <c r="M52" s="317"/>
      <c r="N52" s="319">
        <v>0.1211</v>
      </c>
      <c r="O52" s="319">
        <v>5.7599999999999998E-2</v>
      </c>
      <c r="P52" s="319">
        <v>0.31740000000000002</v>
      </c>
      <c r="Q52" s="319">
        <v>7.2700000000000001E-2</v>
      </c>
      <c r="R52" s="319">
        <v>5.2699999999999997E-2</v>
      </c>
      <c r="S52" s="319">
        <v>0.31759999999999999</v>
      </c>
      <c r="T52" s="319">
        <v>0</v>
      </c>
      <c r="U52" s="319">
        <v>0.63149999999999995</v>
      </c>
      <c r="V52" s="319">
        <v>1.9351</v>
      </c>
      <c r="W52" s="319">
        <v>0</v>
      </c>
      <c r="X52" s="319">
        <v>0.1429</v>
      </c>
      <c r="Y52" s="319">
        <v>0</v>
      </c>
      <c r="Z52" s="319">
        <v>2.5384000000000002</v>
      </c>
      <c r="AA52" s="319">
        <v>0.16159999999999999</v>
      </c>
      <c r="AB52" s="319">
        <v>0.20810000000000001</v>
      </c>
      <c r="AC52" s="319">
        <v>8.8099999999999998E-2</v>
      </c>
      <c r="AD52" s="319">
        <v>0.1336</v>
      </c>
      <c r="AE52" s="319">
        <v>0.1024</v>
      </c>
      <c r="AF52" s="319">
        <v>0.1399</v>
      </c>
      <c r="AG52" s="319">
        <v>2.8000000000000001E-2</v>
      </c>
      <c r="AH52" s="319">
        <v>0</v>
      </c>
      <c r="AI52" s="319">
        <v>1.3545</v>
      </c>
      <c r="AJ52" s="319">
        <v>1.8905000000000001</v>
      </c>
      <c r="AK52" s="319">
        <v>8.3000000000000004E-2</v>
      </c>
      <c r="AL52" s="319">
        <v>0.54400000000000004</v>
      </c>
      <c r="AM52" s="319">
        <v>3.8800000000000001E-2</v>
      </c>
      <c r="AN52" s="319">
        <v>6.3E-3</v>
      </c>
      <c r="AO52" s="319">
        <v>0.34560000000000002</v>
      </c>
      <c r="AP52" s="319">
        <v>0.49980000000000002</v>
      </c>
      <c r="AQ52" s="319">
        <v>0</v>
      </c>
      <c r="AR52" s="319">
        <v>0.46879999999999999</v>
      </c>
      <c r="AS52" s="319">
        <v>0.59060000000000001</v>
      </c>
      <c r="AT52" s="331">
        <v>0.2621</v>
      </c>
      <c r="AU52" s="336">
        <v>9.8450999999999986</v>
      </c>
      <c r="AV52" s="329">
        <v>12.4018</v>
      </c>
      <c r="AW52" s="337">
        <v>5.5037999999999991</v>
      </c>
      <c r="AX52" s="334"/>
      <c r="AY52" s="323">
        <v>7.7525000000000013</v>
      </c>
      <c r="AZ52" s="323">
        <v>10.722700000000001</v>
      </c>
      <c r="BA52" s="323">
        <v>4.7279000000000009</v>
      </c>
      <c r="BB52" s="319"/>
      <c r="BC52" s="321">
        <f t="shared" si="0"/>
        <v>1.2699258303772973</v>
      </c>
      <c r="BD52" s="321">
        <f t="shared" si="1"/>
        <v>1.156593022279836</v>
      </c>
      <c r="BE52" s="321">
        <f t="shared" si="2"/>
        <v>1.1641109160515235</v>
      </c>
      <c r="BG52" s="22">
        <f t="shared" si="3"/>
        <v>6.6613381477509392E-16</v>
      </c>
      <c r="BH52" s="22">
        <f t="shared" si="4"/>
        <v>0</v>
      </c>
      <c r="BI52" s="22">
        <f t="shared" si="5"/>
        <v>-1.915134717478395E-15</v>
      </c>
    </row>
    <row r="53" spans="2:61" x14ac:dyDescent="0.25">
      <c r="B53" s="312">
        <v>46</v>
      </c>
      <c r="C53" s="312" t="s">
        <v>550</v>
      </c>
      <c r="D53" s="312" t="s">
        <v>390</v>
      </c>
      <c r="E53" s="312">
        <v>9</v>
      </c>
      <c r="F53" s="312">
        <v>2</v>
      </c>
      <c r="G53" s="313" t="s">
        <v>201</v>
      </c>
      <c r="H53" s="313"/>
      <c r="I53" s="313">
        <v>3750.4</v>
      </c>
      <c r="J53" s="312">
        <v>411.70000000000027</v>
      </c>
      <c r="K53" s="312">
        <v>3338.7</v>
      </c>
      <c r="L53" s="312">
        <v>0</v>
      </c>
      <c r="M53" s="317"/>
      <c r="N53" s="319">
        <v>0.13159999999999999</v>
      </c>
      <c r="O53" s="319">
        <v>6.9599999999999995E-2</v>
      </c>
      <c r="P53" s="319">
        <v>0.30270000000000002</v>
      </c>
      <c r="Q53" s="319">
        <v>6.7900000000000002E-2</v>
      </c>
      <c r="R53" s="319">
        <v>2.3400000000000001E-2</v>
      </c>
      <c r="S53" s="319">
        <v>0.2074</v>
      </c>
      <c r="T53" s="319">
        <v>0</v>
      </c>
      <c r="U53" s="319">
        <v>0.63149999999999995</v>
      </c>
      <c r="V53" s="319">
        <v>2.0529000000000002</v>
      </c>
      <c r="W53" s="319">
        <v>0</v>
      </c>
      <c r="X53" s="319">
        <v>0.15179999999999999</v>
      </c>
      <c r="Y53" s="319">
        <v>0</v>
      </c>
      <c r="Z53" s="319">
        <v>1.9976</v>
      </c>
      <c r="AA53" s="319">
        <v>0.1754</v>
      </c>
      <c r="AB53" s="319">
        <v>0.251</v>
      </c>
      <c r="AC53" s="319">
        <v>0.10100000000000001</v>
      </c>
      <c r="AD53" s="319">
        <v>9.3100000000000002E-2</v>
      </c>
      <c r="AE53" s="319">
        <v>4.5600000000000002E-2</v>
      </c>
      <c r="AF53" s="319">
        <v>4.2299999999999997E-2</v>
      </c>
      <c r="AG53" s="319">
        <v>3.2500000000000001E-2</v>
      </c>
      <c r="AH53" s="319">
        <v>0</v>
      </c>
      <c r="AI53" s="319">
        <v>1.7786</v>
      </c>
      <c r="AJ53" s="319">
        <v>1.5629</v>
      </c>
      <c r="AK53" s="319">
        <v>8.1199999999999994E-2</v>
      </c>
      <c r="AL53" s="319">
        <v>0.498</v>
      </c>
      <c r="AM53" s="319">
        <v>3.6200000000000003E-2</v>
      </c>
      <c r="AN53" s="319">
        <v>5.8999999999999999E-3</v>
      </c>
      <c r="AO53" s="319">
        <v>0.18490000000000001</v>
      </c>
      <c r="AP53" s="319">
        <v>0.26350000000000001</v>
      </c>
      <c r="AQ53" s="319">
        <v>0</v>
      </c>
      <c r="AR53" s="319">
        <v>0.42359999999999998</v>
      </c>
      <c r="AS53" s="319">
        <v>0.53939999999999999</v>
      </c>
      <c r="AT53" s="331">
        <v>0.22239999999999999</v>
      </c>
      <c r="AU53" s="336">
        <v>8.8956999999999997</v>
      </c>
      <c r="AV53" s="329">
        <v>11.3279</v>
      </c>
      <c r="AW53" s="337">
        <v>4.6700999999999988</v>
      </c>
      <c r="AX53" s="334"/>
      <c r="AY53" s="323">
        <v>7.0047999999999995</v>
      </c>
      <c r="AZ53" s="323">
        <v>9.9209999999999994</v>
      </c>
      <c r="BA53" s="323">
        <v>4.1115999999999993</v>
      </c>
      <c r="BB53" s="319"/>
      <c r="BC53" s="321">
        <f t="shared" si="0"/>
        <v>1.2699434673366834</v>
      </c>
      <c r="BD53" s="321">
        <f t="shared" si="1"/>
        <v>1.1418103013809091</v>
      </c>
      <c r="BE53" s="321">
        <f t="shared" si="2"/>
        <v>1.1358351979764567</v>
      </c>
      <c r="BG53" s="22">
        <f t="shared" si="3"/>
        <v>0</v>
      </c>
      <c r="BH53" s="22">
        <f t="shared" si="4"/>
        <v>-1.3322676295501878E-15</v>
      </c>
      <c r="BI53" s="22">
        <f t="shared" si="5"/>
        <v>-8.8817841970012523E-16</v>
      </c>
    </row>
    <row r="54" spans="2:61" x14ac:dyDescent="0.25">
      <c r="B54" s="312">
        <v>47</v>
      </c>
      <c r="C54" s="312" t="s">
        <v>552</v>
      </c>
      <c r="D54" s="312" t="s">
        <v>390</v>
      </c>
      <c r="E54" s="312">
        <v>14</v>
      </c>
      <c r="F54" s="312">
        <v>1</v>
      </c>
      <c r="G54" s="313" t="s">
        <v>248</v>
      </c>
      <c r="H54" s="313"/>
      <c r="I54" s="313">
        <v>5370.5</v>
      </c>
      <c r="J54" s="312">
        <v>336</v>
      </c>
      <c r="K54" s="312">
        <v>5034.5</v>
      </c>
      <c r="L54" s="312">
        <v>0</v>
      </c>
      <c r="M54" s="317"/>
      <c r="N54" s="319">
        <v>0.125</v>
      </c>
      <c r="O54" s="319">
        <v>7.8399999999999997E-2</v>
      </c>
      <c r="P54" s="319">
        <v>0.28239999999999998</v>
      </c>
      <c r="Q54" s="319">
        <v>7.17E-2</v>
      </c>
      <c r="R54" s="319">
        <v>1.67E-2</v>
      </c>
      <c r="S54" s="319">
        <v>0.2414</v>
      </c>
      <c r="T54" s="319">
        <v>0</v>
      </c>
      <c r="U54" s="319">
        <v>0.63149999999999995</v>
      </c>
      <c r="V54" s="319">
        <v>1.0406</v>
      </c>
      <c r="W54" s="319">
        <v>7.1400000000000005E-2</v>
      </c>
      <c r="X54" s="319">
        <v>9.2799999999999994E-2</v>
      </c>
      <c r="Y54" s="319">
        <v>0</v>
      </c>
      <c r="Z54" s="319">
        <v>1.8024</v>
      </c>
      <c r="AA54" s="319">
        <v>0.16309999999999999</v>
      </c>
      <c r="AB54" s="319">
        <v>0.27529999999999999</v>
      </c>
      <c r="AC54" s="319">
        <v>0.12280000000000001</v>
      </c>
      <c r="AD54" s="319">
        <v>0.1195</v>
      </c>
      <c r="AE54" s="319">
        <v>3.2599999999999997E-2</v>
      </c>
      <c r="AF54" s="319">
        <v>0.11509999999999999</v>
      </c>
      <c r="AG54" s="319">
        <v>0</v>
      </c>
      <c r="AH54" s="319">
        <v>0</v>
      </c>
      <c r="AI54" s="319">
        <v>1.0214000000000001</v>
      </c>
      <c r="AJ54" s="319">
        <v>1.6304000000000001</v>
      </c>
      <c r="AK54" s="319">
        <v>5.8099999999999999E-2</v>
      </c>
      <c r="AL54" s="319">
        <v>0.34720000000000001</v>
      </c>
      <c r="AM54" s="319">
        <v>2.7E-2</v>
      </c>
      <c r="AN54" s="319">
        <v>4.4000000000000003E-3</v>
      </c>
      <c r="AO54" s="319">
        <v>0.37590000000000001</v>
      </c>
      <c r="AP54" s="319">
        <v>0.58599999999999997</v>
      </c>
      <c r="AQ54" s="319">
        <v>0</v>
      </c>
      <c r="AR54" s="319">
        <v>0.38179999999999997</v>
      </c>
      <c r="AS54" s="319">
        <v>0.4667</v>
      </c>
      <c r="AT54" s="331">
        <v>0.21299999999999999</v>
      </c>
      <c r="AU54" s="336">
        <v>8.0168999999999997</v>
      </c>
      <c r="AV54" s="329">
        <v>9.7997999999999994</v>
      </c>
      <c r="AW54" s="337">
        <v>4.4732000000000003</v>
      </c>
      <c r="AX54" s="334"/>
      <c r="AY54" s="323">
        <v>6.3134999999999994</v>
      </c>
      <c r="AZ54" s="323">
        <v>8.1179999999999986</v>
      </c>
      <c r="BA54" s="323">
        <v>3.6482999999999999</v>
      </c>
      <c r="BB54" s="319"/>
      <c r="BC54" s="321">
        <f t="shared" si="0"/>
        <v>1.2698028035162747</v>
      </c>
      <c r="BD54" s="321">
        <f t="shared" si="1"/>
        <v>1.207169253510717</v>
      </c>
      <c r="BE54" s="321">
        <f t="shared" si="2"/>
        <v>1.2261053093221501</v>
      </c>
      <c r="BG54" s="22">
        <f t="shared" si="3"/>
        <v>6.106226635438361E-16</v>
      </c>
      <c r="BH54" s="22">
        <f t="shared" si="4"/>
        <v>6.9388939039072284E-16</v>
      </c>
      <c r="BI54" s="22">
        <f t="shared" si="5"/>
        <v>-1.9428902930940239E-16</v>
      </c>
    </row>
    <row r="55" spans="2:61" x14ac:dyDescent="0.25">
      <c r="B55" s="312">
        <v>48</v>
      </c>
      <c r="C55" s="312" t="s">
        <v>554</v>
      </c>
      <c r="D55" s="312" t="s">
        <v>390</v>
      </c>
      <c r="E55" s="312">
        <v>14</v>
      </c>
      <c r="F55" s="312">
        <v>1</v>
      </c>
      <c r="G55" s="313" t="s">
        <v>250</v>
      </c>
      <c r="H55" s="313"/>
      <c r="I55" s="313">
        <v>5396.8</v>
      </c>
      <c r="J55" s="312">
        <v>333.60000000000036</v>
      </c>
      <c r="K55" s="312">
        <v>5063.2</v>
      </c>
      <c r="L55" s="312">
        <v>0</v>
      </c>
      <c r="M55" s="317"/>
      <c r="N55" s="319">
        <v>0.1249</v>
      </c>
      <c r="O55" s="319">
        <v>7.8E-2</v>
      </c>
      <c r="P55" s="319">
        <v>0.28210000000000002</v>
      </c>
      <c r="Q55" s="319">
        <v>7.1599999999999997E-2</v>
      </c>
      <c r="R55" s="319">
        <v>1.67E-2</v>
      </c>
      <c r="S55" s="319">
        <v>0.2402</v>
      </c>
      <c r="T55" s="319">
        <v>0</v>
      </c>
      <c r="U55" s="319">
        <v>0.63149999999999995</v>
      </c>
      <c r="V55" s="319">
        <v>1.0701000000000001</v>
      </c>
      <c r="W55" s="319">
        <v>0</v>
      </c>
      <c r="X55" s="319">
        <v>0.1011</v>
      </c>
      <c r="Y55" s="319">
        <v>0</v>
      </c>
      <c r="Z55" s="319">
        <v>1.5028999999999999</v>
      </c>
      <c r="AA55" s="319">
        <v>0.16200000000000001</v>
      </c>
      <c r="AB55" s="319">
        <v>0.27389999999999998</v>
      </c>
      <c r="AC55" s="319">
        <v>0.12280000000000001</v>
      </c>
      <c r="AD55" s="319">
        <v>0.11899999999999999</v>
      </c>
      <c r="AE55" s="319">
        <v>3.2399999999999998E-2</v>
      </c>
      <c r="AF55" s="319">
        <v>0.1145</v>
      </c>
      <c r="AG55" s="319">
        <v>0</v>
      </c>
      <c r="AH55" s="319">
        <v>0</v>
      </c>
      <c r="AI55" s="319">
        <v>1.6504000000000001</v>
      </c>
      <c r="AJ55" s="319">
        <v>1.504</v>
      </c>
      <c r="AK55" s="319">
        <v>5.9200000000000003E-2</v>
      </c>
      <c r="AL55" s="319">
        <v>0.3851</v>
      </c>
      <c r="AM55" s="319">
        <v>2.7400000000000001E-2</v>
      </c>
      <c r="AN55" s="319">
        <v>4.4999999999999997E-3</v>
      </c>
      <c r="AO55" s="319">
        <v>0.2417</v>
      </c>
      <c r="AP55" s="319">
        <v>0.3271</v>
      </c>
      <c r="AQ55" s="319">
        <v>0</v>
      </c>
      <c r="AR55" s="319">
        <v>0.38729999999999998</v>
      </c>
      <c r="AS55" s="319">
        <v>0.4572</v>
      </c>
      <c r="AT55" s="331">
        <v>0.19819999999999999</v>
      </c>
      <c r="AU55" s="336">
        <v>8.1331999999999987</v>
      </c>
      <c r="AV55" s="329">
        <v>9.6002999999999989</v>
      </c>
      <c r="AW55" s="337">
        <v>4.1628999999999996</v>
      </c>
      <c r="AX55" s="334"/>
      <c r="AY55" s="323">
        <v>6.4045000000000005</v>
      </c>
      <c r="AZ55" s="323">
        <v>8.1516999999999999</v>
      </c>
      <c r="BA55" s="323">
        <v>3.6768000000000005</v>
      </c>
      <c r="BB55" s="319"/>
      <c r="BC55" s="321">
        <f t="shared" si="0"/>
        <v>1.269919587789835</v>
      </c>
      <c r="BD55" s="321">
        <f t="shared" si="1"/>
        <v>1.1777052639326766</v>
      </c>
      <c r="BE55" s="321">
        <f t="shared" si="2"/>
        <v>1.1322073542210616</v>
      </c>
      <c r="BG55" s="22">
        <f t="shared" si="3"/>
        <v>0</v>
      </c>
      <c r="BH55" s="22">
        <f t="shared" si="4"/>
        <v>-5.8286708792820718E-16</v>
      </c>
      <c r="BI55" s="22">
        <f t="shared" si="5"/>
        <v>0</v>
      </c>
    </row>
    <row r="56" spans="2:61" x14ac:dyDescent="0.25">
      <c r="B56" s="312">
        <v>49</v>
      </c>
      <c r="C56" s="312" t="s">
        <v>556</v>
      </c>
      <c r="D56" s="312" t="s">
        <v>390</v>
      </c>
      <c r="E56" s="312">
        <v>9</v>
      </c>
      <c r="F56" s="312">
        <v>1</v>
      </c>
      <c r="G56" s="313" t="s">
        <v>202</v>
      </c>
      <c r="H56" s="313"/>
      <c r="I56" s="313">
        <v>2449.6999999999998</v>
      </c>
      <c r="J56" s="312">
        <v>301.79999999999973</v>
      </c>
      <c r="K56" s="312">
        <v>2147.9</v>
      </c>
      <c r="L56" s="312">
        <v>0</v>
      </c>
      <c r="M56" s="317"/>
      <c r="N56" s="319">
        <v>0.1464</v>
      </c>
      <c r="O56" s="319">
        <v>0.1353</v>
      </c>
      <c r="P56" s="319">
        <v>0.31159999999999999</v>
      </c>
      <c r="Q56" s="319">
        <v>6.4699999999999994E-2</v>
      </c>
      <c r="R56" s="319">
        <v>3.0200000000000001E-2</v>
      </c>
      <c r="S56" s="319">
        <v>0.1908</v>
      </c>
      <c r="T56" s="319">
        <v>0</v>
      </c>
      <c r="U56" s="319">
        <v>0.63149999999999995</v>
      </c>
      <c r="V56" s="319">
        <v>0.9204</v>
      </c>
      <c r="W56" s="319">
        <v>0</v>
      </c>
      <c r="X56" s="319">
        <v>0.1033</v>
      </c>
      <c r="Y56" s="319">
        <v>0</v>
      </c>
      <c r="Z56" s="319">
        <v>1.4388000000000001</v>
      </c>
      <c r="AA56" s="319">
        <v>0.1923</v>
      </c>
      <c r="AB56" s="319">
        <v>0.34089999999999998</v>
      </c>
      <c r="AC56" s="319">
        <v>9.1999999999999998E-2</v>
      </c>
      <c r="AD56" s="319">
        <v>8.2000000000000003E-2</v>
      </c>
      <c r="AE56" s="319">
        <v>5.8700000000000002E-2</v>
      </c>
      <c r="AF56" s="319">
        <v>5.1700000000000003E-2</v>
      </c>
      <c r="AG56" s="319">
        <v>3.0700000000000002E-2</v>
      </c>
      <c r="AH56" s="319">
        <v>0</v>
      </c>
      <c r="AI56" s="319">
        <v>2.7732999999999999</v>
      </c>
      <c r="AJ56" s="319">
        <v>1.1444000000000001</v>
      </c>
      <c r="AK56" s="319">
        <v>9.2700000000000005E-2</v>
      </c>
      <c r="AL56" s="319">
        <v>0.35560000000000003</v>
      </c>
      <c r="AM56" s="319">
        <v>3.4000000000000002E-2</v>
      </c>
      <c r="AN56" s="319">
        <v>5.4999999999999997E-3</v>
      </c>
      <c r="AO56" s="319">
        <v>0.16689999999999999</v>
      </c>
      <c r="AP56" s="319">
        <v>0.42170000000000002</v>
      </c>
      <c r="AQ56" s="319">
        <v>0</v>
      </c>
      <c r="AR56" s="319">
        <v>0.42370000000000002</v>
      </c>
      <c r="AS56" s="319">
        <v>0.49080000000000001</v>
      </c>
      <c r="AT56" s="331">
        <v>0.20169999999999999</v>
      </c>
      <c r="AU56" s="336">
        <v>8.8970000000000002</v>
      </c>
      <c r="AV56" s="329">
        <v>10.3062</v>
      </c>
      <c r="AW56" s="337">
        <v>4.2347999999999999</v>
      </c>
      <c r="AX56" s="334"/>
      <c r="AY56" s="323">
        <v>7.0060000000000002</v>
      </c>
      <c r="AZ56" s="323">
        <v>8.8481000000000005</v>
      </c>
      <c r="BA56" s="323">
        <v>3.9281000000000001</v>
      </c>
      <c r="BB56" s="319"/>
      <c r="BC56" s="321">
        <f t="shared" si="0"/>
        <v>1.2699115044247788</v>
      </c>
      <c r="BD56" s="321">
        <f t="shared" si="1"/>
        <v>1.1647924413150845</v>
      </c>
      <c r="BE56" s="321">
        <f t="shared" si="2"/>
        <v>1.0780784603243299</v>
      </c>
      <c r="BG56" s="22">
        <f t="shared" si="3"/>
        <v>-2.4424906541753444E-15</v>
      </c>
      <c r="BH56" s="22">
        <f t="shared" si="4"/>
        <v>-1.27675647831893E-15</v>
      </c>
      <c r="BI56" s="22">
        <f t="shared" si="5"/>
        <v>1.3877787807814457E-15</v>
      </c>
    </row>
    <row r="57" spans="2:61" x14ac:dyDescent="0.25">
      <c r="B57" s="312">
        <v>50</v>
      </c>
      <c r="C57" s="312" t="s">
        <v>558</v>
      </c>
      <c r="D57" s="312" t="s">
        <v>390</v>
      </c>
      <c r="E57" s="312">
        <v>5</v>
      </c>
      <c r="F57" s="312">
        <v>2</v>
      </c>
      <c r="G57" s="313" t="s">
        <v>60</v>
      </c>
      <c r="H57" s="313"/>
      <c r="I57" s="313">
        <v>2315.1999999999998</v>
      </c>
      <c r="J57" s="312">
        <v>2054.8999999999996</v>
      </c>
      <c r="K57" s="312">
        <v>0</v>
      </c>
      <c r="L57" s="312">
        <v>260.3</v>
      </c>
      <c r="M57" s="317"/>
      <c r="N57" s="319">
        <v>0.13719999999999999</v>
      </c>
      <c r="O57" s="319">
        <v>8.3299999999999999E-2</v>
      </c>
      <c r="P57" s="319">
        <v>0</v>
      </c>
      <c r="Q57" s="319">
        <v>0</v>
      </c>
      <c r="R57" s="319">
        <v>1.9400000000000001E-2</v>
      </c>
      <c r="S57" s="319">
        <v>0.24729999999999999</v>
      </c>
      <c r="T57" s="319">
        <v>0</v>
      </c>
      <c r="U57" s="319">
        <v>0.61070000000000002</v>
      </c>
      <c r="V57" s="319">
        <v>0</v>
      </c>
      <c r="W57" s="319">
        <v>0</v>
      </c>
      <c r="X57" s="319">
        <v>0.36890000000000001</v>
      </c>
      <c r="Y57" s="319">
        <v>0</v>
      </c>
      <c r="Z57" s="319">
        <v>1.3089</v>
      </c>
      <c r="AA57" s="319">
        <v>0.18390000000000001</v>
      </c>
      <c r="AB57" s="319">
        <v>0.3039</v>
      </c>
      <c r="AC57" s="319">
        <v>0</v>
      </c>
      <c r="AD57" s="319">
        <v>0</v>
      </c>
      <c r="AE57" s="319">
        <v>3.78E-2</v>
      </c>
      <c r="AF57" s="319">
        <v>8.09E-2</v>
      </c>
      <c r="AG57" s="319">
        <v>3.0499999999999999E-2</v>
      </c>
      <c r="AH57" s="319">
        <v>0</v>
      </c>
      <c r="AI57" s="319">
        <v>3.9251</v>
      </c>
      <c r="AJ57" s="319">
        <v>1.3312999999999999</v>
      </c>
      <c r="AK57" s="319">
        <v>0.1074</v>
      </c>
      <c r="AL57" s="319">
        <v>0.7016</v>
      </c>
      <c r="AM57" s="319">
        <v>5.4899999999999997E-2</v>
      </c>
      <c r="AN57" s="319">
        <v>8.8999999999999999E-3</v>
      </c>
      <c r="AO57" s="319">
        <v>0.19900000000000001</v>
      </c>
      <c r="AP57" s="319">
        <v>0</v>
      </c>
      <c r="AQ57" s="319">
        <v>0</v>
      </c>
      <c r="AR57" s="319">
        <v>0.48699999999999999</v>
      </c>
      <c r="AS57" s="319">
        <v>0.48699999999999999</v>
      </c>
      <c r="AT57" s="331">
        <v>0.1792</v>
      </c>
      <c r="AU57" s="336">
        <v>10.227900000000002</v>
      </c>
      <c r="AV57" s="329">
        <v>10.227900000000002</v>
      </c>
      <c r="AW57" s="337">
        <v>3.7631000000000028</v>
      </c>
      <c r="AX57" s="334"/>
      <c r="AY57" s="323">
        <v>8.0540999999999983</v>
      </c>
      <c r="AZ57" s="323">
        <v>8.0540999999999983</v>
      </c>
      <c r="BA57" s="323">
        <v>3.7356999999999987</v>
      </c>
      <c r="BB57" s="319"/>
      <c r="BC57" s="321">
        <f t="shared" si="0"/>
        <v>1.2698998025850192</v>
      </c>
      <c r="BD57" s="321">
        <f t="shared" si="1"/>
        <v>1.2698998025850192</v>
      </c>
      <c r="BE57" s="321">
        <f t="shared" si="2"/>
        <v>1.0073346360789153</v>
      </c>
      <c r="BG57" s="22">
        <f t="shared" si="3"/>
        <v>5.3845816694320092E-15</v>
      </c>
      <c r="BH57" s="22">
        <f t="shared" si="4"/>
        <v>2.3314683517128287E-15</v>
      </c>
      <c r="BI57" s="22">
        <f t="shared" si="5"/>
        <v>2.7755575615628914E-15</v>
      </c>
    </row>
    <row r="58" spans="2:61" x14ac:dyDescent="0.25">
      <c r="B58" s="312">
        <v>51</v>
      </c>
      <c r="C58" s="312" t="s">
        <v>560</v>
      </c>
      <c r="D58" s="312" t="s">
        <v>390</v>
      </c>
      <c r="E58" s="312">
        <v>5</v>
      </c>
      <c r="F58" s="312">
        <v>4</v>
      </c>
      <c r="G58" s="313" t="s">
        <v>61</v>
      </c>
      <c r="H58" s="313"/>
      <c r="I58" s="313">
        <v>2888.8</v>
      </c>
      <c r="J58" s="312">
        <v>2888.8</v>
      </c>
      <c r="K58" s="312">
        <v>0</v>
      </c>
      <c r="L58" s="312">
        <v>0</v>
      </c>
      <c r="M58" s="317"/>
      <c r="N58" s="319">
        <v>0.16020000000000001</v>
      </c>
      <c r="O58" s="319">
        <v>8.8200000000000001E-2</v>
      </c>
      <c r="P58" s="319">
        <v>0.32290000000000002</v>
      </c>
      <c r="Q58" s="319">
        <v>7.4499999999999997E-2</v>
      </c>
      <c r="R58" s="319">
        <v>2.7699999999999999E-2</v>
      </c>
      <c r="S58" s="319">
        <v>0.47620000000000001</v>
      </c>
      <c r="T58" s="319">
        <v>0</v>
      </c>
      <c r="U58" s="319">
        <v>0.63149999999999995</v>
      </c>
      <c r="V58" s="319">
        <v>0</v>
      </c>
      <c r="W58" s="319">
        <v>0</v>
      </c>
      <c r="X58" s="319">
        <v>0.16420000000000001</v>
      </c>
      <c r="Y58" s="319">
        <v>0</v>
      </c>
      <c r="Z58" s="319">
        <v>1.8480000000000001</v>
      </c>
      <c r="AA58" s="319">
        <v>0.21229999999999999</v>
      </c>
      <c r="AB58" s="319">
        <v>0.31269999999999998</v>
      </c>
      <c r="AC58" s="319">
        <v>8.9899999999999994E-2</v>
      </c>
      <c r="AD58" s="319">
        <v>0.1021</v>
      </c>
      <c r="AE58" s="319">
        <v>5.3800000000000001E-2</v>
      </c>
      <c r="AF58" s="319">
        <v>0.1641</v>
      </c>
      <c r="AG58" s="319">
        <v>3.27E-2</v>
      </c>
      <c r="AH58" s="319">
        <v>0</v>
      </c>
      <c r="AI58" s="319">
        <v>3.0261999999999998</v>
      </c>
      <c r="AJ58" s="319">
        <v>1.0740000000000001</v>
      </c>
      <c r="AK58" s="319">
        <v>8.72E-2</v>
      </c>
      <c r="AL58" s="319">
        <v>0.48599999999999999</v>
      </c>
      <c r="AM58" s="319">
        <v>5.62E-2</v>
      </c>
      <c r="AN58" s="319">
        <v>9.1000000000000004E-3</v>
      </c>
      <c r="AO58" s="319">
        <v>0.28670000000000001</v>
      </c>
      <c r="AP58" s="319">
        <v>0</v>
      </c>
      <c r="AQ58" s="319">
        <v>0</v>
      </c>
      <c r="AR58" s="319">
        <v>0.48930000000000001</v>
      </c>
      <c r="AS58" s="319">
        <v>0.48930000000000001</v>
      </c>
      <c r="AT58" s="331">
        <v>0.2457</v>
      </c>
      <c r="AU58" s="336">
        <v>10.275700000000001</v>
      </c>
      <c r="AV58" s="329">
        <v>10.275700000000001</v>
      </c>
      <c r="AW58" s="337">
        <v>5.1592000000000011</v>
      </c>
      <c r="AX58" s="334"/>
      <c r="AY58" s="323">
        <v>8.0917000000000012</v>
      </c>
      <c r="AZ58" s="323">
        <v>8.0917000000000012</v>
      </c>
      <c r="BA58" s="323">
        <v>4.5397000000000007</v>
      </c>
      <c r="BB58" s="319"/>
      <c r="BC58" s="321">
        <f t="shared" si="0"/>
        <v>1.2699062001804318</v>
      </c>
      <c r="BD58" s="321">
        <f t="shared" si="1"/>
        <v>1.2699062001804318</v>
      </c>
      <c r="BE58" s="321">
        <f t="shared" si="2"/>
        <v>1.1364627618565104</v>
      </c>
      <c r="BG58" s="22">
        <f t="shared" si="3"/>
        <v>0</v>
      </c>
      <c r="BH58" s="22">
        <f t="shared" si="4"/>
        <v>1.1102230246251565E-15</v>
      </c>
      <c r="BI58" s="22">
        <f t="shared" si="5"/>
        <v>1.1102230246251565E-15</v>
      </c>
    </row>
    <row r="59" spans="2:61" x14ac:dyDescent="0.25">
      <c r="B59" s="312">
        <v>52</v>
      </c>
      <c r="C59" s="312" t="s">
        <v>562</v>
      </c>
      <c r="D59" s="312" t="s">
        <v>390</v>
      </c>
      <c r="E59" s="312">
        <v>5</v>
      </c>
      <c r="F59" s="312">
        <v>6</v>
      </c>
      <c r="G59" s="313" t="s">
        <v>62</v>
      </c>
      <c r="H59" s="313"/>
      <c r="I59" s="313">
        <v>4683.8</v>
      </c>
      <c r="J59" s="312">
        <v>4683.8</v>
      </c>
      <c r="K59" s="312">
        <v>0</v>
      </c>
      <c r="L59" s="312">
        <v>0</v>
      </c>
      <c r="M59" s="317"/>
      <c r="N59" s="319">
        <v>0.15939999999999999</v>
      </c>
      <c r="O59" s="319">
        <v>8.0799999999999997E-2</v>
      </c>
      <c r="P59" s="319">
        <v>0.33119999999999999</v>
      </c>
      <c r="Q59" s="319">
        <v>7.4499999999999997E-2</v>
      </c>
      <c r="R59" s="319">
        <v>3.8399999999999997E-2</v>
      </c>
      <c r="S59" s="319">
        <v>0.5696</v>
      </c>
      <c r="T59" s="319">
        <v>0</v>
      </c>
      <c r="U59" s="319">
        <v>0.63149999999999995</v>
      </c>
      <c r="V59" s="319">
        <v>0</v>
      </c>
      <c r="W59" s="319">
        <v>0</v>
      </c>
      <c r="X59" s="319">
        <v>0.15190000000000001</v>
      </c>
      <c r="Y59" s="319">
        <v>0</v>
      </c>
      <c r="Z59" s="319">
        <v>2.6886999999999999</v>
      </c>
      <c r="AA59" s="319">
        <v>0.20860000000000001</v>
      </c>
      <c r="AB59" s="319">
        <v>0.28649999999999998</v>
      </c>
      <c r="AC59" s="319">
        <v>9.1899999999999996E-2</v>
      </c>
      <c r="AD59" s="319">
        <v>9.7000000000000003E-2</v>
      </c>
      <c r="AE59" s="319">
        <v>7.4700000000000003E-2</v>
      </c>
      <c r="AF59" s="319">
        <v>0.2107</v>
      </c>
      <c r="AG59" s="319">
        <v>3.1600000000000003E-2</v>
      </c>
      <c r="AH59" s="319">
        <v>0</v>
      </c>
      <c r="AI59" s="319">
        <v>1.9901</v>
      </c>
      <c r="AJ59" s="319">
        <v>0.99350000000000005</v>
      </c>
      <c r="AK59" s="319">
        <v>8.4599999999999995E-2</v>
      </c>
      <c r="AL59" s="319">
        <v>0.47320000000000001</v>
      </c>
      <c r="AM59" s="319">
        <v>5.91E-2</v>
      </c>
      <c r="AN59" s="319">
        <v>9.5999999999999992E-3</v>
      </c>
      <c r="AO59" s="319">
        <v>0.1547</v>
      </c>
      <c r="AP59" s="319">
        <v>0</v>
      </c>
      <c r="AQ59" s="319">
        <v>0</v>
      </c>
      <c r="AR59" s="319">
        <v>0.47460000000000002</v>
      </c>
      <c r="AS59" s="319">
        <v>0.47460000000000002</v>
      </c>
      <c r="AT59" s="331">
        <v>0.29399999999999998</v>
      </c>
      <c r="AU59" s="336">
        <v>9.9664000000000019</v>
      </c>
      <c r="AV59" s="329">
        <v>9.9664000000000019</v>
      </c>
      <c r="AW59" s="337">
        <v>6.1743000000000006</v>
      </c>
      <c r="AX59" s="334"/>
      <c r="AY59" s="323">
        <v>8.0749999999999993</v>
      </c>
      <c r="AZ59" s="323">
        <v>8.0749999999999993</v>
      </c>
      <c r="BA59" s="323">
        <v>5.0148000000000001</v>
      </c>
      <c r="BB59" s="319"/>
      <c r="BC59" s="321">
        <f t="shared" si="0"/>
        <v>1.234229102167183</v>
      </c>
      <c r="BD59" s="321">
        <f t="shared" si="1"/>
        <v>1.234229102167183</v>
      </c>
      <c r="BE59" s="321">
        <f t="shared" si="2"/>
        <v>1.2312156018186169</v>
      </c>
      <c r="BG59" s="22">
        <f t="shared" si="3"/>
        <v>2.2759572004815709E-15</v>
      </c>
      <c r="BH59" s="22">
        <f t="shared" si="4"/>
        <v>-6.106226635438361E-16</v>
      </c>
      <c r="BI59" s="22">
        <f t="shared" si="5"/>
        <v>1.1657341758564144E-15</v>
      </c>
    </row>
    <row r="60" spans="2:61" x14ac:dyDescent="0.25">
      <c r="B60" s="312">
        <v>53</v>
      </c>
      <c r="C60" s="312" t="s">
        <v>564</v>
      </c>
      <c r="D60" s="312" t="s">
        <v>390</v>
      </c>
      <c r="E60" s="312">
        <v>5</v>
      </c>
      <c r="F60" s="312">
        <v>4</v>
      </c>
      <c r="G60" s="313" t="s">
        <v>63</v>
      </c>
      <c r="H60" s="313"/>
      <c r="I60" s="313">
        <v>2952.2</v>
      </c>
      <c r="J60" s="312">
        <v>2902</v>
      </c>
      <c r="K60" s="312">
        <v>0</v>
      </c>
      <c r="L60" s="312">
        <v>50.2</v>
      </c>
      <c r="M60" s="317"/>
      <c r="N60" s="319">
        <v>0.1789</v>
      </c>
      <c r="O60" s="319">
        <v>8.4099999999999994E-2</v>
      </c>
      <c r="P60" s="319">
        <v>0.32669999999999999</v>
      </c>
      <c r="Q60" s="319">
        <v>7.46E-2</v>
      </c>
      <c r="R60" s="319">
        <v>3.8899999999999997E-2</v>
      </c>
      <c r="S60" s="319">
        <v>0.495</v>
      </c>
      <c r="T60" s="319">
        <v>0</v>
      </c>
      <c r="U60" s="319">
        <v>0.63149999999999995</v>
      </c>
      <c r="V60" s="319">
        <v>0</v>
      </c>
      <c r="W60" s="319">
        <v>0</v>
      </c>
      <c r="X60" s="319">
        <v>0.13389999999999999</v>
      </c>
      <c r="Y60" s="319">
        <v>0</v>
      </c>
      <c r="Z60" s="319">
        <v>1.5757000000000001</v>
      </c>
      <c r="AA60" s="319">
        <v>0.2109</v>
      </c>
      <c r="AB60" s="319">
        <v>0.31590000000000001</v>
      </c>
      <c r="AC60" s="319">
        <v>8.8999999999999996E-2</v>
      </c>
      <c r="AD60" s="319">
        <v>0.10440000000000001</v>
      </c>
      <c r="AE60" s="319">
        <v>7.5700000000000003E-2</v>
      </c>
      <c r="AF60" s="319">
        <v>0.16059999999999999</v>
      </c>
      <c r="AG60" s="319">
        <v>3.4799999999999998E-2</v>
      </c>
      <c r="AH60" s="319">
        <v>0</v>
      </c>
      <c r="AI60" s="319">
        <v>1.8521000000000001</v>
      </c>
      <c r="AJ60" s="319">
        <v>1.5089999999999999</v>
      </c>
      <c r="AK60" s="319">
        <v>8.6999999999999994E-2</v>
      </c>
      <c r="AL60" s="319">
        <v>0.46700000000000003</v>
      </c>
      <c r="AM60" s="319">
        <v>6.5000000000000002E-2</v>
      </c>
      <c r="AN60" s="319">
        <v>1.06E-2</v>
      </c>
      <c r="AO60" s="319">
        <v>0.28889999999999999</v>
      </c>
      <c r="AP60" s="319">
        <v>0</v>
      </c>
      <c r="AQ60" s="319">
        <v>0</v>
      </c>
      <c r="AR60" s="319">
        <v>0.4405</v>
      </c>
      <c r="AS60" s="319">
        <v>0.4405</v>
      </c>
      <c r="AT60" s="331">
        <v>0.23469999999999999</v>
      </c>
      <c r="AU60" s="336">
        <v>9.2507000000000001</v>
      </c>
      <c r="AV60" s="329">
        <v>9.2507000000000001</v>
      </c>
      <c r="AW60" s="337">
        <v>4.9278999999999993</v>
      </c>
      <c r="AX60" s="334"/>
      <c r="AY60" s="323">
        <v>6.9818999999999996</v>
      </c>
      <c r="AZ60" s="323">
        <v>6.9818999999999996</v>
      </c>
      <c r="BA60" s="323">
        <v>4.1562000000000001</v>
      </c>
      <c r="BB60" s="319"/>
      <c r="BC60" s="321">
        <f t="shared" si="0"/>
        <v>1.3249545252724904</v>
      </c>
      <c r="BD60" s="321">
        <f t="shared" si="1"/>
        <v>1.3249545252724904</v>
      </c>
      <c r="BE60" s="321">
        <f t="shared" si="2"/>
        <v>1.18567441412829</v>
      </c>
      <c r="BG60" s="22">
        <f t="shared" si="3"/>
        <v>0</v>
      </c>
      <c r="BH60" s="22">
        <f t="shared" si="4"/>
        <v>1.2212453270876722E-15</v>
      </c>
      <c r="BI60" s="22">
        <f t="shared" si="5"/>
        <v>-1.4432899320127035E-15</v>
      </c>
    </row>
    <row r="61" spans="2:61" x14ac:dyDescent="0.25">
      <c r="B61" s="312">
        <v>54</v>
      </c>
      <c r="C61" s="312" t="s">
        <v>566</v>
      </c>
      <c r="D61" s="312" t="s">
        <v>390</v>
      </c>
      <c r="E61" s="312">
        <v>9</v>
      </c>
      <c r="F61" s="312">
        <v>2</v>
      </c>
      <c r="G61" s="313" t="s">
        <v>203</v>
      </c>
      <c r="H61" s="313"/>
      <c r="I61" s="313">
        <v>3989.9</v>
      </c>
      <c r="J61" s="312">
        <v>447.70000000000027</v>
      </c>
      <c r="K61" s="312">
        <v>3542.2</v>
      </c>
      <c r="L61" s="312">
        <v>0</v>
      </c>
      <c r="M61" s="317"/>
      <c r="N61" s="319">
        <v>0.1188</v>
      </c>
      <c r="O61" s="319">
        <v>5.8200000000000002E-2</v>
      </c>
      <c r="P61" s="319">
        <v>0.29349999999999998</v>
      </c>
      <c r="Q61" s="319">
        <v>6.4100000000000004E-2</v>
      </c>
      <c r="R61" s="319">
        <v>5.21E-2</v>
      </c>
      <c r="S61" s="319">
        <v>0.27639999999999998</v>
      </c>
      <c r="T61" s="319">
        <v>0</v>
      </c>
      <c r="U61" s="319">
        <v>0.63149999999999995</v>
      </c>
      <c r="V61" s="319">
        <v>1.9350000000000001</v>
      </c>
      <c r="W61" s="319">
        <v>0</v>
      </c>
      <c r="X61" s="319">
        <v>0.14269999999999999</v>
      </c>
      <c r="Y61" s="319">
        <v>0</v>
      </c>
      <c r="Z61" s="319">
        <v>2.1572</v>
      </c>
      <c r="AA61" s="319">
        <v>0.15909999999999999</v>
      </c>
      <c r="AB61" s="319">
        <v>0.2102</v>
      </c>
      <c r="AC61" s="319">
        <v>0.104</v>
      </c>
      <c r="AD61" s="319">
        <v>0.1042</v>
      </c>
      <c r="AE61" s="319">
        <v>0.1013</v>
      </c>
      <c r="AF61" s="319">
        <v>8.43E-2</v>
      </c>
      <c r="AG61" s="319">
        <v>2.7699999999999999E-2</v>
      </c>
      <c r="AH61" s="319">
        <v>0</v>
      </c>
      <c r="AI61" s="319">
        <v>2.4611999999999998</v>
      </c>
      <c r="AJ61" s="319">
        <v>1.5952</v>
      </c>
      <c r="AK61" s="319">
        <v>8.2299999999999998E-2</v>
      </c>
      <c r="AL61" s="319">
        <v>0.54400000000000004</v>
      </c>
      <c r="AM61" s="319">
        <v>3.8800000000000001E-2</v>
      </c>
      <c r="AN61" s="319">
        <v>6.3E-3</v>
      </c>
      <c r="AO61" s="319">
        <v>0.23089999999999999</v>
      </c>
      <c r="AP61" s="319">
        <v>0.46760000000000002</v>
      </c>
      <c r="AQ61" s="319">
        <v>0</v>
      </c>
      <c r="AR61" s="319">
        <v>0.47720000000000001</v>
      </c>
      <c r="AS61" s="319">
        <v>0.59730000000000005</v>
      </c>
      <c r="AT61" s="331">
        <v>0.2356</v>
      </c>
      <c r="AU61" s="336">
        <v>10.0212</v>
      </c>
      <c r="AV61" s="329">
        <v>12.543900000000001</v>
      </c>
      <c r="AW61" s="337">
        <v>4.9482999999999997</v>
      </c>
      <c r="AX61" s="334"/>
      <c r="AY61" s="323">
        <v>7.8911000000000007</v>
      </c>
      <c r="AZ61" s="323">
        <v>10.746600000000001</v>
      </c>
      <c r="BA61" s="323">
        <v>4.3909000000000011</v>
      </c>
      <c r="BB61" s="319"/>
      <c r="BC61" s="321">
        <f t="shared" si="0"/>
        <v>1.2699370176527986</v>
      </c>
      <c r="BD61" s="321">
        <f t="shared" si="1"/>
        <v>1.1672435933225391</v>
      </c>
      <c r="BE61" s="321">
        <f t="shared" si="2"/>
        <v>1.1269443622036481</v>
      </c>
      <c r="BG61" s="22">
        <f t="shared" si="3"/>
        <v>3.0531133177191805E-15</v>
      </c>
      <c r="BH61" s="22">
        <f t="shared" si="4"/>
        <v>-1.124100812432971E-15</v>
      </c>
      <c r="BI61" s="22">
        <f t="shared" si="5"/>
        <v>-6.8001160258290838E-16</v>
      </c>
    </row>
    <row r="62" spans="2:61" x14ac:dyDescent="0.25">
      <c r="B62" s="312">
        <v>55</v>
      </c>
      <c r="C62" s="312" t="s">
        <v>568</v>
      </c>
      <c r="D62" s="312" t="s">
        <v>390</v>
      </c>
      <c r="E62" s="312">
        <v>9</v>
      </c>
      <c r="F62" s="312">
        <v>2</v>
      </c>
      <c r="G62" s="313" t="s">
        <v>204</v>
      </c>
      <c r="H62" s="313"/>
      <c r="I62" s="313">
        <v>4478.3999999999996</v>
      </c>
      <c r="J62" s="312">
        <v>496.99999999999955</v>
      </c>
      <c r="K62" s="312">
        <v>3981.4</v>
      </c>
      <c r="L62" s="312">
        <v>0</v>
      </c>
      <c r="M62" s="317"/>
      <c r="N62" s="319">
        <v>0.1663</v>
      </c>
      <c r="O62" s="319">
        <v>6.08E-2</v>
      </c>
      <c r="P62" s="319">
        <v>0.29430000000000001</v>
      </c>
      <c r="Q62" s="319">
        <v>7.3899999999999993E-2</v>
      </c>
      <c r="R62" s="319">
        <v>5.5800000000000002E-2</v>
      </c>
      <c r="S62" s="319">
        <v>0.29010000000000002</v>
      </c>
      <c r="T62" s="319">
        <v>0</v>
      </c>
      <c r="U62" s="319">
        <v>0.63149999999999995</v>
      </c>
      <c r="V62" s="319">
        <v>1.7215</v>
      </c>
      <c r="W62" s="319">
        <v>0</v>
      </c>
      <c r="X62" s="319">
        <v>0.12709999999999999</v>
      </c>
      <c r="Y62" s="319">
        <v>0</v>
      </c>
      <c r="Z62" s="319">
        <v>2.7890999999999999</v>
      </c>
      <c r="AA62" s="319">
        <v>0.22850000000000001</v>
      </c>
      <c r="AB62" s="319">
        <v>0.219</v>
      </c>
      <c r="AC62" s="319">
        <v>0.10249999999999999</v>
      </c>
      <c r="AD62" s="319">
        <v>0.1782</v>
      </c>
      <c r="AE62" s="319">
        <v>0.1085</v>
      </c>
      <c r="AF62" s="319">
        <v>0.13109999999999999</v>
      </c>
      <c r="AG62" s="319">
        <v>2.81E-2</v>
      </c>
      <c r="AH62" s="319">
        <v>0</v>
      </c>
      <c r="AI62" s="319">
        <v>1.2503</v>
      </c>
      <c r="AJ62" s="319">
        <v>1.6389</v>
      </c>
      <c r="AK62" s="319">
        <v>8.2100000000000006E-2</v>
      </c>
      <c r="AL62" s="319">
        <v>0.54100000000000004</v>
      </c>
      <c r="AM62" s="319">
        <v>3.8600000000000002E-2</v>
      </c>
      <c r="AN62" s="319">
        <v>6.3E-3</v>
      </c>
      <c r="AO62" s="319">
        <v>0.27739999999999998</v>
      </c>
      <c r="AP62" s="319">
        <v>0.44979999999999998</v>
      </c>
      <c r="AQ62" s="319">
        <v>0</v>
      </c>
      <c r="AR62" s="319">
        <v>0.46600000000000003</v>
      </c>
      <c r="AS62" s="319">
        <v>0.57450000000000001</v>
      </c>
      <c r="AT62" s="331">
        <v>0.28060000000000002</v>
      </c>
      <c r="AU62" s="336">
        <v>9.785400000000001</v>
      </c>
      <c r="AV62" s="329">
        <v>12.065200000000003</v>
      </c>
      <c r="AW62" s="337">
        <v>5.8924000000000012</v>
      </c>
      <c r="AX62" s="334"/>
      <c r="AY62" s="323">
        <v>7.7055000000000016</v>
      </c>
      <c r="AZ62" s="323">
        <v>10.2349</v>
      </c>
      <c r="BA62" s="323">
        <v>4.972500000000001</v>
      </c>
      <c r="BB62" s="319"/>
      <c r="BC62" s="321">
        <f t="shared" si="0"/>
        <v>1.2699240802024527</v>
      </c>
      <c r="BD62" s="321">
        <f t="shared" si="1"/>
        <v>1.1788292997488987</v>
      </c>
      <c r="BE62" s="321">
        <f t="shared" si="2"/>
        <v>1.1849974861739567</v>
      </c>
      <c r="BG62" s="22">
        <f t="shared" si="3"/>
        <v>0</v>
      </c>
      <c r="BH62" s="22">
        <f t="shared" si="4"/>
        <v>0</v>
      </c>
      <c r="BI62" s="22">
        <f t="shared" si="5"/>
        <v>3.0531133177191805E-16</v>
      </c>
    </row>
    <row r="63" spans="2:61" x14ac:dyDescent="0.25">
      <c r="B63" s="312">
        <v>56</v>
      </c>
      <c r="C63" s="312" t="s">
        <v>570</v>
      </c>
      <c r="D63" s="312" t="s">
        <v>390</v>
      </c>
      <c r="E63" s="312">
        <v>9</v>
      </c>
      <c r="F63" s="312">
        <v>2</v>
      </c>
      <c r="G63" s="313" t="s">
        <v>205</v>
      </c>
      <c r="H63" s="313"/>
      <c r="I63" s="313">
        <v>6372.18</v>
      </c>
      <c r="J63" s="312">
        <v>706.80000000000018</v>
      </c>
      <c r="K63" s="312">
        <v>5665.38</v>
      </c>
      <c r="L63" s="312">
        <v>0</v>
      </c>
      <c r="M63" s="317"/>
      <c r="N63" s="319">
        <v>0.19620000000000001</v>
      </c>
      <c r="O63" s="319">
        <v>6.9699999999999998E-2</v>
      </c>
      <c r="P63" s="319">
        <v>0.31590000000000001</v>
      </c>
      <c r="Q63" s="319">
        <v>7.2999999999999995E-2</v>
      </c>
      <c r="R63" s="319">
        <v>5.1700000000000003E-2</v>
      </c>
      <c r="S63" s="319">
        <v>0.21809999999999999</v>
      </c>
      <c r="T63" s="319">
        <v>0</v>
      </c>
      <c r="U63" s="319">
        <v>0.63149999999999995</v>
      </c>
      <c r="V63" s="319">
        <v>1.2098</v>
      </c>
      <c r="W63" s="319">
        <v>0</v>
      </c>
      <c r="X63" s="319">
        <v>0.1229</v>
      </c>
      <c r="Y63" s="319">
        <v>0</v>
      </c>
      <c r="Z63" s="319">
        <v>2.8060999999999998</v>
      </c>
      <c r="AA63" s="319">
        <v>0.27139999999999997</v>
      </c>
      <c r="AB63" s="319">
        <v>0.24959999999999999</v>
      </c>
      <c r="AC63" s="319">
        <v>0.09</v>
      </c>
      <c r="AD63" s="319">
        <v>0.1678</v>
      </c>
      <c r="AE63" s="319">
        <v>0.10059999999999999</v>
      </c>
      <c r="AF63" s="319">
        <v>0.1046</v>
      </c>
      <c r="AG63" s="319">
        <v>2.7099999999999999E-2</v>
      </c>
      <c r="AH63" s="319">
        <v>0</v>
      </c>
      <c r="AI63" s="319">
        <v>0.74050000000000005</v>
      </c>
      <c r="AJ63" s="319">
        <v>1.1852</v>
      </c>
      <c r="AK63" s="319">
        <v>8.3099999999999993E-2</v>
      </c>
      <c r="AL63" s="319">
        <v>0.41149999999999998</v>
      </c>
      <c r="AM63" s="319">
        <v>3.85E-2</v>
      </c>
      <c r="AN63" s="319">
        <v>6.1999999999999998E-3</v>
      </c>
      <c r="AO63" s="319">
        <v>0.44669999999999999</v>
      </c>
      <c r="AP63" s="319">
        <v>0.44769999999999999</v>
      </c>
      <c r="AQ63" s="319">
        <v>0</v>
      </c>
      <c r="AR63" s="319">
        <v>0.4204</v>
      </c>
      <c r="AS63" s="319">
        <v>0.50329999999999997</v>
      </c>
      <c r="AT63" s="331">
        <v>0.28120000000000001</v>
      </c>
      <c r="AU63" s="336">
        <v>8.8282999999999987</v>
      </c>
      <c r="AV63" s="329">
        <v>10.568699999999996</v>
      </c>
      <c r="AW63" s="337">
        <v>5.905199999999998</v>
      </c>
      <c r="AX63" s="334"/>
      <c r="AY63" s="323">
        <v>6.9529000000000023</v>
      </c>
      <c r="AZ63" s="323">
        <v>8.8489000000000022</v>
      </c>
      <c r="BA63" s="323">
        <v>4.7387000000000015</v>
      </c>
      <c r="BB63" s="319"/>
      <c r="BC63" s="321">
        <f t="shared" si="0"/>
        <v>1.2697291777531672</v>
      </c>
      <c r="BD63" s="321">
        <f t="shared" si="1"/>
        <v>1.1943518403417366</v>
      </c>
      <c r="BE63" s="321">
        <f t="shared" si="2"/>
        <v>1.2461645599003939</v>
      </c>
      <c r="BG63" s="22">
        <f t="shared" si="3"/>
        <v>1.5543122344752192E-15</v>
      </c>
      <c r="BH63" s="22">
        <f t="shared" si="4"/>
        <v>-1.8041124150158794E-15</v>
      </c>
      <c r="BI63" s="22">
        <f t="shared" si="5"/>
        <v>-4.7184478546569153E-16</v>
      </c>
    </row>
    <row r="64" spans="2:61" x14ac:dyDescent="0.25">
      <c r="B64" s="312">
        <v>57</v>
      </c>
      <c r="C64" s="312" t="s">
        <v>572</v>
      </c>
      <c r="D64" s="312" t="s">
        <v>390</v>
      </c>
      <c r="E64" s="312">
        <v>9</v>
      </c>
      <c r="F64" s="312">
        <v>1</v>
      </c>
      <c r="G64" s="313" t="s">
        <v>206</v>
      </c>
      <c r="H64" s="313"/>
      <c r="I64" s="313">
        <v>1983.2</v>
      </c>
      <c r="J64" s="312">
        <v>219.79999999999995</v>
      </c>
      <c r="K64" s="312">
        <v>1763.4</v>
      </c>
      <c r="L64" s="312">
        <v>0</v>
      </c>
      <c r="M64" s="317"/>
      <c r="N64" s="319">
        <v>0.13719999999999999</v>
      </c>
      <c r="O64" s="319">
        <v>6.7699999999999996E-2</v>
      </c>
      <c r="P64" s="319">
        <v>0.29930000000000001</v>
      </c>
      <c r="Q64" s="319">
        <v>8.8300000000000003E-2</v>
      </c>
      <c r="R64" s="319">
        <v>5.79E-2</v>
      </c>
      <c r="S64" s="319">
        <v>0.27250000000000002</v>
      </c>
      <c r="T64" s="319">
        <v>0</v>
      </c>
      <c r="U64" s="319">
        <v>0.63149999999999995</v>
      </c>
      <c r="V64" s="319">
        <v>1.4637</v>
      </c>
      <c r="W64" s="319">
        <v>0</v>
      </c>
      <c r="X64" s="319">
        <v>0.14349999999999999</v>
      </c>
      <c r="Y64" s="319">
        <v>0</v>
      </c>
      <c r="Z64" s="319">
        <v>1.8082</v>
      </c>
      <c r="AA64" s="319">
        <v>0.18060000000000001</v>
      </c>
      <c r="AB64" s="319">
        <v>0.24410000000000001</v>
      </c>
      <c r="AC64" s="319">
        <v>0.1046</v>
      </c>
      <c r="AD64" s="319">
        <v>0.22550000000000001</v>
      </c>
      <c r="AE64" s="319">
        <v>0.11269999999999999</v>
      </c>
      <c r="AF64" s="319">
        <v>7.6399999999999996E-2</v>
      </c>
      <c r="AG64" s="319">
        <v>2.7099999999999999E-2</v>
      </c>
      <c r="AH64" s="319">
        <v>0</v>
      </c>
      <c r="AI64" s="319">
        <v>2.6368</v>
      </c>
      <c r="AJ64" s="319">
        <v>1.8089999999999999</v>
      </c>
      <c r="AK64" s="319">
        <v>8.5999999999999993E-2</v>
      </c>
      <c r="AL64" s="319">
        <v>0.54690000000000005</v>
      </c>
      <c r="AM64" s="319">
        <v>3.9899999999999998E-2</v>
      </c>
      <c r="AN64" s="319">
        <v>6.4999999999999997E-3</v>
      </c>
      <c r="AO64" s="319">
        <v>0.41499999999999998</v>
      </c>
      <c r="AP64" s="319">
        <v>0.58699999999999997</v>
      </c>
      <c r="AQ64" s="319">
        <v>0</v>
      </c>
      <c r="AR64" s="319">
        <v>0.50090000000000001</v>
      </c>
      <c r="AS64" s="319">
        <v>0.60340000000000005</v>
      </c>
      <c r="AT64" s="331">
        <v>0.23050000000000001</v>
      </c>
      <c r="AU64" s="336">
        <v>10.5181</v>
      </c>
      <c r="AV64" s="329">
        <v>12.6713</v>
      </c>
      <c r="AW64" s="337">
        <v>4.8400000000000007</v>
      </c>
      <c r="AX64" s="334"/>
      <c r="AY64" s="323">
        <v>8.2825000000000006</v>
      </c>
      <c r="AZ64" s="323">
        <v>10.779299999999999</v>
      </c>
      <c r="BA64" s="323">
        <v>4.2995999999999999</v>
      </c>
      <c r="BB64" s="319"/>
      <c r="BC64" s="321">
        <f t="shared" si="0"/>
        <v>1.2699185028674917</v>
      </c>
      <c r="BD64" s="321">
        <f t="shared" si="1"/>
        <v>1.1755216015882295</v>
      </c>
      <c r="BE64" s="321">
        <f t="shared" si="2"/>
        <v>1.1256861103358453</v>
      </c>
      <c r="BG64" s="22">
        <f t="shared" si="3"/>
        <v>0</v>
      </c>
      <c r="BH64" s="22">
        <f t="shared" si="4"/>
        <v>0</v>
      </c>
      <c r="BI64" s="22">
        <f t="shared" si="5"/>
        <v>0</v>
      </c>
    </row>
    <row r="65" spans="2:61" x14ac:dyDescent="0.25">
      <c r="B65" s="312">
        <v>58</v>
      </c>
      <c r="C65" s="312" t="s">
        <v>574</v>
      </c>
      <c r="D65" s="312" t="s">
        <v>390</v>
      </c>
      <c r="E65" s="312">
        <v>9</v>
      </c>
      <c r="F65" s="312">
        <v>2</v>
      </c>
      <c r="G65" s="313" t="s">
        <v>207</v>
      </c>
      <c r="H65" s="313"/>
      <c r="I65" s="313">
        <v>5220.3999999999996</v>
      </c>
      <c r="J65" s="312">
        <v>581.30000000000018</v>
      </c>
      <c r="K65" s="312">
        <v>4639.0999999999995</v>
      </c>
      <c r="L65" s="312">
        <v>0</v>
      </c>
      <c r="M65" s="317"/>
      <c r="N65" s="319">
        <v>0.1195</v>
      </c>
      <c r="O65" s="319">
        <v>6.8699999999999997E-2</v>
      </c>
      <c r="P65" s="319">
        <v>0.29360000000000003</v>
      </c>
      <c r="Q65" s="319">
        <v>6.2700000000000006E-2</v>
      </c>
      <c r="R65" s="319">
        <v>5.21E-2</v>
      </c>
      <c r="S65" s="319">
        <v>0.25319999999999998</v>
      </c>
      <c r="T65" s="319">
        <v>0</v>
      </c>
      <c r="U65" s="319">
        <v>0.63149999999999995</v>
      </c>
      <c r="V65" s="319">
        <v>1.1128</v>
      </c>
      <c r="W65" s="319">
        <v>0</v>
      </c>
      <c r="X65" s="319">
        <v>0.1363</v>
      </c>
      <c r="Y65" s="319">
        <v>0</v>
      </c>
      <c r="Z65" s="319">
        <v>2.4045000000000001</v>
      </c>
      <c r="AA65" s="319">
        <v>0.1651</v>
      </c>
      <c r="AB65" s="319">
        <v>0.2467</v>
      </c>
      <c r="AC65" s="319">
        <v>0.1043</v>
      </c>
      <c r="AD65" s="319">
        <v>9.5200000000000007E-2</v>
      </c>
      <c r="AE65" s="319">
        <v>0.1012</v>
      </c>
      <c r="AF65" s="319">
        <v>0.1163</v>
      </c>
      <c r="AG65" s="319">
        <v>2.7099999999999999E-2</v>
      </c>
      <c r="AH65" s="319">
        <v>0</v>
      </c>
      <c r="AI65" s="319">
        <v>2.5888</v>
      </c>
      <c r="AJ65" s="319">
        <v>1.2533000000000001</v>
      </c>
      <c r="AK65" s="319">
        <v>8.43E-2</v>
      </c>
      <c r="AL65" s="319">
        <v>0.47410000000000002</v>
      </c>
      <c r="AM65" s="319">
        <v>3.7699999999999997E-2</v>
      </c>
      <c r="AN65" s="319">
        <v>6.1000000000000004E-3</v>
      </c>
      <c r="AO65" s="319">
        <v>0.33310000000000001</v>
      </c>
      <c r="AP65" s="319">
        <v>0.44629999999999997</v>
      </c>
      <c r="AQ65" s="319">
        <v>0</v>
      </c>
      <c r="AR65" s="319">
        <v>0.48280000000000001</v>
      </c>
      <c r="AS65" s="319">
        <v>0.56069999999999998</v>
      </c>
      <c r="AT65" s="331">
        <v>0.25030000000000002</v>
      </c>
      <c r="AU65" s="336">
        <v>10.138199999999999</v>
      </c>
      <c r="AV65" s="329">
        <v>11.775200000000002</v>
      </c>
      <c r="AW65" s="337">
        <v>5.2564000000000002</v>
      </c>
      <c r="AX65" s="334"/>
      <c r="AY65" s="323">
        <v>7.9834000000000014</v>
      </c>
      <c r="AZ65" s="323">
        <v>9.9874000000000009</v>
      </c>
      <c r="BA65" s="323">
        <v>4.5813000000000024</v>
      </c>
      <c r="BB65" s="319"/>
      <c r="BC65" s="321">
        <f t="shared" si="0"/>
        <v>1.2699100633815164</v>
      </c>
      <c r="BD65" s="321">
        <f t="shared" si="1"/>
        <v>1.1790055469892065</v>
      </c>
      <c r="BE65" s="321">
        <f t="shared" si="2"/>
        <v>1.1473599196734545</v>
      </c>
      <c r="BG65" s="22">
        <f t="shared" si="3"/>
        <v>-7.2164496600635175E-16</v>
      </c>
      <c r="BH65" s="22">
        <f t="shared" si="4"/>
        <v>9.8532293435482643E-16</v>
      </c>
      <c r="BI65" s="22">
        <f t="shared" si="5"/>
        <v>-1.2490009027033011E-16</v>
      </c>
    </row>
    <row r="66" spans="2:61" x14ac:dyDescent="0.25">
      <c r="B66" s="312">
        <v>59</v>
      </c>
      <c r="C66" s="312" t="s">
        <v>576</v>
      </c>
      <c r="D66" s="312" t="s">
        <v>390</v>
      </c>
      <c r="E66" s="312">
        <v>5</v>
      </c>
      <c r="F66" s="312">
        <v>2</v>
      </c>
      <c r="G66" s="313" t="s">
        <v>64</v>
      </c>
      <c r="H66" s="313"/>
      <c r="I66" s="313">
        <v>3306.3</v>
      </c>
      <c r="J66" s="312">
        <v>3306.3</v>
      </c>
      <c r="K66" s="312">
        <v>0</v>
      </c>
      <c r="L66" s="312">
        <v>0</v>
      </c>
      <c r="M66" s="317"/>
      <c r="N66" s="319">
        <v>0.19839999999999999</v>
      </c>
      <c r="O66" s="319">
        <v>9.6799999999999997E-2</v>
      </c>
      <c r="P66" s="319">
        <v>0.33439999999999998</v>
      </c>
      <c r="Q66" s="319">
        <v>8.1000000000000003E-2</v>
      </c>
      <c r="R66" s="319">
        <v>0</v>
      </c>
      <c r="S66" s="319">
        <v>0.2702</v>
      </c>
      <c r="T66" s="319">
        <v>0</v>
      </c>
      <c r="U66" s="319">
        <v>0.63149999999999995</v>
      </c>
      <c r="V66" s="319">
        <v>0</v>
      </c>
      <c r="W66" s="319">
        <v>0</v>
      </c>
      <c r="X66" s="319">
        <v>0.22720000000000001</v>
      </c>
      <c r="Y66" s="319">
        <v>0</v>
      </c>
      <c r="Z66" s="319">
        <v>1.0190999999999999</v>
      </c>
      <c r="AA66" s="319">
        <v>0.26590000000000003</v>
      </c>
      <c r="AB66" s="319">
        <v>0.35249999999999998</v>
      </c>
      <c r="AC66" s="319">
        <v>9.0999999999999998E-2</v>
      </c>
      <c r="AD66" s="319">
        <v>0.12970000000000001</v>
      </c>
      <c r="AE66" s="319">
        <v>0</v>
      </c>
      <c r="AF66" s="319">
        <v>0.13189999999999999</v>
      </c>
      <c r="AG66" s="319">
        <v>3.3399999999999999E-2</v>
      </c>
      <c r="AH66" s="319">
        <v>0</v>
      </c>
      <c r="AI66" s="319">
        <v>2.6474000000000002</v>
      </c>
      <c r="AJ66" s="319">
        <v>1.3076000000000001</v>
      </c>
      <c r="AK66" s="319">
        <v>4.7399999999999998E-2</v>
      </c>
      <c r="AL66" s="319">
        <v>0.46710000000000002</v>
      </c>
      <c r="AM66" s="319">
        <v>6.6900000000000001E-2</v>
      </c>
      <c r="AN66" s="319">
        <v>1.09E-2</v>
      </c>
      <c r="AO66" s="319">
        <v>0.59019999999999995</v>
      </c>
      <c r="AP66" s="319">
        <v>0</v>
      </c>
      <c r="AQ66" s="319">
        <v>0</v>
      </c>
      <c r="AR66" s="319">
        <v>0.45</v>
      </c>
      <c r="AS66" s="319">
        <v>0.45</v>
      </c>
      <c r="AT66" s="331">
        <v>0.19939999999999999</v>
      </c>
      <c r="AU66" s="336">
        <v>9.4504999999999981</v>
      </c>
      <c r="AV66" s="329">
        <v>9.4504999999999981</v>
      </c>
      <c r="AW66" s="337">
        <v>4.1875999999999989</v>
      </c>
      <c r="AX66" s="334"/>
      <c r="AY66" s="323">
        <v>7.4416999999999982</v>
      </c>
      <c r="AZ66" s="323">
        <v>7.4416999999999982</v>
      </c>
      <c r="BA66" s="323">
        <v>3.6694999999999984</v>
      </c>
      <c r="BB66" s="319"/>
      <c r="BC66" s="321">
        <f t="shared" si="0"/>
        <v>1.2699383205450367</v>
      </c>
      <c r="BD66" s="321">
        <f t="shared" si="1"/>
        <v>1.2699383205450367</v>
      </c>
      <c r="BE66" s="321">
        <f t="shared" si="2"/>
        <v>1.1411908979424992</v>
      </c>
      <c r="BG66" s="22">
        <f t="shared" si="3"/>
        <v>-6.106226635438361E-16</v>
      </c>
      <c r="BH66" s="22">
        <f t="shared" si="4"/>
        <v>-6.9388939039072284E-16</v>
      </c>
      <c r="BI66" s="22">
        <f t="shared" si="5"/>
        <v>-6.9388939039072284E-16</v>
      </c>
    </row>
    <row r="67" spans="2:61" x14ac:dyDescent="0.25">
      <c r="B67" s="312">
        <v>60</v>
      </c>
      <c r="C67" s="312" t="s">
        <v>578</v>
      </c>
      <c r="D67" s="312" t="s">
        <v>390</v>
      </c>
      <c r="E67" s="312">
        <v>5</v>
      </c>
      <c r="F67" s="312">
        <v>1</v>
      </c>
      <c r="G67" s="313" t="s">
        <v>66</v>
      </c>
      <c r="H67" s="313"/>
      <c r="I67" s="313">
        <v>4220.3599999999997</v>
      </c>
      <c r="J67" s="312">
        <v>3719.83</v>
      </c>
      <c r="K67" s="312">
        <v>0</v>
      </c>
      <c r="L67" s="312">
        <v>500.53</v>
      </c>
      <c r="M67" s="317"/>
      <c r="N67" s="319">
        <v>0.16259999999999999</v>
      </c>
      <c r="O67" s="319">
        <v>8.2699999999999996E-2</v>
      </c>
      <c r="P67" s="319">
        <v>0.4274</v>
      </c>
      <c r="Q67" s="319">
        <v>9.1499999999999998E-2</v>
      </c>
      <c r="R67" s="319">
        <v>2.8400000000000002E-2</v>
      </c>
      <c r="S67" s="319">
        <v>0.25569999999999998</v>
      </c>
      <c r="T67" s="319">
        <v>0</v>
      </c>
      <c r="U67" s="319">
        <v>0.63149999999999995</v>
      </c>
      <c r="V67" s="319">
        <v>0</v>
      </c>
      <c r="W67" s="319">
        <v>0</v>
      </c>
      <c r="X67" s="319">
        <v>4.4999999999999998E-2</v>
      </c>
      <c r="Y67" s="319">
        <v>0</v>
      </c>
      <c r="Z67" s="319">
        <v>1.3928</v>
      </c>
      <c r="AA67" s="319">
        <v>0.2326</v>
      </c>
      <c r="AB67" s="319">
        <v>0.28910000000000002</v>
      </c>
      <c r="AC67" s="319">
        <v>0.1197</v>
      </c>
      <c r="AD67" s="319">
        <v>0.1024</v>
      </c>
      <c r="AE67" s="319">
        <v>5.5199999999999999E-2</v>
      </c>
      <c r="AF67" s="319">
        <v>0.1173</v>
      </c>
      <c r="AG67" s="319">
        <v>3.2500000000000001E-2</v>
      </c>
      <c r="AH67" s="319">
        <v>0</v>
      </c>
      <c r="AI67" s="319">
        <v>1.8311999999999999</v>
      </c>
      <c r="AJ67" s="319">
        <v>1.2345999999999999</v>
      </c>
      <c r="AK67" s="319">
        <v>7.8799999999999995E-2</v>
      </c>
      <c r="AL67" s="319">
        <v>0.43959999999999999</v>
      </c>
      <c r="AM67" s="319">
        <v>2.7E-2</v>
      </c>
      <c r="AN67" s="319">
        <v>4.4000000000000003E-3</v>
      </c>
      <c r="AO67" s="319">
        <v>0.46889999999999998</v>
      </c>
      <c r="AP67" s="319">
        <v>0</v>
      </c>
      <c r="AQ67" s="319">
        <v>0</v>
      </c>
      <c r="AR67" s="319">
        <v>0.40749999999999997</v>
      </c>
      <c r="AS67" s="319">
        <v>0.40749999999999997</v>
      </c>
      <c r="AT67" s="331">
        <v>0.20880000000000001</v>
      </c>
      <c r="AU67" s="336">
        <v>8.5584000000000007</v>
      </c>
      <c r="AV67" s="329">
        <v>8.5584000000000007</v>
      </c>
      <c r="AW67" s="337">
        <v>4.3853999999999997</v>
      </c>
      <c r="AX67" s="334"/>
      <c r="AY67" s="323">
        <v>6.7392999999999992</v>
      </c>
      <c r="AZ67" s="323">
        <v>6.7392999999999992</v>
      </c>
      <c r="BA67" s="323">
        <v>3.7767000000000004</v>
      </c>
      <c r="BB67" s="319"/>
      <c r="BC67" s="321">
        <f t="shared" si="0"/>
        <v>1.2699241761013758</v>
      </c>
      <c r="BD67" s="321">
        <f t="shared" si="1"/>
        <v>1.2699241761013758</v>
      </c>
      <c r="BE67" s="321">
        <f t="shared" si="2"/>
        <v>1.1611724521407576</v>
      </c>
      <c r="BG67" s="22">
        <f t="shared" si="3"/>
        <v>1.1102230246251565E-15</v>
      </c>
      <c r="BH67" s="22">
        <f t="shared" si="4"/>
        <v>8.6042284408449632E-16</v>
      </c>
      <c r="BI67" s="22">
        <f t="shared" si="5"/>
        <v>-9.1593399531575415E-16</v>
      </c>
    </row>
    <row r="68" spans="2:61" x14ac:dyDescent="0.25">
      <c r="B68" s="312">
        <v>61</v>
      </c>
      <c r="C68" s="312" t="s">
        <v>580</v>
      </c>
      <c r="D68" s="312" t="s">
        <v>392</v>
      </c>
      <c r="E68" s="312">
        <v>9</v>
      </c>
      <c r="F68" s="312">
        <v>3</v>
      </c>
      <c r="G68" s="313" t="s">
        <v>208</v>
      </c>
      <c r="H68" s="313"/>
      <c r="I68" s="313">
        <v>5985.55</v>
      </c>
      <c r="J68" s="312">
        <v>653.65000000000055</v>
      </c>
      <c r="K68" s="312">
        <v>5331.9</v>
      </c>
      <c r="L68" s="312">
        <v>0</v>
      </c>
      <c r="M68" s="317"/>
      <c r="N68" s="319">
        <v>0.1908</v>
      </c>
      <c r="O68" s="319">
        <v>9.7799999999999998E-2</v>
      </c>
      <c r="P68" s="319">
        <v>0.28920000000000001</v>
      </c>
      <c r="Q68" s="319">
        <v>7.3499999999999996E-2</v>
      </c>
      <c r="R68" s="319">
        <v>2.1999999999999999E-2</v>
      </c>
      <c r="S68" s="319">
        <v>0.21870000000000001</v>
      </c>
      <c r="T68" s="319">
        <v>0</v>
      </c>
      <c r="U68" s="319">
        <v>0.63149999999999995</v>
      </c>
      <c r="V68" s="319">
        <v>1.9282999999999999</v>
      </c>
      <c r="W68" s="319">
        <v>0</v>
      </c>
      <c r="X68" s="319">
        <v>0.14269999999999999</v>
      </c>
      <c r="Y68" s="319">
        <v>0</v>
      </c>
      <c r="Z68" s="319">
        <v>1.9191</v>
      </c>
      <c r="AA68" s="319">
        <v>0.25469999999999998</v>
      </c>
      <c r="AB68" s="319">
        <v>0.3508</v>
      </c>
      <c r="AC68" s="319">
        <v>0.1174</v>
      </c>
      <c r="AD68" s="319">
        <v>0.12470000000000001</v>
      </c>
      <c r="AE68" s="319">
        <v>4.2799999999999998E-2</v>
      </c>
      <c r="AF68" s="319">
        <v>5.5399999999999998E-2</v>
      </c>
      <c r="AG68" s="319">
        <v>2.93E-2</v>
      </c>
      <c r="AH68" s="319">
        <v>0</v>
      </c>
      <c r="AI68" s="319">
        <v>2.0823</v>
      </c>
      <c r="AJ68" s="319">
        <v>1.5099</v>
      </c>
      <c r="AK68" s="319">
        <v>7.51E-2</v>
      </c>
      <c r="AL68" s="319">
        <v>0.30299999999999999</v>
      </c>
      <c r="AM68" s="319">
        <v>3.4299999999999997E-2</v>
      </c>
      <c r="AN68" s="319">
        <v>5.5999999999999999E-3</v>
      </c>
      <c r="AO68" s="319">
        <v>0.28449999999999998</v>
      </c>
      <c r="AP68" s="319">
        <v>0.58240000000000003</v>
      </c>
      <c r="AQ68" s="319">
        <v>0</v>
      </c>
      <c r="AR68" s="319">
        <v>0.44280000000000003</v>
      </c>
      <c r="AS68" s="319">
        <v>0.56830000000000003</v>
      </c>
      <c r="AT68" s="331">
        <v>0.23380000000000001</v>
      </c>
      <c r="AU68" s="336">
        <v>9.2979000000000003</v>
      </c>
      <c r="AV68" s="329">
        <v>11.934100000000001</v>
      </c>
      <c r="AW68" s="337">
        <v>4.9092000000000002</v>
      </c>
      <c r="AX68" s="334"/>
      <c r="AY68" s="323">
        <v>7.3215000000000003</v>
      </c>
      <c r="AZ68" s="323">
        <v>10.245199999999999</v>
      </c>
      <c r="BA68" s="323">
        <v>4.2656000000000001</v>
      </c>
      <c r="BB68" s="319"/>
      <c r="BC68" s="321">
        <f t="shared" si="0"/>
        <v>1.2699446834665027</v>
      </c>
      <c r="BD68" s="321">
        <f t="shared" si="1"/>
        <v>1.1648479287861635</v>
      </c>
      <c r="BE68" s="321">
        <f t="shared" si="2"/>
        <v>1.150881470367592</v>
      </c>
      <c r="BG68" s="22">
        <f t="shared" si="3"/>
        <v>3.3861802251067274E-15</v>
      </c>
      <c r="BH68" s="22">
        <f t="shared" si="4"/>
        <v>0</v>
      </c>
      <c r="BI68" s="22">
        <f t="shared" si="5"/>
        <v>0</v>
      </c>
    </row>
    <row r="69" spans="2:61" x14ac:dyDescent="0.25">
      <c r="B69" s="312">
        <v>62</v>
      </c>
      <c r="C69" s="312" t="s">
        <v>583</v>
      </c>
      <c r="D69" s="312" t="s">
        <v>392</v>
      </c>
      <c r="E69" s="312">
        <v>5</v>
      </c>
      <c r="F69" s="312">
        <v>4</v>
      </c>
      <c r="G69" s="313" t="s">
        <v>67</v>
      </c>
      <c r="H69" s="313"/>
      <c r="I69" s="313">
        <v>2733.62</v>
      </c>
      <c r="J69" s="312">
        <v>2733.62</v>
      </c>
      <c r="K69" s="312">
        <v>0</v>
      </c>
      <c r="L69" s="312">
        <v>0</v>
      </c>
      <c r="M69" s="317"/>
      <c r="N69" s="319">
        <v>0.16769999999999999</v>
      </c>
      <c r="O69" s="319">
        <v>9.3100000000000002E-2</v>
      </c>
      <c r="P69" s="319">
        <v>0.3251</v>
      </c>
      <c r="Q69" s="319">
        <v>7.4399999999999994E-2</v>
      </c>
      <c r="R69" s="319">
        <v>2.92E-2</v>
      </c>
      <c r="S69" s="319">
        <v>0.50319999999999998</v>
      </c>
      <c r="T69" s="319">
        <v>0</v>
      </c>
      <c r="U69" s="319">
        <v>0.63149999999999995</v>
      </c>
      <c r="V69" s="319">
        <v>0</v>
      </c>
      <c r="W69" s="319">
        <v>0</v>
      </c>
      <c r="X69" s="319">
        <v>0.17069999999999999</v>
      </c>
      <c r="Y69" s="319">
        <v>0</v>
      </c>
      <c r="Z69" s="319">
        <v>2.3382000000000001</v>
      </c>
      <c r="AA69" s="319">
        <v>0.22220000000000001</v>
      </c>
      <c r="AB69" s="319">
        <v>0.33029999999999998</v>
      </c>
      <c r="AC69" s="319">
        <v>8.7900000000000006E-2</v>
      </c>
      <c r="AD69" s="319">
        <v>0.1062</v>
      </c>
      <c r="AE69" s="319">
        <v>5.6899999999999999E-2</v>
      </c>
      <c r="AF69" s="319">
        <v>0.17349999999999999</v>
      </c>
      <c r="AG69" s="319">
        <v>3.3700000000000001E-2</v>
      </c>
      <c r="AH69" s="319">
        <v>0</v>
      </c>
      <c r="AI69" s="319">
        <v>2.4662999999999999</v>
      </c>
      <c r="AJ69" s="319">
        <v>1.2004999999999999</v>
      </c>
      <c r="AK69" s="319">
        <v>9.3100000000000002E-2</v>
      </c>
      <c r="AL69" s="319">
        <v>0.6401</v>
      </c>
      <c r="AM69" s="319">
        <v>5.8700000000000002E-2</v>
      </c>
      <c r="AN69" s="319">
        <v>9.4999999999999998E-3</v>
      </c>
      <c r="AO69" s="319">
        <v>0.17799999999999999</v>
      </c>
      <c r="AP69" s="319">
        <v>0</v>
      </c>
      <c r="AQ69" s="319">
        <v>0</v>
      </c>
      <c r="AR69" s="319">
        <v>0.4995</v>
      </c>
      <c r="AS69" s="319">
        <v>0.4995</v>
      </c>
      <c r="AT69" s="331">
        <v>0.27529999999999999</v>
      </c>
      <c r="AU69" s="336">
        <v>10.4895</v>
      </c>
      <c r="AV69" s="329">
        <v>10.4895</v>
      </c>
      <c r="AW69" s="337">
        <v>5.7803999999999984</v>
      </c>
      <c r="AX69" s="334"/>
      <c r="AY69" s="323">
        <v>8.2600999999999996</v>
      </c>
      <c r="AZ69" s="323">
        <v>8.2600999999999996</v>
      </c>
      <c r="BA69" s="323">
        <v>4.8614999999999986</v>
      </c>
      <c r="BB69" s="319"/>
      <c r="BC69" s="321">
        <f t="shared" si="0"/>
        <v>1.2698998801467294</v>
      </c>
      <c r="BD69" s="321">
        <f t="shared" si="1"/>
        <v>1.2698998801467294</v>
      </c>
      <c r="BE69" s="321">
        <f t="shared" si="2"/>
        <v>1.1890157358839863</v>
      </c>
      <c r="BG69" s="22">
        <f t="shared" si="3"/>
        <v>-1.7763568394002505E-15</v>
      </c>
      <c r="BH69" s="22">
        <f t="shared" si="4"/>
        <v>0</v>
      </c>
      <c r="BI69" s="22">
        <f t="shared" si="5"/>
        <v>-1.0269562977782698E-15</v>
      </c>
    </row>
    <row r="70" spans="2:61" x14ac:dyDescent="0.25">
      <c r="B70" s="312">
        <v>63</v>
      </c>
      <c r="C70" s="312" t="s">
        <v>585</v>
      </c>
      <c r="D70" s="312" t="s">
        <v>392</v>
      </c>
      <c r="E70" s="312">
        <v>5</v>
      </c>
      <c r="F70" s="312">
        <v>4</v>
      </c>
      <c r="G70" s="313" t="s">
        <v>68</v>
      </c>
      <c r="H70" s="313"/>
      <c r="I70" s="313">
        <v>2913</v>
      </c>
      <c r="J70" s="312">
        <v>2913</v>
      </c>
      <c r="K70" s="312">
        <v>0</v>
      </c>
      <c r="L70" s="312">
        <v>0</v>
      </c>
      <c r="M70" s="317"/>
      <c r="N70" s="319">
        <v>0.1618</v>
      </c>
      <c r="O70" s="319">
        <v>8.7400000000000005E-2</v>
      </c>
      <c r="P70" s="319">
        <v>0.32329999999999998</v>
      </c>
      <c r="Q70" s="319">
        <v>7.51E-2</v>
      </c>
      <c r="R70" s="319">
        <v>3.09E-2</v>
      </c>
      <c r="S70" s="319">
        <v>0.46600000000000003</v>
      </c>
      <c r="T70" s="319">
        <v>0</v>
      </c>
      <c r="U70" s="319">
        <v>0.63149999999999995</v>
      </c>
      <c r="V70" s="319">
        <v>0</v>
      </c>
      <c r="W70" s="319">
        <v>0</v>
      </c>
      <c r="X70" s="319">
        <v>0.16289999999999999</v>
      </c>
      <c r="Y70" s="319">
        <v>0</v>
      </c>
      <c r="Z70" s="319">
        <v>1.7262999999999999</v>
      </c>
      <c r="AA70" s="319">
        <v>0.21609999999999999</v>
      </c>
      <c r="AB70" s="319">
        <v>0.31009999999999999</v>
      </c>
      <c r="AC70" s="319">
        <v>8.9800000000000005E-2</v>
      </c>
      <c r="AD70" s="319">
        <v>0.1096</v>
      </c>
      <c r="AE70" s="319">
        <v>0.06</v>
      </c>
      <c r="AF70" s="319">
        <v>0.1855</v>
      </c>
      <c r="AG70" s="319">
        <v>3.2500000000000001E-2</v>
      </c>
      <c r="AH70" s="319">
        <v>0</v>
      </c>
      <c r="AI70" s="319">
        <v>3.1795</v>
      </c>
      <c r="AJ70" s="319">
        <v>1.0945</v>
      </c>
      <c r="AK70" s="319">
        <v>8.77E-2</v>
      </c>
      <c r="AL70" s="319">
        <v>0.62009999999999998</v>
      </c>
      <c r="AM70" s="319">
        <v>4.7199999999999999E-2</v>
      </c>
      <c r="AN70" s="319">
        <v>7.7000000000000002E-3</v>
      </c>
      <c r="AO70" s="319">
        <v>0.27539999999999998</v>
      </c>
      <c r="AP70" s="319">
        <v>0</v>
      </c>
      <c r="AQ70" s="319">
        <v>0</v>
      </c>
      <c r="AR70" s="319">
        <v>0.499</v>
      </c>
      <c r="AS70" s="319">
        <v>0.499</v>
      </c>
      <c r="AT70" s="331">
        <v>0.24060000000000001</v>
      </c>
      <c r="AU70" s="336">
        <v>10.479900000000001</v>
      </c>
      <c r="AV70" s="329">
        <v>10.479900000000001</v>
      </c>
      <c r="AW70" s="337">
        <v>5.0519999999999996</v>
      </c>
      <c r="AX70" s="334"/>
      <c r="AY70" s="323">
        <v>8.2523000000000017</v>
      </c>
      <c r="AZ70" s="323">
        <v>8.2523000000000017</v>
      </c>
      <c r="BA70" s="323">
        <v>4.5215000000000014</v>
      </c>
      <c r="BB70" s="319"/>
      <c r="BC70" s="321">
        <f t="shared" si="0"/>
        <v>1.2699368660858183</v>
      </c>
      <c r="BD70" s="321">
        <f t="shared" si="1"/>
        <v>1.2699368660858183</v>
      </c>
      <c r="BE70" s="321">
        <f t="shared" si="2"/>
        <v>1.1173283202477049</v>
      </c>
      <c r="BG70" s="22">
        <f t="shared" si="3"/>
        <v>0</v>
      </c>
      <c r="BH70" s="22">
        <f t="shared" si="4"/>
        <v>0</v>
      </c>
      <c r="BI70" s="22">
        <f t="shared" si="5"/>
        <v>0</v>
      </c>
    </row>
    <row r="71" spans="2:61" x14ac:dyDescent="0.25">
      <c r="B71" s="312">
        <v>64</v>
      </c>
      <c r="C71" s="312" t="s">
        <v>587</v>
      </c>
      <c r="D71" s="312" t="s">
        <v>392</v>
      </c>
      <c r="E71" s="312">
        <v>5</v>
      </c>
      <c r="F71" s="312">
        <v>4</v>
      </c>
      <c r="G71" s="313" t="s">
        <v>69</v>
      </c>
      <c r="H71" s="313"/>
      <c r="I71" s="313">
        <v>2965.54</v>
      </c>
      <c r="J71" s="312">
        <v>2965.54</v>
      </c>
      <c r="K71" s="312">
        <v>0</v>
      </c>
      <c r="L71" s="312">
        <v>0</v>
      </c>
      <c r="M71" s="317"/>
      <c r="N71" s="319">
        <v>0.16320000000000001</v>
      </c>
      <c r="O71" s="319">
        <v>8.6599999999999996E-2</v>
      </c>
      <c r="P71" s="319">
        <v>0.32490000000000002</v>
      </c>
      <c r="Q71" s="319">
        <v>7.4999999999999997E-2</v>
      </c>
      <c r="R71" s="319">
        <v>3.0300000000000001E-2</v>
      </c>
      <c r="S71" s="319">
        <v>0.48039999999999999</v>
      </c>
      <c r="T71" s="319">
        <v>0</v>
      </c>
      <c r="U71" s="319">
        <v>0.63149999999999995</v>
      </c>
      <c r="V71" s="319">
        <v>0</v>
      </c>
      <c r="W71" s="319">
        <v>0</v>
      </c>
      <c r="X71" s="319">
        <v>0.16270000000000001</v>
      </c>
      <c r="Y71" s="319">
        <v>0</v>
      </c>
      <c r="Z71" s="319">
        <v>1.421</v>
      </c>
      <c r="AA71" s="319">
        <v>0.2102</v>
      </c>
      <c r="AB71" s="319">
        <v>0.30709999999999998</v>
      </c>
      <c r="AC71" s="319">
        <v>9.0200000000000002E-2</v>
      </c>
      <c r="AD71" s="319">
        <v>0.1091</v>
      </c>
      <c r="AE71" s="319">
        <v>5.8999999999999997E-2</v>
      </c>
      <c r="AF71" s="319">
        <v>0.1822</v>
      </c>
      <c r="AG71" s="319">
        <v>3.2199999999999999E-2</v>
      </c>
      <c r="AH71" s="319">
        <v>0</v>
      </c>
      <c r="AI71" s="319">
        <v>3.3317999999999999</v>
      </c>
      <c r="AJ71" s="319">
        <v>1.0779000000000001</v>
      </c>
      <c r="AK71" s="319">
        <v>8.6099999999999996E-2</v>
      </c>
      <c r="AL71" s="319">
        <v>0.6119</v>
      </c>
      <c r="AM71" s="319">
        <v>5.4399999999999997E-2</v>
      </c>
      <c r="AN71" s="319">
        <v>8.8000000000000005E-3</v>
      </c>
      <c r="AO71" s="319">
        <v>0.2356</v>
      </c>
      <c r="AP71" s="319">
        <v>0</v>
      </c>
      <c r="AQ71" s="319">
        <v>0</v>
      </c>
      <c r="AR71" s="319">
        <v>0.48859999999999998</v>
      </c>
      <c r="AS71" s="319">
        <v>0.48859999999999998</v>
      </c>
      <c r="AT71" s="331">
        <v>0.22570000000000001</v>
      </c>
      <c r="AU71" s="336">
        <v>10.2607</v>
      </c>
      <c r="AV71" s="329">
        <v>10.2607</v>
      </c>
      <c r="AW71" s="337">
        <v>4.7406000000000006</v>
      </c>
      <c r="AX71" s="334"/>
      <c r="AY71" s="323">
        <v>8.0798000000000005</v>
      </c>
      <c r="AZ71" s="323">
        <v>8.0798000000000005</v>
      </c>
      <c r="BA71" s="323">
        <v>4.2829999999999995</v>
      </c>
      <c r="BB71" s="319"/>
      <c r="BC71" s="321">
        <f t="shared" si="0"/>
        <v>1.2699200475259287</v>
      </c>
      <c r="BD71" s="321">
        <f t="shared" si="1"/>
        <v>1.2699200475259287</v>
      </c>
      <c r="BE71" s="321">
        <f t="shared" si="2"/>
        <v>1.1068409992995567</v>
      </c>
      <c r="BG71" s="22">
        <f t="shared" si="3"/>
        <v>1.9428902930940239E-15</v>
      </c>
      <c r="BH71" s="22">
        <f t="shared" si="4"/>
        <v>8.3266726846886741E-16</v>
      </c>
      <c r="BI71" s="22">
        <f t="shared" si="5"/>
        <v>8.3266726846886741E-16</v>
      </c>
    </row>
    <row r="72" spans="2:61" x14ac:dyDescent="0.25">
      <c r="B72" s="312">
        <v>65</v>
      </c>
      <c r="C72" s="312" t="s">
        <v>589</v>
      </c>
      <c r="D72" s="312" t="s">
        <v>392</v>
      </c>
      <c r="E72" s="312">
        <v>5</v>
      </c>
      <c r="F72" s="312">
        <v>4</v>
      </c>
      <c r="G72" s="313" t="s">
        <v>70</v>
      </c>
      <c r="H72" s="313"/>
      <c r="I72" s="313">
        <v>2721.5</v>
      </c>
      <c r="J72" s="312">
        <v>2721.5</v>
      </c>
      <c r="K72" s="312">
        <v>0</v>
      </c>
      <c r="L72" s="312">
        <v>0</v>
      </c>
      <c r="M72" s="317"/>
      <c r="N72" s="319">
        <v>0.1663</v>
      </c>
      <c r="O72" s="319">
        <v>9.3600000000000003E-2</v>
      </c>
      <c r="P72" s="319">
        <v>0.32350000000000001</v>
      </c>
      <c r="Q72" s="319">
        <v>7.46E-2</v>
      </c>
      <c r="R72" s="319">
        <v>2.9399999999999999E-2</v>
      </c>
      <c r="S72" s="319">
        <v>0.50539999999999996</v>
      </c>
      <c r="T72" s="319">
        <v>0</v>
      </c>
      <c r="U72" s="319">
        <v>0.63149999999999995</v>
      </c>
      <c r="V72" s="319">
        <v>0</v>
      </c>
      <c r="W72" s="319">
        <v>0</v>
      </c>
      <c r="X72" s="319">
        <v>0.17430000000000001</v>
      </c>
      <c r="Y72" s="319">
        <v>0</v>
      </c>
      <c r="Z72" s="319">
        <v>2.2246999999999999</v>
      </c>
      <c r="AA72" s="319">
        <v>0.2177</v>
      </c>
      <c r="AB72" s="319">
        <v>0.33179999999999998</v>
      </c>
      <c r="AC72" s="319">
        <v>8.8200000000000001E-2</v>
      </c>
      <c r="AD72" s="319">
        <v>0.10780000000000001</v>
      </c>
      <c r="AE72" s="319">
        <v>5.7099999999999998E-2</v>
      </c>
      <c r="AF72" s="319">
        <v>0.17419999999999999</v>
      </c>
      <c r="AG72" s="319">
        <v>3.2000000000000001E-2</v>
      </c>
      <c r="AH72" s="319">
        <v>0</v>
      </c>
      <c r="AI72" s="319">
        <v>2.1436999999999999</v>
      </c>
      <c r="AJ72" s="319">
        <v>1.1556</v>
      </c>
      <c r="AK72" s="319">
        <v>9.3700000000000006E-2</v>
      </c>
      <c r="AL72" s="319">
        <v>0.63839999999999997</v>
      </c>
      <c r="AM72" s="319">
        <v>5.91E-2</v>
      </c>
      <c r="AN72" s="319">
        <v>9.5999999999999992E-3</v>
      </c>
      <c r="AO72" s="319">
        <v>6.6600000000000006E-2</v>
      </c>
      <c r="AP72" s="319">
        <v>0</v>
      </c>
      <c r="AQ72" s="319">
        <v>0</v>
      </c>
      <c r="AR72" s="319">
        <v>0.46989999999999998</v>
      </c>
      <c r="AS72" s="319">
        <v>0.46989999999999998</v>
      </c>
      <c r="AT72" s="331">
        <v>0.2697</v>
      </c>
      <c r="AU72" s="336">
        <v>9.8687000000000005</v>
      </c>
      <c r="AV72" s="329">
        <v>9.8687000000000005</v>
      </c>
      <c r="AW72" s="337">
        <v>5.6642000000000019</v>
      </c>
      <c r="AX72" s="334"/>
      <c r="AY72" s="323">
        <v>7.7712000000000003</v>
      </c>
      <c r="AZ72" s="323">
        <v>7.7712000000000003</v>
      </c>
      <c r="BA72" s="323">
        <v>5.0260000000000007</v>
      </c>
      <c r="BB72" s="319"/>
      <c r="BC72" s="321">
        <f t="shared" si="0"/>
        <v>1.2699068354951617</v>
      </c>
      <c r="BD72" s="321">
        <f t="shared" si="1"/>
        <v>1.2699068354951617</v>
      </c>
      <c r="BE72" s="321">
        <f t="shared" si="2"/>
        <v>1.1269797055312378</v>
      </c>
      <c r="BG72" s="22">
        <f t="shared" si="3"/>
        <v>6.6613381477509392E-16</v>
      </c>
      <c r="BH72" s="22">
        <f t="shared" si="4"/>
        <v>0</v>
      </c>
      <c r="BI72" s="22">
        <f t="shared" si="5"/>
        <v>1.8873791418627661E-15</v>
      </c>
    </row>
    <row r="73" spans="2:61" x14ac:dyDescent="0.25">
      <c r="B73" s="312">
        <v>66</v>
      </c>
      <c r="C73" s="312" t="s">
        <v>591</v>
      </c>
      <c r="D73" s="312" t="s">
        <v>392</v>
      </c>
      <c r="E73" s="312">
        <v>9</v>
      </c>
      <c r="F73" s="312">
        <v>2</v>
      </c>
      <c r="G73" s="313" t="s">
        <v>209</v>
      </c>
      <c r="H73" s="313"/>
      <c r="I73" s="313">
        <v>3996</v>
      </c>
      <c r="J73" s="312">
        <v>443.15000000000009</v>
      </c>
      <c r="K73" s="312">
        <v>3552.85</v>
      </c>
      <c r="L73" s="312">
        <v>0</v>
      </c>
      <c r="M73" s="317"/>
      <c r="N73" s="319">
        <v>0.12609999999999999</v>
      </c>
      <c r="O73" s="319">
        <v>6.54E-2</v>
      </c>
      <c r="P73" s="319">
        <v>0.30559999999999998</v>
      </c>
      <c r="Q73" s="319">
        <v>7.0800000000000002E-2</v>
      </c>
      <c r="R73" s="319">
        <v>6.8000000000000005E-2</v>
      </c>
      <c r="S73" s="319">
        <v>0.27689999999999998</v>
      </c>
      <c r="T73" s="319">
        <v>0</v>
      </c>
      <c r="U73" s="319">
        <v>0.63149999999999995</v>
      </c>
      <c r="V73" s="319">
        <v>1.9292</v>
      </c>
      <c r="W73" s="319">
        <v>0</v>
      </c>
      <c r="X73" s="319">
        <v>0.14249999999999999</v>
      </c>
      <c r="Y73" s="319">
        <v>0</v>
      </c>
      <c r="Z73" s="319">
        <v>2.0802</v>
      </c>
      <c r="AA73" s="319">
        <v>0.1676</v>
      </c>
      <c r="AB73" s="319">
        <v>0.2356</v>
      </c>
      <c r="AC73" s="319">
        <v>9.35E-2</v>
      </c>
      <c r="AD73" s="319">
        <v>0.11890000000000001</v>
      </c>
      <c r="AE73" s="319">
        <v>0.13220000000000001</v>
      </c>
      <c r="AF73" s="319">
        <v>8.48E-2</v>
      </c>
      <c r="AG73" s="319">
        <v>2.8000000000000001E-2</v>
      </c>
      <c r="AH73" s="319">
        <v>0</v>
      </c>
      <c r="AI73" s="319">
        <v>1.7381</v>
      </c>
      <c r="AJ73" s="319">
        <v>1.7806</v>
      </c>
      <c r="AK73" s="319">
        <v>8.0399999999999999E-2</v>
      </c>
      <c r="AL73" s="319">
        <v>0.50800000000000001</v>
      </c>
      <c r="AM73" s="319">
        <v>4.0800000000000003E-2</v>
      </c>
      <c r="AN73" s="319">
        <v>6.6E-3</v>
      </c>
      <c r="AO73" s="319">
        <v>0.4365</v>
      </c>
      <c r="AP73" s="319">
        <v>0.68469999999999998</v>
      </c>
      <c r="AQ73" s="319">
        <v>0</v>
      </c>
      <c r="AR73" s="319">
        <v>0.46089999999999998</v>
      </c>
      <c r="AS73" s="319">
        <v>0.59160000000000001</v>
      </c>
      <c r="AT73" s="331">
        <v>0.23780000000000001</v>
      </c>
      <c r="AU73" s="336">
        <v>9.6795000000000027</v>
      </c>
      <c r="AV73" s="329">
        <v>12.424100000000001</v>
      </c>
      <c r="AW73" s="337">
        <v>4.9932000000000007</v>
      </c>
      <c r="AX73" s="334"/>
      <c r="AY73" s="323">
        <v>7.6221999999999994</v>
      </c>
      <c r="AZ73" s="323">
        <v>10.774699999999999</v>
      </c>
      <c r="BA73" s="323">
        <v>4.3689</v>
      </c>
      <c r="BB73" s="319"/>
      <c r="BC73" s="321">
        <f t="shared" ref="BC73:BC136" si="6">AU73/AY73</f>
        <v>1.2699089501718668</v>
      </c>
      <c r="BD73" s="321">
        <f t="shared" ref="BD73:BD136" si="7">AV73/AZ73</f>
        <v>1.1530808282365173</v>
      </c>
      <c r="BE73" s="321">
        <f t="shared" ref="BE73:BE136" si="8">AW73/BA73</f>
        <v>1.1428963812401292</v>
      </c>
      <c r="BG73" s="22">
        <f t="shared" ref="BG73:BG136" si="9">AU73-N73-O73-P73-Q73-R73-S73-T73-U73-X73-Y73-Z73-AA73-AB73-AC73-AD73-AE73-AF73-AG73-AH73-AI73-AJ73-AK73-AL73-AM73-AN73-AO73-AQ73-AR73</f>
        <v>4.9960036108132044E-15</v>
      </c>
      <c r="BH73" s="22">
        <f t="shared" ref="BH73:BH136" si="10">AV73-AS73-AQ73-AP73-AO73-AN73-AM73-AL73-AK73-AJ73-AI73-AH73-AG73-AF73-AE73-AD73-AC73-AB73-AA73-Z73-Y73-X73-W73-V73-U73-T73-S73-R73-Q73-P73-O73-N73</f>
        <v>0</v>
      </c>
      <c r="BI73" s="22">
        <f t="shared" ref="BI73:BI136" si="11">AW73-AT73-AQ73-AN73-AM73-AK73-AH73-AG73-AF73-AE73-AD73-AC73-AB73-AA73-Z73-Y73-X73-U73-T73-S73-R73-Q73-P73-O73-N73</f>
        <v>1.2212453270876722E-15</v>
      </c>
    </row>
    <row r="74" spans="2:61" x14ac:dyDescent="0.25">
      <c r="B74" s="312">
        <v>67</v>
      </c>
      <c r="C74" s="312" t="s">
        <v>593</v>
      </c>
      <c r="D74" s="312" t="s">
        <v>392</v>
      </c>
      <c r="E74" s="312">
        <v>5</v>
      </c>
      <c r="F74" s="312">
        <v>4</v>
      </c>
      <c r="G74" s="313" t="s">
        <v>71</v>
      </c>
      <c r="H74" s="313"/>
      <c r="I74" s="313">
        <v>2719.22</v>
      </c>
      <c r="J74" s="312">
        <v>2719.22</v>
      </c>
      <c r="K74" s="312">
        <v>0</v>
      </c>
      <c r="L74" s="312">
        <v>0</v>
      </c>
      <c r="M74" s="317"/>
      <c r="N74" s="319">
        <v>0.16639999999999999</v>
      </c>
      <c r="O74" s="319">
        <v>9.3600000000000003E-2</v>
      </c>
      <c r="P74" s="319">
        <v>0.32269999999999999</v>
      </c>
      <c r="Q74" s="319">
        <v>7.4700000000000003E-2</v>
      </c>
      <c r="R74" s="319">
        <v>2.9399999999999999E-2</v>
      </c>
      <c r="S74" s="319">
        <v>0.50590000000000002</v>
      </c>
      <c r="T74" s="319">
        <v>0</v>
      </c>
      <c r="U74" s="319">
        <v>0.63149999999999995</v>
      </c>
      <c r="V74" s="319">
        <v>0</v>
      </c>
      <c r="W74" s="319">
        <v>0</v>
      </c>
      <c r="X74" s="319">
        <v>0.17449999999999999</v>
      </c>
      <c r="Y74" s="319">
        <v>0</v>
      </c>
      <c r="Z74" s="319">
        <v>2.1711999999999998</v>
      </c>
      <c r="AA74" s="319">
        <v>0.2208</v>
      </c>
      <c r="AB74" s="319">
        <v>0.33210000000000001</v>
      </c>
      <c r="AC74" s="319">
        <v>8.7999999999999995E-2</v>
      </c>
      <c r="AD74" s="319">
        <v>0.1079</v>
      </c>
      <c r="AE74" s="319">
        <v>5.7200000000000001E-2</v>
      </c>
      <c r="AF74" s="319">
        <v>0.1744</v>
      </c>
      <c r="AG74" s="319">
        <v>3.3799999999999997E-2</v>
      </c>
      <c r="AH74" s="319">
        <v>0</v>
      </c>
      <c r="AI74" s="319">
        <v>2.0819999999999999</v>
      </c>
      <c r="AJ74" s="319">
        <v>1.2501</v>
      </c>
      <c r="AK74" s="319">
        <v>8.9499999999999996E-2</v>
      </c>
      <c r="AL74" s="319">
        <v>0.64419999999999999</v>
      </c>
      <c r="AM74" s="319">
        <v>5.91E-2</v>
      </c>
      <c r="AN74" s="319">
        <v>9.5999999999999992E-3</v>
      </c>
      <c r="AO74" s="319">
        <v>0.2455</v>
      </c>
      <c r="AP74" s="319">
        <v>0</v>
      </c>
      <c r="AQ74" s="319">
        <v>0</v>
      </c>
      <c r="AR74" s="319">
        <v>0.47820000000000001</v>
      </c>
      <c r="AS74" s="319">
        <v>0.47820000000000001</v>
      </c>
      <c r="AT74" s="331">
        <v>0.2671</v>
      </c>
      <c r="AU74" s="336">
        <v>10.042299999999999</v>
      </c>
      <c r="AV74" s="329">
        <v>10.042299999999999</v>
      </c>
      <c r="AW74" s="337">
        <v>5.6094000000000008</v>
      </c>
      <c r="AX74" s="334"/>
      <c r="AY74" s="323">
        <v>7.9077999999999991</v>
      </c>
      <c r="AZ74" s="323">
        <v>7.9077999999999991</v>
      </c>
      <c r="BA74" s="323">
        <v>4.7494000000000005</v>
      </c>
      <c r="BB74" s="319"/>
      <c r="BC74" s="321">
        <f t="shared" si="6"/>
        <v>1.2699233668023977</v>
      </c>
      <c r="BD74" s="321">
        <f t="shared" si="7"/>
        <v>1.2699233668023977</v>
      </c>
      <c r="BE74" s="321">
        <f t="shared" si="8"/>
        <v>1.1810755042742243</v>
      </c>
      <c r="BG74" s="22">
        <f t="shared" si="9"/>
        <v>0</v>
      </c>
      <c r="BH74" s="22">
        <f t="shared" si="10"/>
        <v>3.3306690738754696E-16</v>
      </c>
      <c r="BI74" s="22">
        <f t="shared" si="11"/>
        <v>1.2212453270876722E-15</v>
      </c>
    </row>
    <row r="75" spans="2:61" x14ac:dyDescent="0.25">
      <c r="B75" s="312">
        <v>68</v>
      </c>
      <c r="C75" s="312" t="s">
        <v>595</v>
      </c>
      <c r="D75" s="312" t="s">
        <v>392</v>
      </c>
      <c r="E75" s="312">
        <v>5</v>
      </c>
      <c r="F75" s="312">
        <v>6</v>
      </c>
      <c r="G75" s="313" t="s">
        <v>72</v>
      </c>
      <c r="H75" s="313"/>
      <c r="I75" s="313">
        <v>4605.0600000000004</v>
      </c>
      <c r="J75" s="312">
        <v>4605.0600000000004</v>
      </c>
      <c r="K75" s="312">
        <v>0</v>
      </c>
      <c r="L75" s="312">
        <v>0</v>
      </c>
      <c r="M75" s="317"/>
      <c r="N75" s="319">
        <v>0.14929999999999999</v>
      </c>
      <c r="O75" s="319">
        <v>8.2199999999999995E-2</v>
      </c>
      <c r="P75" s="319">
        <v>0.33379999999999999</v>
      </c>
      <c r="Q75" s="319">
        <v>7.3999999999999996E-2</v>
      </c>
      <c r="R75" s="319">
        <v>3.9100000000000003E-2</v>
      </c>
      <c r="S75" s="319">
        <v>0.57599999999999996</v>
      </c>
      <c r="T75" s="319">
        <v>0</v>
      </c>
      <c r="U75" s="319">
        <v>0.63149999999999995</v>
      </c>
      <c r="V75" s="319">
        <v>0</v>
      </c>
      <c r="W75" s="319">
        <v>0</v>
      </c>
      <c r="X75" s="319">
        <v>0.1545</v>
      </c>
      <c r="Y75" s="319">
        <v>0</v>
      </c>
      <c r="Z75" s="319">
        <v>2.4925999999999999</v>
      </c>
      <c r="AA75" s="319">
        <v>0.1991</v>
      </c>
      <c r="AB75" s="319">
        <v>0.29160000000000003</v>
      </c>
      <c r="AC75" s="319">
        <v>9.1800000000000007E-2</v>
      </c>
      <c r="AD75" s="319">
        <v>9.2600000000000002E-2</v>
      </c>
      <c r="AE75" s="319">
        <v>7.5899999999999995E-2</v>
      </c>
      <c r="AF75" s="319">
        <v>0.21429999999999999</v>
      </c>
      <c r="AG75" s="319">
        <v>3.1699999999999999E-2</v>
      </c>
      <c r="AH75" s="319">
        <v>0</v>
      </c>
      <c r="AI75" s="319">
        <v>1.5170999999999999</v>
      </c>
      <c r="AJ75" s="319">
        <v>1.0330999999999999</v>
      </c>
      <c r="AK75" s="319">
        <v>9.1999999999999998E-2</v>
      </c>
      <c r="AL75" s="319">
        <v>0.60129999999999995</v>
      </c>
      <c r="AM75" s="319">
        <v>5.67E-2</v>
      </c>
      <c r="AN75" s="319">
        <v>9.1999999999999998E-3</v>
      </c>
      <c r="AO75" s="319">
        <v>0.2203</v>
      </c>
      <c r="AP75" s="319">
        <v>0</v>
      </c>
      <c r="AQ75" s="319">
        <v>0</v>
      </c>
      <c r="AR75" s="319">
        <v>0.45300000000000001</v>
      </c>
      <c r="AS75" s="319">
        <v>0.45300000000000001</v>
      </c>
      <c r="AT75" s="331">
        <v>0.28439999999999999</v>
      </c>
      <c r="AU75" s="336">
        <v>9.512699999999997</v>
      </c>
      <c r="AV75" s="329">
        <v>9.512699999999997</v>
      </c>
      <c r="AW75" s="337">
        <v>5.9722999999999971</v>
      </c>
      <c r="AX75" s="334"/>
      <c r="AY75" s="323">
        <v>7.4907000000000004</v>
      </c>
      <c r="AZ75" s="323">
        <v>7.4907000000000004</v>
      </c>
      <c r="BA75" s="323">
        <v>4.9814999999999996</v>
      </c>
      <c r="BB75" s="319"/>
      <c r="BC75" s="321">
        <f t="shared" si="6"/>
        <v>1.2699347190516235</v>
      </c>
      <c r="BD75" s="321">
        <f t="shared" si="7"/>
        <v>1.2699347190516235</v>
      </c>
      <c r="BE75" s="321">
        <f t="shared" si="8"/>
        <v>1.1988959148850742</v>
      </c>
      <c r="BG75" s="22">
        <f t="shared" si="9"/>
        <v>-1.4432899320127035E-15</v>
      </c>
      <c r="BH75" s="22">
        <f t="shared" si="10"/>
        <v>-1.27675647831893E-15</v>
      </c>
      <c r="BI75" s="22">
        <f t="shared" si="11"/>
        <v>-1.27675647831893E-15</v>
      </c>
    </row>
    <row r="76" spans="2:61" x14ac:dyDescent="0.25">
      <c r="B76" s="312">
        <v>69</v>
      </c>
      <c r="C76" s="312" t="s">
        <v>597</v>
      </c>
      <c r="D76" s="312" t="s">
        <v>392</v>
      </c>
      <c r="E76" s="312">
        <v>5</v>
      </c>
      <c r="F76" s="312">
        <v>4</v>
      </c>
      <c r="G76" s="313" t="s">
        <v>73</v>
      </c>
      <c r="H76" s="313"/>
      <c r="I76" s="313">
        <v>2889.8</v>
      </c>
      <c r="J76" s="312">
        <v>2889.8</v>
      </c>
      <c r="K76" s="312">
        <v>0</v>
      </c>
      <c r="L76" s="312">
        <v>0</v>
      </c>
      <c r="M76" s="317"/>
      <c r="N76" s="319">
        <v>0.159</v>
      </c>
      <c r="O76" s="319">
        <v>8.8200000000000001E-2</v>
      </c>
      <c r="P76" s="319">
        <v>0.32469999999999999</v>
      </c>
      <c r="Q76" s="319">
        <v>7.5300000000000006E-2</v>
      </c>
      <c r="R76" s="319">
        <v>2.7699999999999999E-2</v>
      </c>
      <c r="S76" s="319">
        <v>0.47599999999999998</v>
      </c>
      <c r="T76" s="319">
        <v>0</v>
      </c>
      <c r="U76" s="319">
        <v>0.63149999999999995</v>
      </c>
      <c r="V76" s="319">
        <v>0</v>
      </c>
      <c r="W76" s="319">
        <v>0</v>
      </c>
      <c r="X76" s="319">
        <v>0.16420000000000001</v>
      </c>
      <c r="Y76" s="319">
        <v>0</v>
      </c>
      <c r="Z76" s="319">
        <v>1.4706999999999999</v>
      </c>
      <c r="AA76" s="319">
        <v>0.21079999999999999</v>
      </c>
      <c r="AB76" s="319">
        <v>0.31259999999999999</v>
      </c>
      <c r="AC76" s="319">
        <v>0.09</v>
      </c>
      <c r="AD76" s="319">
        <v>0.1104</v>
      </c>
      <c r="AE76" s="319">
        <v>5.3800000000000001E-2</v>
      </c>
      <c r="AF76" s="319">
        <v>0.1641</v>
      </c>
      <c r="AG76" s="319">
        <v>3.27E-2</v>
      </c>
      <c r="AH76" s="319">
        <v>0</v>
      </c>
      <c r="AI76" s="319">
        <v>2.9523000000000001</v>
      </c>
      <c r="AJ76" s="319">
        <v>1.1763999999999999</v>
      </c>
      <c r="AK76" s="319">
        <v>9.1800000000000007E-2</v>
      </c>
      <c r="AL76" s="319">
        <v>0.61409999999999998</v>
      </c>
      <c r="AM76" s="319">
        <v>4.82E-2</v>
      </c>
      <c r="AN76" s="319">
        <v>7.7999999999999996E-3</v>
      </c>
      <c r="AO76" s="319">
        <v>0.24</v>
      </c>
      <c r="AP76" s="319">
        <v>0</v>
      </c>
      <c r="AQ76" s="319">
        <v>0</v>
      </c>
      <c r="AR76" s="319">
        <v>0.47610000000000002</v>
      </c>
      <c r="AS76" s="319">
        <v>0.47610000000000002</v>
      </c>
      <c r="AT76" s="331">
        <v>0.22700000000000001</v>
      </c>
      <c r="AU76" s="336">
        <v>9.9984000000000002</v>
      </c>
      <c r="AV76" s="329">
        <v>9.9984000000000002</v>
      </c>
      <c r="AW76" s="337">
        <v>4.7664999999999988</v>
      </c>
      <c r="AX76" s="334"/>
      <c r="AY76" s="323">
        <v>7.8732000000000015</v>
      </c>
      <c r="AZ76" s="323">
        <v>7.8732000000000015</v>
      </c>
      <c r="BA76" s="323">
        <v>4.4175000000000004</v>
      </c>
      <c r="BB76" s="319"/>
      <c r="BC76" s="321">
        <f t="shared" si="6"/>
        <v>1.2699283645785702</v>
      </c>
      <c r="BD76" s="321">
        <f t="shared" si="7"/>
        <v>1.2699283645785702</v>
      </c>
      <c r="BE76" s="321">
        <f t="shared" si="8"/>
        <v>1.0790039615166946</v>
      </c>
      <c r="BG76" s="22">
        <f t="shared" si="9"/>
        <v>1.609823385706477E-15</v>
      </c>
      <c r="BH76" s="22">
        <f t="shared" si="10"/>
        <v>0</v>
      </c>
      <c r="BI76" s="22">
        <f t="shared" si="11"/>
        <v>-8.0491169285323849E-16</v>
      </c>
    </row>
    <row r="77" spans="2:61" x14ac:dyDescent="0.25">
      <c r="B77" s="312">
        <v>70</v>
      </c>
      <c r="C77" s="312" t="s">
        <v>599</v>
      </c>
      <c r="D77" s="312" t="s">
        <v>392</v>
      </c>
      <c r="E77" s="312">
        <v>5</v>
      </c>
      <c r="F77" s="312">
        <v>4</v>
      </c>
      <c r="G77" s="313" t="s">
        <v>74</v>
      </c>
      <c r="H77" s="313"/>
      <c r="I77" s="313">
        <v>2898.5</v>
      </c>
      <c r="J77" s="312">
        <v>2898.5</v>
      </c>
      <c r="K77" s="312">
        <v>0</v>
      </c>
      <c r="L77" s="312">
        <v>0</v>
      </c>
      <c r="M77" s="317"/>
      <c r="N77" s="319">
        <v>0.1585</v>
      </c>
      <c r="O77" s="319">
        <v>8.7900000000000006E-2</v>
      </c>
      <c r="P77" s="319">
        <v>0.32590000000000002</v>
      </c>
      <c r="Q77" s="319">
        <v>7.4099999999999999E-2</v>
      </c>
      <c r="R77" s="319">
        <v>2.9600000000000001E-2</v>
      </c>
      <c r="S77" s="319">
        <v>0.47460000000000002</v>
      </c>
      <c r="T77" s="319">
        <v>0</v>
      </c>
      <c r="U77" s="319">
        <v>0.63149999999999995</v>
      </c>
      <c r="V77" s="319">
        <v>0</v>
      </c>
      <c r="W77" s="319">
        <v>0</v>
      </c>
      <c r="X77" s="319">
        <v>0.16370000000000001</v>
      </c>
      <c r="Y77" s="319">
        <v>0</v>
      </c>
      <c r="Z77" s="319">
        <v>2.0192999999999999</v>
      </c>
      <c r="AA77" s="319">
        <v>0.21010000000000001</v>
      </c>
      <c r="AB77" s="319">
        <v>0.31169999999999998</v>
      </c>
      <c r="AC77" s="319">
        <v>8.8900000000000007E-2</v>
      </c>
      <c r="AD77" s="319">
        <v>0.1019</v>
      </c>
      <c r="AE77" s="319">
        <v>5.7599999999999998E-2</v>
      </c>
      <c r="AF77" s="319">
        <v>0.1636</v>
      </c>
      <c r="AG77" s="319">
        <v>3.2599999999999997E-2</v>
      </c>
      <c r="AH77" s="319">
        <v>0</v>
      </c>
      <c r="AI77" s="319">
        <v>2.2987000000000002</v>
      </c>
      <c r="AJ77" s="319">
        <v>1.0528</v>
      </c>
      <c r="AK77" s="319">
        <v>9.0899999999999995E-2</v>
      </c>
      <c r="AL77" s="319">
        <v>0.59019999999999995</v>
      </c>
      <c r="AM77" s="319">
        <v>5.5199999999999999E-2</v>
      </c>
      <c r="AN77" s="319">
        <v>8.9999999999999993E-3</v>
      </c>
      <c r="AO77" s="319">
        <v>0.1</v>
      </c>
      <c r="AP77" s="319">
        <v>0</v>
      </c>
      <c r="AQ77" s="319">
        <v>0</v>
      </c>
      <c r="AR77" s="319">
        <v>0.45639999999999997</v>
      </c>
      <c r="AS77" s="319">
        <v>0.45639999999999997</v>
      </c>
      <c r="AT77" s="331">
        <v>0.25430000000000003</v>
      </c>
      <c r="AU77" s="336">
        <v>9.584699999999998</v>
      </c>
      <c r="AV77" s="329">
        <v>9.584699999999998</v>
      </c>
      <c r="AW77" s="337">
        <v>5.3408999999999986</v>
      </c>
      <c r="AX77" s="334"/>
      <c r="AY77" s="323">
        <v>7.5473999999999979</v>
      </c>
      <c r="AZ77" s="323">
        <v>7.5473999999999979</v>
      </c>
      <c r="BA77" s="323">
        <v>4.6399999999999979</v>
      </c>
      <c r="BB77" s="319"/>
      <c r="BC77" s="321">
        <f t="shared" si="6"/>
        <v>1.2699340170124813</v>
      </c>
      <c r="BD77" s="321">
        <f t="shared" si="7"/>
        <v>1.2699340170124813</v>
      </c>
      <c r="BE77" s="321">
        <f t="shared" si="8"/>
        <v>1.1510560344827589</v>
      </c>
      <c r="BG77" s="22">
        <f t="shared" si="9"/>
        <v>-2.7200464103316335E-15</v>
      </c>
      <c r="BH77" s="22">
        <f t="shared" si="10"/>
        <v>2.2204460492503131E-16</v>
      </c>
      <c r="BI77" s="22">
        <f t="shared" si="11"/>
        <v>-1.5543122344752192E-15</v>
      </c>
    </row>
    <row r="78" spans="2:61" x14ac:dyDescent="0.25">
      <c r="B78" s="312">
        <v>71</v>
      </c>
      <c r="C78" s="312" t="s">
        <v>601</v>
      </c>
      <c r="D78" s="312" t="s">
        <v>392</v>
      </c>
      <c r="E78" s="312">
        <v>5</v>
      </c>
      <c r="F78" s="312">
        <v>4</v>
      </c>
      <c r="G78" s="313" t="s">
        <v>75</v>
      </c>
      <c r="H78" s="313"/>
      <c r="I78" s="313">
        <v>3055.3</v>
      </c>
      <c r="J78" s="312">
        <v>3055.3</v>
      </c>
      <c r="K78" s="312">
        <v>0</v>
      </c>
      <c r="L78" s="312">
        <v>0</v>
      </c>
      <c r="M78" s="317"/>
      <c r="N78" s="319">
        <v>0.1613</v>
      </c>
      <c r="O78" s="319">
        <v>8.4099999999999994E-2</v>
      </c>
      <c r="P78" s="319">
        <v>0.32590000000000002</v>
      </c>
      <c r="Q78" s="319">
        <v>7.4200000000000002E-2</v>
      </c>
      <c r="R78" s="319">
        <v>2.81E-2</v>
      </c>
      <c r="S78" s="319">
        <v>0.45019999999999999</v>
      </c>
      <c r="T78" s="319">
        <v>0</v>
      </c>
      <c r="U78" s="319">
        <v>0.63149999999999995</v>
      </c>
      <c r="V78" s="319">
        <v>0</v>
      </c>
      <c r="W78" s="319">
        <v>0</v>
      </c>
      <c r="X78" s="319">
        <v>0.15529999999999999</v>
      </c>
      <c r="Y78" s="319">
        <v>0</v>
      </c>
      <c r="Z78" s="319">
        <v>2.2795000000000001</v>
      </c>
      <c r="AA78" s="319">
        <v>0.21299999999999999</v>
      </c>
      <c r="AB78" s="319">
        <v>0.29809999999999998</v>
      </c>
      <c r="AC78" s="319">
        <v>9.0200000000000002E-2</v>
      </c>
      <c r="AD78" s="319">
        <v>0.10489999999999999</v>
      </c>
      <c r="AE78" s="319">
        <v>5.4699999999999999E-2</v>
      </c>
      <c r="AF78" s="319">
        <v>0.1552</v>
      </c>
      <c r="AG78" s="319">
        <v>3.1699999999999999E-2</v>
      </c>
      <c r="AH78" s="319">
        <v>0</v>
      </c>
      <c r="AI78" s="319">
        <v>1.7230000000000001</v>
      </c>
      <c r="AJ78" s="319">
        <v>1.0073000000000001</v>
      </c>
      <c r="AK78" s="319">
        <v>8.5300000000000001E-2</v>
      </c>
      <c r="AL78" s="319">
        <v>0.56169999999999998</v>
      </c>
      <c r="AM78" s="319">
        <v>5.2499999999999998E-2</v>
      </c>
      <c r="AN78" s="319">
        <v>8.5000000000000006E-3</v>
      </c>
      <c r="AO78" s="319">
        <v>7.4499999999999997E-2</v>
      </c>
      <c r="AP78" s="319">
        <v>0</v>
      </c>
      <c r="AQ78" s="319">
        <v>0</v>
      </c>
      <c r="AR78" s="319">
        <v>0.4325</v>
      </c>
      <c r="AS78" s="319">
        <v>0.4325</v>
      </c>
      <c r="AT78" s="331">
        <v>0.26419999999999999</v>
      </c>
      <c r="AU78" s="336">
        <v>9.0831999999999997</v>
      </c>
      <c r="AV78" s="329">
        <v>9.0831999999999997</v>
      </c>
      <c r="AW78" s="337">
        <v>5.5484</v>
      </c>
      <c r="AX78" s="334"/>
      <c r="AY78" s="323">
        <v>7.1525000000000007</v>
      </c>
      <c r="AZ78" s="323">
        <v>7.1525000000000007</v>
      </c>
      <c r="BA78" s="323">
        <v>4.7893000000000008</v>
      </c>
      <c r="BB78" s="319"/>
      <c r="BC78" s="321">
        <f t="shared" si="6"/>
        <v>1.269933589653967</v>
      </c>
      <c r="BD78" s="321">
        <f t="shared" si="7"/>
        <v>1.269933589653967</v>
      </c>
      <c r="BE78" s="321">
        <f t="shared" si="8"/>
        <v>1.1584991543649383</v>
      </c>
      <c r="BG78" s="22">
        <f t="shared" si="9"/>
        <v>-1.1102230246251565E-15</v>
      </c>
      <c r="BH78" s="22">
        <f t="shared" si="10"/>
        <v>0</v>
      </c>
      <c r="BI78" s="22">
        <f t="shared" si="11"/>
        <v>0</v>
      </c>
    </row>
    <row r="79" spans="2:61" x14ac:dyDescent="0.25">
      <c r="B79" s="312">
        <v>72</v>
      </c>
      <c r="C79" s="312" t="s">
        <v>603</v>
      </c>
      <c r="D79" s="312" t="s">
        <v>392</v>
      </c>
      <c r="E79" s="312">
        <v>5</v>
      </c>
      <c r="F79" s="312">
        <v>4</v>
      </c>
      <c r="G79" s="313" t="s">
        <v>76</v>
      </c>
      <c r="H79" s="313"/>
      <c r="I79" s="313">
        <v>2902.5</v>
      </c>
      <c r="J79" s="312">
        <v>2902.5</v>
      </c>
      <c r="K79" s="312">
        <v>0</v>
      </c>
      <c r="L79" s="312">
        <v>0</v>
      </c>
      <c r="M79" s="317"/>
      <c r="N79" s="319">
        <v>0.1623</v>
      </c>
      <c r="O79" s="319">
        <v>8.7800000000000003E-2</v>
      </c>
      <c r="P79" s="319">
        <v>0.3236</v>
      </c>
      <c r="Q79" s="319">
        <v>7.4999999999999997E-2</v>
      </c>
      <c r="R79" s="319">
        <v>2.75E-2</v>
      </c>
      <c r="S79" s="319">
        <v>0.47389999999999999</v>
      </c>
      <c r="T79" s="319">
        <v>0</v>
      </c>
      <c r="U79" s="319">
        <v>0.63149999999999995</v>
      </c>
      <c r="V79" s="319">
        <v>0</v>
      </c>
      <c r="W79" s="319">
        <v>0</v>
      </c>
      <c r="X79" s="319">
        <v>0.16350000000000001</v>
      </c>
      <c r="Y79" s="319">
        <v>0</v>
      </c>
      <c r="Z79" s="319">
        <v>1.7972999999999999</v>
      </c>
      <c r="AA79" s="319">
        <v>0.2099</v>
      </c>
      <c r="AB79" s="319">
        <v>0.31119999999999998</v>
      </c>
      <c r="AC79" s="319">
        <v>8.9700000000000002E-2</v>
      </c>
      <c r="AD79" s="319">
        <v>0.1099</v>
      </c>
      <c r="AE79" s="319">
        <v>5.3499999999999999E-2</v>
      </c>
      <c r="AF79" s="319">
        <v>0.16339999999999999</v>
      </c>
      <c r="AG79" s="319">
        <v>3.2599999999999997E-2</v>
      </c>
      <c r="AH79" s="319">
        <v>0</v>
      </c>
      <c r="AI79" s="319">
        <v>2.1261999999999999</v>
      </c>
      <c r="AJ79" s="319">
        <v>1.0604</v>
      </c>
      <c r="AK79" s="319">
        <v>8.8700000000000001E-2</v>
      </c>
      <c r="AL79" s="319">
        <v>0.59040000000000004</v>
      </c>
      <c r="AM79" s="319">
        <v>5.5300000000000002E-2</v>
      </c>
      <c r="AN79" s="319">
        <v>8.9999999999999993E-3</v>
      </c>
      <c r="AO79" s="319">
        <v>0.189</v>
      </c>
      <c r="AP79" s="319">
        <v>0</v>
      </c>
      <c r="AQ79" s="319">
        <v>0</v>
      </c>
      <c r="AR79" s="319">
        <v>0.44159999999999999</v>
      </c>
      <c r="AS79" s="319">
        <v>0.44159999999999999</v>
      </c>
      <c r="AT79" s="331">
        <v>0.24329999999999999</v>
      </c>
      <c r="AU79" s="336">
        <v>9.273200000000001</v>
      </c>
      <c r="AV79" s="329">
        <v>9.273200000000001</v>
      </c>
      <c r="AW79" s="337">
        <v>5.1089000000000011</v>
      </c>
      <c r="AX79" s="334"/>
      <c r="AY79" s="323">
        <v>7.3021000000000003</v>
      </c>
      <c r="AZ79" s="323">
        <v>7.3021000000000003</v>
      </c>
      <c r="BA79" s="323">
        <v>4.5776000000000003</v>
      </c>
      <c r="BB79" s="319"/>
      <c r="BC79" s="321">
        <f t="shared" si="6"/>
        <v>1.2699360457950453</v>
      </c>
      <c r="BD79" s="321">
        <f t="shared" si="7"/>
        <v>1.2699360457950453</v>
      </c>
      <c r="BE79" s="321">
        <f t="shared" si="8"/>
        <v>1.1160651869975535</v>
      </c>
      <c r="BG79" s="22">
        <f t="shared" si="9"/>
        <v>9.4368957093138306E-16</v>
      </c>
      <c r="BH79" s="22">
        <f t="shared" si="10"/>
        <v>1.5543122344752192E-15</v>
      </c>
      <c r="BI79" s="22">
        <f t="shared" si="11"/>
        <v>1.5543122344752192E-15</v>
      </c>
    </row>
    <row r="80" spans="2:61" x14ac:dyDescent="0.25">
      <c r="B80" s="312">
        <v>73</v>
      </c>
      <c r="C80" s="312" t="s">
        <v>605</v>
      </c>
      <c r="D80" s="312" t="s">
        <v>392</v>
      </c>
      <c r="E80" s="312">
        <v>9</v>
      </c>
      <c r="F80" s="312">
        <v>4</v>
      </c>
      <c r="G80" s="313" t="s">
        <v>210</v>
      </c>
      <c r="H80" s="313"/>
      <c r="I80" s="313">
        <v>10151.5</v>
      </c>
      <c r="J80" s="312">
        <v>1160.8000000000011</v>
      </c>
      <c r="K80" s="312">
        <v>8937.9</v>
      </c>
      <c r="L80" s="312">
        <v>52.8</v>
      </c>
      <c r="M80" s="317"/>
      <c r="N80" s="319">
        <v>0.1222</v>
      </c>
      <c r="O80" s="319">
        <v>5.5599999999999997E-2</v>
      </c>
      <c r="P80" s="319">
        <v>0.29899999999999999</v>
      </c>
      <c r="Q80" s="319">
        <v>6.7000000000000004E-2</v>
      </c>
      <c r="R80" s="319">
        <v>5.1200000000000002E-2</v>
      </c>
      <c r="S80" s="319">
        <v>0.35820000000000002</v>
      </c>
      <c r="T80" s="319">
        <v>0</v>
      </c>
      <c r="U80" s="319">
        <v>0.63149999999999995</v>
      </c>
      <c r="V80" s="319">
        <v>1.4121999999999999</v>
      </c>
      <c r="W80" s="319">
        <v>2.01E-2</v>
      </c>
      <c r="X80" s="319">
        <v>0.1293</v>
      </c>
      <c r="Y80" s="319">
        <v>0</v>
      </c>
      <c r="Z80" s="319">
        <v>3.1017000000000001</v>
      </c>
      <c r="AA80" s="319">
        <v>0.16869999999999999</v>
      </c>
      <c r="AB80" s="319">
        <v>0.20019999999999999</v>
      </c>
      <c r="AC80" s="319">
        <v>0.1123</v>
      </c>
      <c r="AD80" s="319">
        <v>7.9100000000000004E-2</v>
      </c>
      <c r="AE80" s="319">
        <v>9.9500000000000005E-2</v>
      </c>
      <c r="AF80" s="319">
        <v>0.16200000000000001</v>
      </c>
      <c r="AG80" s="319">
        <v>2.8799999999999999E-2</v>
      </c>
      <c r="AH80" s="319">
        <v>0</v>
      </c>
      <c r="AI80" s="319">
        <v>0.97260000000000002</v>
      </c>
      <c r="AJ80" s="319">
        <v>1.2715000000000001</v>
      </c>
      <c r="AK80" s="319">
        <v>6.9000000000000006E-2</v>
      </c>
      <c r="AL80" s="319">
        <v>0.3659</v>
      </c>
      <c r="AM80" s="319">
        <v>3.6799999999999999E-2</v>
      </c>
      <c r="AN80" s="319">
        <v>6.0000000000000001E-3</v>
      </c>
      <c r="AO80" s="319">
        <v>0.40179999999999999</v>
      </c>
      <c r="AP80" s="319">
        <v>0.5907</v>
      </c>
      <c r="AQ80" s="319">
        <v>0</v>
      </c>
      <c r="AR80" s="319">
        <v>0.4395</v>
      </c>
      <c r="AS80" s="319">
        <v>0.54059999999999997</v>
      </c>
      <c r="AT80" s="331">
        <v>0.28889999999999999</v>
      </c>
      <c r="AU80" s="336">
        <v>9.2294000000000018</v>
      </c>
      <c r="AV80" s="329">
        <v>11.3535</v>
      </c>
      <c r="AW80" s="337">
        <v>6.0670000000000019</v>
      </c>
      <c r="AX80" s="334"/>
      <c r="AY80" s="323">
        <v>7.2678000000000003</v>
      </c>
      <c r="AZ80" s="323">
        <v>9.6828000000000003</v>
      </c>
      <c r="BA80" s="323">
        <v>4.922200000000001</v>
      </c>
      <c r="BB80" s="319"/>
      <c r="BC80" s="321">
        <f t="shared" si="6"/>
        <v>1.2699028591870996</v>
      </c>
      <c r="BD80" s="321">
        <f t="shared" si="7"/>
        <v>1.1725430660552734</v>
      </c>
      <c r="BE80" s="321">
        <f t="shared" si="8"/>
        <v>1.2325789281215718</v>
      </c>
      <c r="BG80" s="22">
        <f t="shared" si="9"/>
        <v>3.4972025275692431E-15</v>
      </c>
      <c r="BH80" s="22">
        <f t="shared" si="10"/>
        <v>1.8041124150158794E-16</v>
      </c>
      <c r="BI80" s="22">
        <f t="shared" si="11"/>
        <v>4.0245584642661925E-16</v>
      </c>
    </row>
    <row r="81" spans="2:61" x14ac:dyDescent="0.25">
      <c r="B81" s="312">
        <v>74</v>
      </c>
      <c r="C81" s="312" t="s">
        <v>607</v>
      </c>
      <c r="D81" s="312" t="s">
        <v>392</v>
      </c>
      <c r="E81" s="312">
        <v>5</v>
      </c>
      <c r="F81" s="312">
        <v>4</v>
      </c>
      <c r="G81" s="313" t="s">
        <v>77</v>
      </c>
      <c r="H81" s="313"/>
      <c r="I81" s="313">
        <v>2765.2</v>
      </c>
      <c r="J81" s="312">
        <v>2765.2</v>
      </c>
      <c r="K81" s="312">
        <v>0</v>
      </c>
      <c r="L81" s="312">
        <v>0</v>
      </c>
      <c r="M81" s="317"/>
      <c r="N81" s="319">
        <v>0.16619999999999999</v>
      </c>
      <c r="O81" s="319">
        <v>9.2100000000000001E-2</v>
      </c>
      <c r="P81" s="319">
        <v>0.32650000000000001</v>
      </c>
      <c r="Q81" s="319">
        <v>7.4200000000000002E-2</v>
      </c>
      <c r="R81" s="319">
        <v>3.1099999999999999E-2</v>
      </c>
      <c r="S81" s="319">
        <v>0.49740000000000001</v>
      </c>
      <c r="T81" s="319">
        <v>0</v>
      </c>
      <c r="U81" s="319">
        <v>0.63149999999999995</v>
      </c>
      <c r="V81" s="319">
        <v>0</v>
      </c>
      <c r="W81" s="319">
        <v>0</v>
      </c>
      <c r="X81" s="319">
        <v>0.16869999999999999</v>
      </c>
      <c r="Y81" s="319">
        <v>0</v>
      </c>
      <c r="Z81" s="319">
        <v>2.3511000000000002</v>
      </c>
      <c r="AA81" s="319">
        <v>0.2203</v>
      </c>
      <c r="AB81" s="319">
        <v>0.32669999999999999</v>
      </c>
      <c r="AC81" s="319">
        <v>8.8400000000000006E-2</v>
      </c>
      <c r="AD81" s="319">
        <v>0.1045</v>
      </c>
      <c r="AE81" s="319">
        <v>6.0400000000000002E-2</v>
      </c>
      <c r="AF81" s="319">
        <v>0.17150000000000001</v>
      </c>
      <c r="AG81" s="319">
        <v>3.3500000000000002E-2</v>
      </c>
      <c r="AH81" s="319">
        <v>0</v>
      </c>
      <c r="AI81" s="319">
        <v>1.5254000000000001</v>
      </c>
      <c r="AJ81" s="319">
        <v>1.1980999999999999</v>
      </c>
      <c r="AK81" s="319">
        <v>9.1999999999999998E-2</v>
      </c>
      <c r="AL81" s="319">
        <v>0.48039999999999999</v>
      </c>
      <c r="AM81" s="319">
        <v>5.8099999999999999E-2</v>
      </c>
      <c r="AN81" s="319">
        <v>9.4000000000000004E-3</v>
      </c>
      <c r="AO81" s="319">
        <v>0.19650000000000001</v>
      </c>
      <c r="AP81" s="319">
        <v>0</v>
      </c>
      <c r="AQ81" s="319">
        <v>0</v>
      </c>
      <c r="AR81" s="319">
        <v>0.44519999999999998</v>
      </c>
      <c r="AS81" s="319">
        <v>0.44519999999999998</v>
      </c>
      <c r="AT81" s="331">
        <v>0.2752</v>
      </c>
      <c r="AU81" s="336">
        <v>9.349199999999998</v>
      </c>
      <c r="AV81" s="329">
        <v>9.349199999999998</v>
      </c>
      <c r="AW81" s="337">
        <v>5.7787999999999977</v>
      </c>
      <c r="AX81" s="334"/>
      <c r="AY81" s="323">
        <v>7.3620000000000001</v>
      </c>
      <c r="AZ81" s="323">
        <v>7.3620000000000001</v>
      </c>
      <c r="BA81" s="323">
        <v>4.9143000000000008</v>
      </c>
      <c r="BB81" s="319"/>
      <c r="BC81" s="321">
        <f t="shared" si="6"/>
        <v>1.2699266503667479</v>
      </c>
      <c r="BD81" s="321">
        <f t="shared" si="7"/>
        <v>1.2699266503667479</v>
      </c>
      <c r="BE81" s="321">
        <f t="shared" si="8"/>
        <v>1.1759151862930624</v>
      </c>
      <c r="BG81" s="22">
        <f t="shared" si="9"/>
        <v>-2.3869795029440866E-15</v>
      </c>
      <c r="BH81" s="22">
        <f t="shared" si="10"/>
        <v>-1.2490009027033011E-15</v>
      </c>
      <c r="BI81" s="22">
        <f t="shared" si="11"/>
        <v>-1.2490009027033011E-15</v>
      </c>
    </row>
    <row r="82" spans="2:61" x14ac:dyDescent="0.25">
      <c r="B82" s="312">
        <v>75</v>
      </c>
      <c r="C82" s="312" t="s">
        <v>609</v>
      </c>
      <c r="D82" s="312" t="s">
        <v>392</v>
      </c>
      <c r="E82" s="312">
        <v>5</v>
      </c>
      <c r="F82" s="312">
        <v>4</v>
      </c>
      <c r="G82" s="313" t="s">
        <v>78</v>
      </c>
      <c r="H82" s="313"/>
      <c r="I82" s="313">
        <v>2754.9</v>
      </c>
      <c r="J82" s="312">
        <v>2754.9</v>
      </c>
      <c r="K82" s="312">
        <v>0</v>
      </c>
      <c r="L82" s="312">
        <v>0</v>
      </c>
      <c r="M82" s="317"/>
      <c r="N82" s="319">
        <v>0.1668</v>
      </c>
      <c r="O82" s="319">
        <v>9.2499999999999999E-2</v>
      </c>
      <c r="P82" s="319">
        <v>0.32519999999999999</v>
      </c>
      <c r="Q82" s="319">
        <v>7.4399999999999994E-2</v>
      </c>
      <c r="R82" s="319">
        <v>3.1199999999999999E-2</v>
      </c>
      <c r="S82" s="319">
        <v>0.49930000000000002</v>
      </c>
      <c r="T82" s="319">
        <v>0</v>
      </c>
      <c r="U82" s="319">
        <v>0.63149999999999995</v>
      </c>
      <c r="V82" s="319">
        <v>0</v>
      </c>
      <c r="W82" s="319">
        <v>0</v>
      </c>
      <c r="X82" s="319">
        <v>0.17219999999999999</v>
      </c>
      <c r="Y82" s="319">
        <v>0</v>
      </c>
      <c r="Z82" s="319">
        <v>2.6183999999999998</v>
      </c>
      <c r="AA82" s="319">
        <v>0.22109999999999999</v>
      </c>
      <c r="AB82" s="319">
        <v>0.32790000000000002</v>
      </c>
      <c r="AC82" s="319">
        <v>8.7999999999999995E-2</v>
      </c>
      <c r="AD82" s="319">
        <v>0.10489999999999999</v>
      </c>
      <c r="AE82" s="319">
        <v>6.0600000000000001E-2</v>
      </c>
      <c r="AF82" s="319">
        <v>0.1721</v>
      </c>
      <c r="AG82" s="319">
        <v>3.3599999999999998E-2</v>
      </c>
      <c r="AH82" s="319">
        <v>0</v>
      </c>
      <c r="AI82" s="319">
        <v>1.2685999999999999</v>
      </c>
      <c r="AJ82" s="319">
        <v>1.2108000000000001</v>
      </c>
      <c r="AK82" s="319">
        <v>9.2299999999999993E-2</v>
      </c>
      <c r="AL82" s="319">
        <v>0.4839</v>
      </c>
      <c r="AM82" s="319">
        <v>5.8299999999999998E-2</v>
      </c>
      <c r="AN82" s="319">
        <v>9.4999999999999998E-3</v>
      </c>
      <c r="AO82" s="319">
        <v>0.26679999999999998</v>
      </c>
      <c r="AP82" s="319">
        <v>0</v>
      </c>
      <c r="AQ82" s="319">
        <v>0</v>
      </c>
      <c r="AR82" s="319">
        <v>0.45050000000000001</v>
      </c>
      <c r="AS82" s="319">
        <v>0.45050000000000001</v>
      </c>
      <c r="AT82" s="331">
        <v>0.28899999999999998</v>
      </c>
      <c r="AU82" s="336">
        <v>9.4603999999999981</v>
      </c>
      <c r="AV82" s="329">
        <v>9.4603999999999981</v>
      </c>
      <c r="AW82" s="337">
        <v>6.0687999999999978</v>
      </c>
      <c r="AX82" s="334"/>
      <c r="AY82" s="323">
        <v>7.5801999999999987</v>
      </c>
      <c r="AZ82" s="323">
        <v>7.5801999999999987</v>
      </c>
      <c r="BA82" s="323">
        <v>4.8829999999999991</v>
      </c>
      <c r="BB82" s="319"/>
      <c r="BC82" s="321">
        <f t="shared" si="6"/>
        <v>1.2480409487876309</v>
      </c>
      <c r="BD82" s="321">
        <f t="shared" si="7"/>
        <v>1.2480409487876309</v>
      </c>
      <c r="BE82" s="321">
        <f t="shared" si="8"/>
        <v>1.2428425148474296</v>
      </c>
      <c r="BG82" s="22">
        <f t="shared" si="9"/>
        <v>-2.0539125955565396E-15</v>
      </c>
      <c r="BH82" s="22">
        <f t="shared" si="10"/>
        <v>5.8286708792820718E-16</v>
      </c>
      <c r="BI82" s="22">
        <f t="shared" si="11"/>
        <v>-1.1934897514720433E-15</v>
      </c>
    </row>
    <row r="83" spans="2:61" x14ac:dyDescent="0.25">
      <c r="B83" s="312">
        <v>76</v>
      </c>
      <c r="C83" s="312" t="s">
        <v>611</v>
      </c>
      <c r="D83" s="312" t="s">
        <v>392</v>
      </c>
      <c r="E83" s="312">
        <v>5</v>
      </c>
      <c r="F83" s="312">
        <v>4</v>
      </c>
      <c r="G83" s="313" t="s">
        <v>79</v>
      </c>
      <c r="H83" s="313"/>
      <c r="I83" s="313">
        <v>2749.2</v>
      </c>
      <c r="J83" s="312">
        <v>2749.2</v>
      </c>
      <c r="K83" s="312">
        <v>0</v>
      </c>
      <c r="L83" s="312">
        <v>0</v>
      </c>
      <c r="M83" s="317"/>
      <c r="N83" s="319">
        <v>0.16719999999999999</v>
      </c>
      <c r="O83" s="319">
        <v>9.2700000000000005E-2</v>
      </c>
      <c r="P83" s="319">
        <v>0.3251</v>
      </c>
      <c r="Q83" s="319">
        <v>7.4200000000000002E-2</v>
      </c>
      <c r="R83" s="319">
        <v>3.1300000000000001E-2</v>
      </c>
      <c r="S83" s="319">
        <v>0.50029999999999997</v>
      </c>
      <c r="T83" s="319">
        <v>0</v>
      </c>
      <c r="U83" s="319">
        <v>0.63149999999999995</v>
      </c>
      <c r="V83" s="319">
        <v>0</v>
      </c>
      <c r="W83" s="319">
        <v>0</v>
      </c>
      <c r="X83" s="319">
        <v>0.1726</v>
      </c>
      <c r="Y83" s="319">
        <v>0</v>
      </c>
      <c r="Z83" s="319">
        <v>2.5472000000000001</v>
      </c>
      <c r="AA83" s="319">
        <v>0.22159999999999999</v>
      </c>
      <c r="AB83" s="319">
        <v>0.3286</v>
      </c>
      <c r="AC83" s="319">
        <v>8.7999999999999995E-2</v>
      </c>
      <c r="AD83" s="319">
        <v>0.1051</v>
      </c>
      <c r="AE83" s="319">
        <v>6.08E-2</v>
      </c>
      <c r="AF83" s="319">
        <v>0.17249999999999999</v>
      </c>
      <c r="AG83" s="319">
        <v>3.3599999999999998E-2</v>
      </c>
      <c r="AH83" s="319">
        <v>0</v>
      </c>
      <c r="AI83" s="319">
        <v>1.4433</v>
      </c>
      <c r="AJ83" s="319">
        <v>1.1499999999999999</v>
      </c>
      <c r="AK83" s="319">
        <v>8.72E-2</v>
      </c>
      <c r="AL83" s="319">
        <v>0.51839999999999997</v>
      </c>
      <c r="AM83" s="319">
        <v>5.8400000000000001E-2</v>
      </c>
      <c r="AN83" s="319">
        <v>9.4999999999999998E-3</v>
      </c>
      <c r="AO83" s="319">
        <v>0.1205</v>
      </c>
      <c r="AP83" s="319">
        <v>0</v>
      </c>
      <c r="AQ83" s="319">
        <v>0</v>
      </c>
      <c r="AR83" s="319">
        <v>0.44700000000000001</v>
      </c>
      <c r="AS83" s="319">
        <v>0.44700000000000001</v>
      </c>
      <c r="AT83" s="331">
        <v>0.28539999999999999</v>
      </c>
      <c r="AU83" s="336">
        <v>9.3865999999999978</v>
      </c>
      <c r="AV83" s="329">
        <v>9.3865999999999978</v>
      </c>
      <c r="AW83" s="337">
        <v>5.992799999999999</v>
      </c>
      <c r="AX83" s="334"/>
      <c r="AY83" s="323">
        <v>7.3914000000000017</v>
      </c>
      <c r="AZ83" s="323">
        <v>7.3914000000000017</v>
      </c>
      <c r="BA83" s="323">
        <v>4.8618000000000006</v>
      </c>
      <c r="BB83" s="319"/>
      <c r="BC83" s="321">
        <f t="shared" si="6"/>
        <v>1.2699353302486667</v>
      </c>
      <c r="BD83" s="321">
        <f t="shared" si="7"/>
        <v>1.2699353302486667</v>
      </c>
      <c r="BE83" s="321">
        <f t="shared" si="8"/>
        <v>1.2326298901641364</v>
      </c>
      <c r="BG83" s="22">
        <f t="shared" si="9"/>
        <v>-1.5543122344752192E-15</v>
      </c>
      <c r="BH83" s="22">
        <f t="shared" si="10"/>
        <v>-5.8286708792820718E-16</v>
      </c>
      <c r="BI83" s="22">
        <f t="shared" si="11"/>
        <v>-1.4710455076283324E-15</v>
      </c>
    </row>
    <row r="84" spans="2:61" x14ac:dyDescent="0.25">
      <c r="B84" s="312">
        <v>77</v>
      </c>
      <c r="C84" s="312" t="s">
        <v>613</v>
      </c>
      <c r="D84" s="312" t="s">
        <v>392</v>
      </c>
      <c r="E84" s="312">
        <v>8</v>
      </c>
      <c r="F84" s="312">
        <v>2</v>
      </c>
      <c r="G84" s="313" t="s">
        <v>168</v>
      </c>
      <c r="H84" s="313"/>
      <c r="I84" s="313">
        <v>5254.1</v>
      </c>
      <c r="J84" s="312">
        <v>658.80000000000018</v>
      </c>
      <c r="K84" s="312">
        <v>4595.3</v>
      </c>
      <c r="L84" s="312">
        <v>0</v>
      </c>
      <c r="M84" s="317"/>
      <c r="N84" s="319">
        <v>0.1132</v>
      </c>
      <c r="O84" s="319">
        <v>6.9000000000000006E-2</v>
      </c>
      <c r="P84" s="319">
        <v>0.32740000000000002</v>
      </c>
      <c r="Q84" s="319">
        <v>6.4199999999999993E-2</v>
      </c>
      <c r="R84" s="319">
        <v>4.9399999999999999E-2</v>
      </c>
      <c r="S84" s="319">
        <v>0.29239999999999999</v>
      </c>
      <c r="T84" s="319">
        <v>0</v>
      </c>
      <c r="U84" s="319">
        <v>0.63149999999999995</v>
      </c>
      <c r="V84" s="319">
        <v>1.4654</v>
      </c>
      <c r="W84" s="319">
        <v>0</v>
      </c>
      <c r="X84" s="319">
        <v>0.13239999999999999</v>
      </c>
      <c r="Y84" s="319">
        <v>0</v>
      </c>
      <c r="Z84" s="319">
        <v>2.2656000000000001</v>
      </c>
      <c r="AA84" s="319">
        <v>0.15079999999999999</v>
      </c>
      <c r="AB84" s="319">
        <v>0.24759999999999999</v>
      </c>
      <c r="AC84" s="319">
        <v>8.48E-2</v>
      </c>
      <c r="AD84" s="319">
        <v>7.1400000000000005E-2</v>
      </c>
      <c r="AE84" s="319">
        <v>9.6100000000000005E-2</v>
      </c>
      <c r="AF84" s="319">
        <v>0.1038</v>
      </c>
      <c r="AG84" s="319">
        <v>2.5499999999999998E-2</v>
      </c>
      <c r="AH84" s="319">
        <v>0</v>
      </c>
      <c r="AI84" s="319">
        <v>2.5598000000000001</v>
      </c>
      <c r="AJ84" s="319">
        <v>1.4036999999999999</v>
      </c>
      <c r="AK84" s="319">
        <v>8.0500000000000002E-2</v>
      </c>
      <c r="AL84" s="319">
        <v>0.53210000000000002</v>
      </c>
      <c r="AM84" s="319">
        <v>3.73E-2</v>
      </c>
      <c r="AN84" s="319">
        <v>6.1000000000000004E-3</v>
      </c>
      <c r="AO84" s="319">
        <v>0.3448</v>
      </c>
      <c r="AP84" s="319">
        <v>0.49109999999999998</v>
      </c>
      <c r="AQ84" s="319">
        <v>0</v>
      </c>
      <c r="AR84" s="319">
        <v>0.48449999999999999</v>
      </c>
      <c r="AS84" s="319">
        <v>0.58230000000000004</v>
      </c>
      <c r="AT84" s="331">
        <v>0.24249999999999999</v>
      </c>
      <c r="AU84" s="336">
        <v>10.173900000000001</v>
      </c>
      <c r="AV84" s="329">
        <v>12.228200000000001</v>
      </c>
      <c r="AW84" s="337">
        <v>5.0915000000000017</v>
      </c>
      <c r="AX84" s="334"/>
      <c r="AY84" s="323">
        <v>8.0114000000000019</v>
      </c>
      <c r="AZ84" s="323">
        <v>10.437500000000002</v>
      </c>
      <c r="BA84" s="323">
        <v>4.4526000000000012</v>
      </c>
      <c r="BB84" s="319"/>
      <c r="BC84" s="321">
        <f t="shared" si="6"/>
        <v>1.269927852809746</v>
      </c>
      <c r="BD84" s="321">
        <f t="shared" si="7"/>
        <v>1.1715640718562874</v>
      </c>
      <c r="BE84" s="321">
        <f t="shared" si="8"/>
        <v>1.1434891973229124</v>
      </c>
      <c r="BG84" s="22">
        <f t="shared" si="9"/>
        <v>-1.4988010832439613E-15</v>
      </c>
      <c r="BH84" s="22">
        <f t="shared" si="10"/>
        <v>5.8286708792820718E-16</v>
      </c>
      <c r="BI84" s="22">
        <f t="shared" si="11"/>
        <v>2.1371793224034263E-15</v>
      </c>
    </row>
    <row r="85" spans="2:61" x14ac:dyDescent="0.25">
      <c r="B85" s="312">
        <v>78</v>
      </c>
      <c r="C85" s="312" t="s">
        <v>615</v>
      </c>
      <c r="D85" s="312" t="s">
        <v>392</v>
      </c>
      <c r="E85" s="312">
        <v>5</v>
      </c>
      <c r="F85" s="312">
        <v>8</v>
      </c>
      <c r="G85" s="313" t="s">
        <v>80</v>
      </c>
      <c r="H85" s="313"/>
      <c r="I85" s="313">
        <v>5829.3</v>
      </c>
      <c r="J85" s="312">
        <v>5829.3</v>
      </c>
      <c r="K85" s="312">
        <v>0</v>
      </c>
      <c r="L85" s="312">
        <v>0</v>
      </c>
      <c r="M85" s="317"/>
      <c r="N85" s="319">
        <v>0.15390000000000001</v>
      </c>
      <c r="O85" s="319">
        <v>9.3399999999999997E-2</v>
      </c>
      <c r="P85" s="319">
        <v>0.33289999999999997</v>
      </c>
      <c r="Q85" s="319">
        <v>7.5200000000000003E-2</v>
      </c>
      <c r="R85" s="319">
        <v>2.9499999999999998E-2</v>
      </c>
      <c r="S85" s="319">
        <v>0.71189999999999998</v>
      </c>
      <c r="T85" s="319">
        <v>0</v>
      </c>
      <c r="U85" s="319">
        <v>0.63149999999999995</v>
      </c>
      <c r="V85" s="319">
        <v>0</v>
      </c>
      <c r="W85" s="319">
        <v>0</v>
      </c>
      <c r="X85" s="319">
        <v>0.16139999999999999</v>
      </c>
      <c r="Y85" s="319">
        <v>0</v>
      </c>
      <c r="Z85" s="319">
        <v>2.5478000000000001</v>
      </c>
      <c r="AA85" s="319">
        <v>0.20280000000000001</v>
      </c>
      <c r="AB85" s="319">
        <v>0.3054</v>
      </c>
      <c r="AC85" s="319">
        <v>9.1600000000000001E-2</v>
      </c>
      <c r="AD85" s="319">
        <v>0.1013</v>
      </c>
      <c r="AE85" s="319">
        <v>5.7299999999999997E-2</v>
      </c>
      <c r="AF85" s="319">
        <v>0.26960000000000001</v>
      </c>
      <c r="AG85" s="319">
        <v>3.27E-2</v>
      </c>
      <c r="AH85" s="319">
        <v>0</v>
      </c>
      <c r="AI85" s="319">
        <v>1.3267</v>
      </c>
      <c r="AJ85" s="319">
        <v>1.1045</v>
      </c>
      <c r="AK85" s="319">
        <v>8.8599999999999998E-2</v>
      </c>
      <c r="AL85" s="319">
        <v>0.48930000000000001</v>
      </c>
      <c r="AM85" s="319">
        <v>5.79E-2</v>
      </c>
      <c r="AN85" s="319">
        <v>9.4000000000000004E-3</v>
      </c>
      <c r="AO85" s="319">
        <v>0.23089999999999999</v>
      </c>
      <c r="AP85" s="319">
        <v>0</v>
      </c>
      <c r="AQ85" s="319">
        <v>0</v>
      </c>
      <c r="AR85" s="319">
        <v>0.45529999999999998</v>
      </c>
      <c r="AS85" s="319">
        <v>0.45529999999999998</v>
      </c>
      <c r="AT85" s="331">
        <v>0.29770000000000002</v>
      </c>
      <c r="AU85" s="336">
        <v>9.5607999999999969</v>
      </c>
      <c r="AV85" s="329">
        <v>9.5607999999999969</v>
      </c>
      <c r="AW85" s="337">
        <v>6.2517999999999976</v>
      </c>
      <c r="AX85" s="334"/>
      <c r="AY85" s="323">
        <v>7.5285000000000002</v>
      </c>
      <c r="AZ85" s="323">
        <v>7.5285000000000002</v>
      </c>
      <c r="BA85" s="323">
        <v>5.0643000000000002</v>
      </c>
      <c r="BB85" s="319"/>
      <c r="BC85" s="321">
        <f t="shared" si="6"/>
        <v>1.2699475327090386</v>
      </c>
      <c r="BD85" s="321">
        <f t="shared" si="7"/>
        <v>1.2699475327090386</v>
      </c>
      <c r="BE85" s="321">
        <f t="shared" si="8"/>
        <v>1.2344845289576047</v>
      </c>
      <c r="BG85" s="22">
        <f t="shared" si="9"/>
        <v>-5.1625370645069779E-15</v>
      </c>
      <c r="BH85" s="22">
        <f t="shared" si="10"/>
        <v>0</v>
      </c>
      <c r="BI85" s="22">
        <f t="shared" si="11"/>
        <v>-1.0269562977782698E-15</v>
      </c>
    </row>
    <row r="86" spans="2:61" x14ac:dyDescent="0.25">
      <c r="B86" s="312">
        <v>79</v>
      </c>
      <c r="C86" s="312" t="s">
        <v>617</v>
      </c>
      <c r="D86" s="312" t="s">
        <v>392</v>
      </c>
      <c r="E86" s="312">
        <v>8</v>
      </c>
      <c r="F86" s="312">
        <v>3</v>
      </c>
      <c r="G86" s="313" t="s">
        <v>170</v>
      </c>
      <c r="H86" s="313"/>
      <c r="I86" s="313">
        <v>5495.6</v>
      </c>
      <c r="J86" s="312">
        <v>660.30000000000018</v>
      </c>
      <c r="K86" s="312">
        <v>4835.3</v>
      </c>
      <c r="L86" s="312">
        <v>0</v>
      </c>
      <c r="M86" s="317"/>
      <c r="N86" s="319">
        <v>0.12809999999999999</v>
      </c>
      <c r="O86" s="319">
        <v>5.4199999999999998E-2</v>
      </c>
      <c r="P86" s="319">
        <v>0.29470000000000002</v>
      </c>
      <c r="Q86" s="319">
        <v>6.6299999999999998E-2</v>
      </c>
      <c r="R86" s="319">
        <v>4.7300000000000002E-2</v>
      </c>
      <c r="S86" s="319">
        <v>0.39279999999999998</v>
      </c>
      <c r="T86" s="319">
        <v>0</v>
      </c>
      <c r="U86" s="319">
        <v>0.63149999999999995</v>
      </c>
      <c r="V86" s="319">
        <v>2.0889000000000002</v>
      </c>
      <c r="W86" s="319">
        <v>0</v>
      </c>
      <c r="X86" s="319">
        <v>0.1439</v>
      </c>
      <c r="Y86" s="319">
        <v>0</v>
      </c>
      <c r="Z86" s="319">
        <v>2.5165000000000002</v>
      </c>
      <c r="AA86" s="319">
        <v>0.16689999999999999</v>
      </c>
      <c r="AB86" s="319">
        <v>0.19650000000000001</v>
      </c>
      <c r="AC86" s="319">
        <v>0.1201</v>
      </c>
      <c r="AD86" s="319">
        <v>8.6699999999999999E-2</v>
      </c>
      <c r="AE86" s="319">
        <v>9.1899999999999996E-2</v>
      </c>
      <c r="AF86" s="319">
        <v>0.12429999999999999</v>
      </c>
      <c r="AG86" s="319">
        <v>4.1599999999999998E-2</v>
      </c>
      <c r="AH86" s="319">
        <v>0</v>
      </c>
      <c r="AI86" s="319">
        <v>1.4371</v>
      </c>
      <c r="AJ86" s="319">
        <v>1.9189000000000001</v>
      </c>
      <c r="AK86" s="319">
        <v>9.1300000000000006E-2</v>
      </c>
      <c r="AL86" s="319">
        <v>0.50649999999999995</v>
      </c>
      <c r="AM86" s="319">
        <v>4.1099999999999998E-2</v>
      </c>
      <c r="AN86" s="319">
        <v>6.7000000000000002E-3</v>
      </c>
      <c r="AO86" s="319">
        <v>0.29949999999999999</v>
      </c>
      <c r="AP86" s="319">
        <v>0.40139999999999998</v>
      </c>
      <c r="AQ86" s="319">
        <v>0</v>
      </c>
      <c r="AR86" s="319">
        <v>0.47020000000000001</v>
      </c>
      <c r="AS86" s="319">
        <v>0.59470000000000001</v>
      </c>
      <c r="AT86" s="331">
        <v>0.2621</v>
      </c>
      <c r="AU86" s="336">
        <v>9.8745999999999992</v>
      </c>
      <c r="AV86" s="329">
        <v>12.4894</v>
      </c>
      <c r="AW86" s="337">
        <v>5.5044999999999984</v>
      </c>
      <c r="AX86" s="334"/>
      <c r="AY86" s="323">
        <v>7.7757000000000005</v>
      </c>
      <c r="AZ86" s="323">
        <v>10.807399999999999</v>
      </c>
      <c r="BA86" s="323">
        <v>4.7227000000000006</v>
      </c>
      <c r="BB86" s="319"/>
      <c r="BC86" s="321">
        <f t="shared" si="6"/>
        <v>1.2699306814820528</v>
      </c>
      <c r="BD86" s="321">
        <f t="shared" si="7"/>
        <v>1.1556341025593575</v>
      </c>
      <c r="BE86" s="321">
        <f t="shared" si="8"/>
        <v>1.1655408982150037</v>
      </c>
      <c r="BG86" s="22">
        <f t="shared" si="9"/>
        <v>-1.7208456881689926E-15</v>
      </c>
      <c r="BH86" s="22">
        <f t="shared" si="10"/>
        <v>-2.6922908347160046E-15</v>
      </c>
      <c r="BI86" s="22">
        <f t="shared" si="11"/>
        <v>-3.1363800445660672E-15</v>
      </c>
    </row>
    <row r="87" spans="2:61" x14ac:dyDescent="0.25">
      <c r="B87" s="312">
        <v>80</v>
      </c>
      <c r="C87" s="312" t="s">
        <v>619</v>
      </c>
      <c r="D87" s="312" t="s">
        <v>392</v>
      </c>
      <c r="E87" s="312">
        <v>8</v>
      </c>
      <c r="F87" s="312">
        <v>4</v>
      </c>
      <c r="G87" s="313" t="s">
        <v>171</v>
      </c>
      <c r="H87" s="313"/>
      <c r="I87" s="313">
        <v>8942</v>
      </c>
      <c r="J87" s="312">
        <v>1081.6000000000004</v>
      </c>
      <c r="K87" s="312">
        <v>7860.4</v>
      </c>
      <c r="L87" s="312">
        <v>0</v>
      </c>
      <c r="M87" s="317"/>
      <c r="N87" s="319">
        <v>0.1069</v>
      </c>
      <c r="O87" s="319">
        <v>6.59E-2</v>
      </c>
      <c r="P87" s="319">
        <v>0.32379999999999998</v>
      </c>
      <c r="Q87" s="319">
        <v>6.5699999999999995E-2</v>
      </c>
      <c r="R87" s="319">
        <v>5.8099999999999999E-2</v>
      </c>
      <c r="S87" s="319">
        <v>0.39950000000000002</v>
      </c>
      <c r="T87" s="319">
        <v>0</v>
      </c>
      <c r="U87" s="319">
        <v>0.63149999999999995</v>
      </c>
      <c r="V87" s="319">
        <v>1.3572</v>
      </c>
      <c r="W87" s="319">
        <v>6.8599999999999994E-2</v>
      </c>
      <c r="X87" s="319">
        <v>0.13089999999999999</v>
      </c>
      <c r="Y87" s="319">
        <v>0</v>
      </c>
      <c r="Z87" s="319">
        <v>2.7124000000000001</v>
      </c>
      <c r="AA87" s="319">
        <v>0.1421</v>
      </c>
      <c r="AB87" s="319">
        <v>0.23719999999999999</v>
      </c>
      <c r="AC87" s="319">
        <v>0.10929999999999999</v>
      </c>
      <c r="AD87" s="319">
        <v>0.1008</v>
      </c>
      <c r="AE87" s="319">
        <v>0.113</v>
      </c>
      <c r="AF87" s="319">
        <v>0.1363</v>
      </c>
      <c r="AG87" s="319">
        <v>3.1399999999999997E-2</v>
      </c>
      <c r="AH87" s="319">
        <v>0</v>
      </c>
      <c r="AI87" s="319">
        <v>1.5946</v>
      </c>
      <c r="AJ87" s="319">
        <v>1.6389</v>
      </c>
      <c r="AK87" s="319">
        <v>8.6499999999999994E-2</v>
      </c>
      <c r="AL87" s="319">
        <v>0.42959999999999998</v>
      </c>
      <c r="AM87" s="319">
        <v>3.8600000000000002E-2</v>
      </c>
      <c r="AN87" s="319">
        <v>6.3E-3</v>
      </c>
      <c r="AO87" s="319">
        <v>0.30620000000000003</v>
      </c>
      <c r="AP87" s="319">
        <v>0.43459999999999999</v>
      </c>
      <c r="AQ87" s="319">
        <v>0</v>
      </c>
      <c r="AR87" s="319">
        <v>0.4733</v>
      </c>
      <c r="AS87" s="319">
        <v>0.56630000000000003</v>
      </c>
      <c r="AT87" s="331">
        <v>0.27479999999999999</v>
      </c>
      <c r="AU87" s="336">
        <v>9.9388000000000005</v>
      </c>
      <c r="AV87" s="329">
        <v>11.892200000000001</v>
      </c>
      <c r="AW87" s="337">
        <v>5.7709999999999999</v>
      </c>
      <c r="AX87" s="334"/>
      <c r="AY87" s="323">
        <v>7.8262</v>
      </c>
      <c r="AZ87" s="323">
        <v>10.017800000000001</v>
      </c>
      <c r="BA87" s="323">
        <v>4.8978000000000002</v>
      </c>
      <c r="BB87" s="319"/>
      <c r="BC87" s="321">
        <f t="shared" si="6"/>
        <v>1.2699394342081727</v>
      </c>
      <c r="BD87" s="321">
        <f t="shared" si="7"/>
        <v>1.1871069496296591</v>
      </c>
      <c r="BE87" s="321">
        <f t="shared" si="8"/>
        <v>1.1782841275674791</v>
      </c>
      <c r="BG87" s="22">
        <f t="shared" si="9"/>
        <v>9.4368957093138306E-16</v>
      </c>
      <c r="BH87" s="22">
        <f t="shared" si="10"/>
        <v>5.134781488891349E-16</v>
      </c>
      <c r="BI87" s="22">
        <f t="shared" si="11"/>
        <v>-1.5265566588595902E-16</v>
      </c>
    </row>
    <row r="88" spans="2:61" x14ac:dyDescent="0.25">
      <c r="B88" s="312">
        <v>81</v>
      </c>
      <c r="C88" s="312" t="s">
        <v>621</v>
      </c>
      <c r="D88" s="312" t="s">
        <v>392</v>
      </c>
      <c r="E88" s="312">
        <v>9</v>
      </c>
      <c r="F88" s="312">
        <v>4</v>
      </c>
      <c r="G88" s="313" t="s">
        <v>211</v>
      </c>
      <c r="H88" s="313"/>
      <c r="I88" s="313">
        <v>10179.6</v>
      </c>
      <c r="J88" s="312">
        <v>1125.6000000000004</v>
      </c>
      <c r="K88" s="312">
        <v>8960.4</v>
      </c>
      <c r="L88" s="312">
        <v>93.6</v>
      </c>
      <c r="M88" s="317"/>
      <c r="N88" s="319">
        <v>0.12239999999999999</v>
      </c>
      <c r="O88" s="319">
        <v>5.1299999999999998E-2</v>
      </c>
      <c r="P88" s="319">
        <v>0.30990000000000001</v>
      </c>
      <c r="Q88" s="319">
        <v>6.7100000000000007E-2</v>
      </c>
      <c r="R88" s="319">
        <v>5.0999999999999997E-2</v>
      </c>
      <c r="S88" s="319">
        <v>0.3584</v>
      </c>
      <c r="T88" s="319">
        <v>0</v>
      </c>
      <c r="U88" s="319">
        <v>0.63149999999999995</v>
      </c>
      <c r="V88" s="319">
        <v>1.3029999999999999</v>
      </c>
      <c r="W88" s="319">
        <v>4.0099999999999997E-2</v>
      </c>
      <c r="X88" s="319">
        <v>0.12889999999999999</v>
      </c>
      <c r="Y88" s="319">
        <v>0</v>
      </c>
      <c r="Z88" s="319">
        <v>3.0225</v>
      </c>
      <c r="AA88" s="319">
        <v>0.16789999999999999</v>
      </c>
      <c r="AB88" s="319">
        <v>0.185</v>
      </c>
      <c r="AC88" s="319">
        <v>0.12720000000000001</v>
      </c>
      <c r="AD88" s="319">
        <v>8.1699999999999995E-2</v>
      </c>
      <c r="AE88" s="319">
        <v>9.9199999999999997E-2</v>
      </c>
      <c r="AF88" s="319">
        <v>0.16239999999999999</v>
      </c>
      <c r="AG88" s="319">
        <v>2.8899999999999999E-2</v>
      </c>
      <c r="AH88" s="319">
        <v>0</v>
      </c>
      <c r="AI88" s="319">
        <v>1.3212999999999999</v>
      </c>
      <c r="AJ88" s="319">
        <v>1.4906999999999999</v>
      </c>
      <c r="AK88" s="319">
        <v>8.3199999999999996E-2</v>
      </c>
      <c r="AL88" s="319">
        <v>0.36730000000000002</v>
      </c>
      <c r="AM88" s="319">
        <v>4.3799999999999999E-2</v>
      </c>
      <c r="AN88" s="319">
        <v>7.1000000000000004E-3</v>
      </c>
      <c r="AO88" s="319">
        <v>0.56240000000000001</v>
      </c>
      <c r="AP88" s="319">
        <v>0.78559999999999997</v>
      </c>
      <c r="AQ88" s="319">
        <v>0</v>
      </c>
      <c r="AR88" s="319">
        <v>0.47360000000000002</v>
      </c>
      <c r="AS88" s="319">
        <v>0.57999999999999996</v>
      </c>
      <c r="AT88" s="331">
        <v>0.28649999999999998</v>
      </c>
      <c r="AU88" s="336">
        <v>9.9446999999999974</v>
      </c>
      <c r="AV88" s="329">
        <v>12.179799999999998</v>
      </c>
      <c r="AW88" s="337">
        <v>6.0158999999999976</v>
      </c>
      <c r="AX88" s="334"/>
      <c r="AY88" s="323">
        <v>7.8309999999999995</v>
      </c>
      <c r="AZ88" s="323">
        <v>10.460799999999999</v>
      </c>
      <c r="BA88" s="323">
        <v>4.9322999999999997</v>
      </c>
      <c r="BB88" s="319"/>
      <c r="BC88" s="321">
        <f t="shared" si="6"/>
        <v>1.2699144425999231</v>
      </c>
      <c r="BD88" s="321">
        <f t="shared" si="7"/>
        <v>1.1643277760783113</v>
      </c>
      <c r="BE88" s="321">
        <f t="shared" si="8"/>
        <v>1.2196946657745875</v>
      </c>
      <c r="BG88" s="22">
        <f t="shared" si="9"/>
        <v>-1.5543122344752192E-15</v>
      </c>
      <c r="BH88" s="22">
        <f t="shared" si="10"/>
        <v>-3.6082248300317588E-16</v>
      </c>
      <c r="BI88" s="22">
        <f t="shared" si="11"/>
        <v>-2.3592239273284576E-15</v>
      </c>
    </row>
    <row r="89" spans="2:61" x14ac:dyDescent="0.25">
      <c r="B89" s="312">
        <v>82</v>
      </c>
      <c r="C89" s="312" t="s">
        <v>623</v>
      </c>
      <c r="D89" s="312" t="s">
        <v>392</v>
      </c>
      <c r="E89" s="312">
        <v>9</v>
      </c>
      <c r="F89" s="312">
        <v>4</v>
      </c>
      <c r="G89" s="313" t="s">
        <v>212</v>
      </c>
      <c r="H89" s="313"/>
      <c r="I89" s="313">
        <v>10253.1</v>
      </c>
      <c r="J89" s="312">
        <v>1233.8999999999996</v>
      </c>
      <c r="K89" s="312">
        <v>9019.2000000000007</v>
      </c>
      <c r="L89" s="312">
        <v>0</v>
      </c>
      <c r="M89" s="317"/>
      <c r="N89" s="319">
        <v>0.10440000000000001</v>
      </c>
      <c r="O89" s="319">
        <v>5.0299999999999997E-2</v>
      </c>
      <c r="P89" s="319">
        <v>0.29859999999999998</v>
      </c>
      <c r="Q89" s="319">
        <v>6.7299999999999999E-2</v>
      </c>
      <c r="R89" s="319">
        <v>5.0700000000000002E-2</v>
      </c>
      <c r="S89" s="319">
        <v>0.37440000000000001</v>
      </c>
      <c r="T89" s="319">
        <v>0</v>
      </c>
      <c r="U89" s="319">
        <v>0.63149999999999995</v>
      </c>
      <c r="V89" s="319">
        <v>1.3995</v>
      </c>
      <c r="W89" s="319">
        <v>1.9900000000000001E-2</v>
      </c>
      <c r="X89" s="319">
        <v>0.128</v>
      </c>
      <c r="Y89" s="319">
        <v>0</v>
      </c>
      <c r="Z89" s="319">
        <v>2.8561000000000001</v>
      </c>
      <c r="AA89" s="319">
        <v>0.1386</v>
      </c>
      <c r="AB89" s="319">
        <v>0.1812</v>
      </c>
      <c r="AC89" s="319">
        <v>0.13350000000000001</v>
      </c>
      <c r="AD89" s="319">
        <v>8.1500000000000003E-2</v>
      </c>
      <c r="AE89" s="319">
        <v>9.8500000000000004E-2</v>
      </c>
      <c r="AF89" s="319">
        <v>0.1716</v>
      </c>
      <c r="AG89" s="319">
        <v>3.0300000000000001E-2</v>
      </c>
      <c r="AH89" s="319">
        <v>0</v>
      </c>
      <c r="AI89" s="319">
        <v>1.3291999999999999</v>
      </c>
      <c r="AJ89" s="319">
        <v>1.4407000000000001</v>
      </c>
      <c r="AK89" s="319">
        <v>8.4699999999999998E-2</v>
      </c>
      <c r="AL89" s="319">
        <v>0.36470000000000002</v>
      </c>
      <c r="AM89" s="319">
        <v>3.5200000000000002E-2</v>
      </c>
      <c r="AN89" s="319">
        <v>5.7000000000000002E-3</v>
      </c>
      <c r="AO89" s="319">
        <v>0.26960000000000001</v>
      </c>
      <c r="AP89" s="319">
        <v>0.37880000000000003</v>
      </c>
      <c r="AQ89" s="319">
        <v>0</v>
      </c>
      <c r="AR89" s="319">
        <v>0.44629999999999997</v>
      </c>
      <c r="AS89" s="319">
        <v>0.53620000000000001</v>
      </c>
      <c r="AT89" s="331">
        <v>0.27610000000000001</v>
      </c>
      <c r="AU89" s="336">
        <v>9.3726000000000003</v>
      </c>
      <c r="AV89" s="329">
        <v>11.2607</v>
      </c>
      <c r="AW89" s="337">
        <v>5.7981999999999978</v>
      </c>
      <c r="AX89" s="334"/>
      <c r="AY89" s="323">
        <v>7.3803000000000001</v>
      </c>
      <c r="AZ89" s="323">
        <v>9.798</v>
      </c>
      <c r="BA89" s="323">
        <v>4.830000000000001</v>
      </c>
      <c r="BB89" s="319"/>
      <c r="BC89" s="321">
        <f t="shared" si="6"/>
        <v>1.2699483760822732</v>
      </c>
      <c r="BD89" s="321">
        <f t="shared" si="7"/>
        <v>1.1492855684833641</v>
      </c>
      <c r="BE89" s="321">
        <f t="shared" si="8"/>
        <v>1.2004554865424424</v>
      </c>
      <c r="BG89" s="22">
        <f t="shared" si="9"/>
        <v>0</v>
      </c>
      <c r="BH89" s="22">
        <f t="shared" si="10"/>
        <v>1.4988010832439613E-15</v>
      </c>
      <c r="BI89" s="22">
        <f t="shared" si="11"/>
        <v>-9.4368957093138306E-16</v>
      </c>
    </row>
    <row r="90" spans="2:61" x14ac:dyDescent="0.25">
      <c r="B90" s="312">
        <v>83</v>
      </c>
      <c r="C90" s="312" t="s">
        <v>625</v>
      </c>
      <c r="D90" s="312" t="s">
        <v>392</v>
      </c>
      <c r="E90" s="312">
        <v>9</v>
      </c>
      <c r="F90" s="312">
        <v>3</v>
      </c>
      <c r="G90" s="313" t="s">
        <v>213</v>
      </c>
      <c r="H90" s="313"/>
      <c r="I90" s="313">
        <v>7626</v>
      </c>
      <c r="J90" s="312">
        <v>845.80000000000018</v>
      </c>
      <c r="K90" s="312">
        <v>6780.2</v>
      </c>
      <c r="L90" s="312">
        <v>0</v>
      </c>
      <c r="M90" s="317"/>
      <c r="N90" s="319">
        <v>0.1099</v>
      </c>
      <c r="O90" s="319">
        <v>5.5100000000000003E-2</v>
      </c>
      <c r="P90" s="319">
        <v>0.2792</v>
      </c>
      <c r="Q90" s="319">
        <v>7.4300000000000005E-2</v>
      </c>
      <c r="R90" s="319">
        <v>5.3499999999999999E-2</v>
      </c>
      <c r="S90" s="319">
        <v>0.30199999999999999</v>
      </c>
      <c r="T90" s="319">
        <v>0</v>
      </c>
      <c r="U90" s="319">
        <v>0.63149999999999995</v>
      </c>
      <c r="V90" s="319">
        <v>1.1950000000000001</v>
      </c>
      <c r="W90" s="319">
        <v>5.2999999999999999E-2</v>
      </c>
      <c r="X90" s="319">
        <v>0.12130000000000001</v>
      </c>
      <c r="Y90" s="319">
        <v>0</v>
      </c>
      <c r="Z90" s="319">
        <v>2.6945999999999999</v>
      </c>
      <c r="AA90" s="319">
        <v>0.14510000000000001</v>
      </c>
      <c r="AB90" s="319">
        <v>0.1983</v>
      </c>
      <c r="AC90" s="319">
        <v>0.1313</v>
      </c>
      <c r="AD90" s="319">
        <v>0.11550000000000001</v>
      </c>
      <c r="AE90" s="319">
        <v>0.10390000000000001</v>
      </c>
      <c r="AF90" s="319">
        <v>0.14610000000000001</v>
      </c>
      <c r="AG90" s="319">
        <v>2.93E-2</v>
      </c>
      <c r="AH90" s="319">
        <v>0</v>
      </c>
      <c r="AI90" s="319">
        <v>2.0935999999999999</v>
      </c>
      <c r="AJ90" s="319">
        <v>1.3396999999999999</v>
      </c>
      <c r="AK90" s="319">
        <v>8.1100000000000005E-2</v>
      </c>
      <c r="AL90" s="319">
        <v>0.44469999999999998</v>
      </c>
      <c r="AM90" s="319">
        <v>3.8399999999999997E-2</v>
      </c>
      <c r="AN90" s="319">
        <v>6.1999999999999998E-3</v>
      </c>
      <c r="AO90" s="319">
        <v>0.3407</v>
      </c>
      <c r="AP90" s="319">
        <v>0.46949999999999997</v>
      </c>
      <c r="AQ90" s="319">
        <v>0</v>
      </c>
      <c r="AR90" s="319">
        <v>0.4768</v>
      </c>
      <c r="AS90" s="319">
        <v>0.56259999999999999</v>
      </c>
      <c r="AT90" s="331">
        <v>0.26579999999999998</v>
      </c>
      <c r="AU90" s="336">
        <v>10.012099999999998</v>
      </c>
      <c r="AV90" s="329">
        <v>11.815399999999999</v>
      </c>
      <c r="AW90" s="337">
        <v>5.5823999999999989</v>
      </c>
      <c r="AX90" s="334"/>
      <c r="AY90" s="323">
        <v>7.8838999999999988</v>
      </c>
      <c r="AZ90" s="323">
        <v>9.9117999999999977</v>
      </c>
      <c r="BA90" s="323">
        <v>4.741299999999999</v>
      </c>
      <c r="BB90" s="319"/>
      <c r="BC90" s="321">
        <f t="shared" si="6"/>
        <v>1.2699425411281218</v>
      </c>
      <c r="BD90" s="321">
        <f t="shared" si="7"/>
        <v>1.1920539155350189</v>
      </c>
      <c r="BE90" s="321">
        <f t="shared" si="8"/>
        <v>1.1773986037584629</v>
      </c>
      <c r="BG90" s="22">
        <f t="shared" si="9"/>
        <v>3.1086244689504383E-15</v>
      </c>
      <c r="BH90" s="22">
        <f t="shared" si="10"/>
        <v>-1.9428902930940239E-16</v>
      </c>
      <c r="BI90" s="22">
        <f t="shared" si="11"/>
        <v>-1.0824674490095276E-15</v>
      </c>
    </row>
    <row r="91" spans="2:61" x14ac:dyDescent="0.25">
      <c r="B91" s="312">
        <v>84</v>
      </c>
      <c r="C91" s="312" t="s">
        <v>627</v>
      </c>
      <c r="D91" s="312" t="s">
        <v>392</v>
      </c>
      <c r="E91" s="312">
        <v>9</v>
      </c>
      <c r="F91" s="312">
        <v>3</v>
      </c>
      <c r="G91" s="313" t="s">
        <v>214</v>
      </c>
      <c r="H91" s="313"/>
      <c r="I91" s="313">
        <v>7636.1</v>
      </c>
      <c r="J91" s="312">
        <v>845.60000000000036</v>
      </c>
      <c r="K91" s="312">
        <v>6790.5</v>
      </c>
      <c r="L91" s="312">
        <v>0</v>
      </c>
      <c r="M91" s="317"/>
      <c r="N91" s="319">
        <v>0.10979999999999999</v>
      </c>
      <c r="O91" s="319">
        <v>5.5E-2</v>
      </c>
      <c r="P91" s="319">
        <v>0.30370000000000003</v>
      </c>
      <c r="Q91" s="319">
        <v>7.3200000000000001E-2</v>
      </c>
      <c r="R91" s="319">
        <v>5.3400000000000003E-2</v>
      </c>
      <c r="S91" s="319">
        <v>0.30159999999999998</v>
      </c>
      <c r="T91" s="319">
        <v>0</v>
      </c>
      <c r="U91" s="319">
        <v>0.63149999999999995</v>
      </c>
      <c r="V91" s="319">
        <v>1.5141</v>
      </c>
      <c r="W91" s="319">
        <v>0</v>
      </c>
      <c r="X91" s="319">
        <v>0.1212</v>
      </c>
      <c r="Y91" s="319">
        <v>0</v>
      </c>
      <c r="Z91" s="319">
        <v>2.3433000000000002</v>
      </c>
      <c r="AA91" s="319">
        <v>0.1449</v>
      </c>
      <c r="AB91" s="319">
        <v>0.1981</v>
      </c>
      <c r="AC91" s="319">
        <v>0.1125</v>
      </c>
      <c r="AD91" s="319">
        <v>0.12509999999999999</v>
      </c>
      <c r="AE91" s="319">
        <v>0.1038</v>
      </c>
      <c r="AF91" s="319">
        <v>0.1459</v>
      </c>
      <c r="AG91" s="319">
        <v>2.93E-2</v>
      </c>
      <c r="AH91" s="319">
        <v>0</v>
      </c>
      <c r="AI91" s="319">
        <v>2.3611</v>
      </c>
      <c r="AJ91" s="319">
        <v>1.4258</v>
      </c>
      <c r="AK91" s="319">
        <v>8.09E-2</v>
      </c>
      <c r="AL91" s="319">
        <v>0.44479999999999997</v>
      </c>
      <c r="AM91" s="319">
        <v>3.8300000000000001E-2</v>
      </c>
      <c r="AN91" s="319">
        <v>6.1999999999999998E-3</v>
      </c>
      <c r="AO91" s="319">
        <v>0.32600000000000001</v>
      </c>
      <c r="AP91" s="319">
        <v>0.45729999999999998</v>
      </c>
      <c r="AQ91" s="319">
        <v>0</v>
      </c>
      <c r="AR91" s="319">
        <v>0.4768</v>
      </c>
      <c r="AS91" s="319">
        <v>0.57530000000000003</v>
      </c>
      <c r="AT91" s="331">
        <v>0.24890000000000001</v>
      </c>
      <c r="AU91" s="336">
        <v>10.012200000000002</v>
      </c>
      <c r="AV91" s="329">
        <v>12.082100000000002</v>
      </c>
      <c r="AW91" s="337">
        <v>5.2266000000000004</v>
      </c>
      <c r="AX91" s="334"/>
      <c r="AY91" s="323">
        <v>7.8841000000000001</v>
      </c>
      <c r="AZ91" s="323">
        <v>10.338000000000001</v>
      </c>
      <c r="BA91" s="323">
        <v>4.4821999999999997</v>
      </c>
      <c r="BB91" s="319"/>
      <c r="BC91" s="321">
        <f t="shared" si="6"/>
        <v>1.2699230096016034</v>
      </c>
      <c r="BD91" s="321">
        <f t="shared" si="7"/>
        <v>1.168707680402399</v>
      </c>
      <c r="BE91" s="321">
        <f t="shared" si="8"/>
        <v>1.1660791575565572</v>
      </c>
      <c r="BG91" s="22">
        <f t="shared" si="9"/>
        <v>2.2759572004815709E-15</v>
      </c>
      <c r="BH91" s="22">
        <f t="shared" si="10"/>
        <v>9.5756735873919752E-16</v>
      </c>
      <c r="BI91" s="22">
        <f t="shared" si="11"/>
        <v>1.8457457784393227E-15</v>
      </c>
    </row>
    <row r="92" spans="2:61" x14ac:dyDescent="0.25">
      <c r="B92" s="312">
        <v>85</v>
      </c>
      <c r="C92" s="312" t="s">
        <v>629</v>
      </c>
      <c r="D92" s="312" t="s">
        <v>392</v>
      </c>
      <c r="E92" s="312">
        <v>9</v>
      </c>
      <c r="F92" s="312">
        <v>3</v>
      </c>
      <c r="G92" s="313" t="s">
        <v>215</v>
      </c>
      <c r="H92" s="313"/>
      <c r="I92" s="313">
        <v>7614.7</v>
      </c>
      <c r="J92" s="312">
        <v>844.39999999999964</v>
      </c>
      <c r="K92" s="312">
        <v>6770.3</v>
      </c>
      <c r="L92" s="312">
        <v>0</v>
      </c>
      <c r="M92" s="317"/>
      <c r="N92" s="319">
        <v>0.1101</v>
      </c>
      <c r="O92" s="319">
        <v>5.5199999999999999E-2</v>
      </c>
      <c r="P92" s="319">
        <v>0.27889999999999998</v>
      </c>
      <c r="Q92" s="319">
        <v>7.4099999999999999E-2</v>
      </c>
      <c r="R92" s="319">
        <v>5.3499999999999999E-2</v>
      </c>
      <c r="S92" s="319">
        <v>0.3024</v>
      </c>
      <c r="T92" s="319">
        <v>0</v>
      </c>
      <c r="U92" s="319">
        <v>0.63149999999999995</v>
      </c>
      <c r="V92" s="319">
        <v>1.5185999999999999</v>
      </c>
      <c r="W92" s="319">
        <v>0</v>
      </c>
      <c r="X92" s="319">
        <v>0.1215</v>
      </c>
      <c r="Y92" s="319">
        <v>0</v>
      </c>
      <c r="Z92" s="319">
        <v>2.5270000000000001</v>
      </c>
      <c r="AA92" s="319">
        <v>0.1454</v>
      </c>
      <c r="AB92" s="319">
        <v>0.1986</v>
      </c>
      <c r="AC92" s="319">
        <v>0.1313</v>
      </c>
      <c r="AD92" s="319">
        <v>0.11269999999999999</v>
      </c>
      <c r="AE92" s="319">
        <v>0.1041</v>
      </c>
      <c r="AF92" s="319">
        <v>0.14630000000000001</v>
      </c>
      <c r="AG92" s="319">
        <v>2.93E-2</v>
      </c>
      <c r="AH92" s="319">
        <v>0</v>
      </c>
      <c r="AI92" s="319">
        <v>2.0749</v>
      </c>
      <c r="AJ92" s="319">
        <v>1.4522999999999999</v>
      </c>
      <c r="AK92" s="319">
        <v>8.1100000000000005E-2</v>
      </c>
      <c r="AL92" s="319">
        <v>0.45979999999999999</v>
      </c>
      <c r="AM92" s="319">
        <v>3.8399999999999997E-2</v>
      </c>
      <c r="AN92" s="319">
        <v>6.1999999999999998E-3</v>
      </c>
      <c r="AO92" s="319">
        <v>0.33989999999999998</v>
      </c>
      <c r="AP92" s="319">
        <v>0.49309999999999998</v>
      </c>
      <c r="AQ92" s="319">
        <v>0</v>
      </c>
      <c r="AR92" s="319">
        <v>0.47370000000000001</v>
      </c>
      <c r="AS92" s="319">
        <v>0.57430000000000003</v>
      </c>
      <c r="AT92" s="331">
        <v>0.25740000000000002</v>
      </c>
      <c r="AU92" s="336">
        <v>9.9481999999999999</v>
      </c>
      <c r="AV92" s="329">
        <v>12.060499999999998</v>
      </c>
      <c r="AW92" s="337">
        <v>5.4049999999999985</v>
      </c>
      <c r="AX92" s="334"/>
      <c r="AY92" s="323">
        <v>7.8335999999999997</v>
      </c>
      <c r="AZ92" s="323">
        <v>10.190100000000001</v>
      </c>
      <c r="BA92" s="323">
        <v>4.7239999999999993</v>
      </c>
      <c r="BB92" s="319"/>
      <c r="BC92" s="321">
        <f t="shared" si="6"/>
        <v>1.2699397467320261</v>
      </c>
      <c r="BD92" s="321">
        <f t="shared" si="7"/>
        <v>1.1835507011707438</v>
      </c>
      <c r="BE92" s="321">
        <f t="shared" si="8"/>
        <v>1.1441574936494494</v>
      </c>
      <c r="BG92" s="22">
        <f t="shared" si="9"/>
        <v>2.3314683517128287E-15</v>
      </c>
      <c r="BH92" s="22">
        <f t="shared" si="10"/>
        <v>-1.4432899320127035E-15</v>
      </c>
      <c r="BI92" s="22">
        <f t="shared" si="11"/>
        <v>-2.3314683517128287E-15</v>
      </c>
    </row>
    <row r="93" spans="2:61" x14ac:dyDescent="0.25">
      <c r="B93" s="312">
        <v>86</v>
      </c>
      <c r="C93" s="312" t="s">
        <v>631</v>
      </c>
      <c r="D93" s="312" t="s">
        <v>392</v>
      </c>
      <c r="E93" s="312">
        <v>10</v>
      </c>
      <c r="F93" s="312">
        <v>1</v>
      </c>
      <c r="G93" s="313" t="s">
        <v>242</v>
      </c>
      <c r="H93" s="313"/>
      <c r="I93" s="313">
        <v>2340.6999999999998</v>
      </c>
      <c r="J93" s="312">
        <v>232.29999999999973</v>
      </c>
      <c r="K93" s="312">
        <v>2108.4</v>
      </c>
      <c r="L93" s="312">
        <v>0</v>
      </c>
      <c r="M93" s="317"/>
      <c r="N93" s="319">
        <v>0.1431</v>
      </c>
      <c r="O93" s="319">
        <v>8.7999999999999995E-2</v>
      </c>
      <c r="P93" s="319">
        <v>0.30980000000000002</v>
      </c>
      <c r="Q93" s="319">
        <v>6.7199999999999996E-2</v>
      </c>
      <c r="R93" s="319">
        <v>1.7500000000000002E-2</v>
      </c>
      <c r="S93" s="319">
        <v>0.27410000000000001</v>
      </c>
      <c r="T93" s="319">
        <v>0</v>
      </c>
      <c r="U93" s="319">
        <v>0.63149999999999995</v>
      </c>
      <c r="V93" s="319">
        <v>0.79449999999999998</v>
      </c>
      <c r="W93" s="319">
        <v>0</v>
      </c>
      <c r="X93" s="319">
        <v>0.1351</v>
      </c>
      <c r="Y93" s="319">
        <v>0</v>
      </c>
      <c r="Z93" s="319">
        <v>1.6278999999999999</v>
      </c>
      <c r="AA93" s="319">
        <v>0.18970000000000001</v>
      </c>
      <c r="AB93" s="319">
        <v>0.3155</v>
      </c>
      <c r="AC93" s="319">
        <v>0.10730000000000001</v>
      </c>
      <c r="AD93" s="319">
        <v>8.48E-2</v>
      </c>
      <c r="AE93" s="319">
        <v>3.4000000000000002E-2</v>
      </c>
      <c r="AF93" s="319">
        <v>7.0999999999999994E-2</v>
      </c>
      <c r="AG93" s="319">
        <v>2.93E-2</v>
      </c>
      <c r="AH93" s="319">
        <v>0</v>
      </c>
      <c r="AI93" s="319">
        <v>2.9415</v>
      </c>
      <c r="AJ93" s="319">
        <v>1.4276</v>
      </c>
      <c r="AK93" s="319">
        <v>7.8799999999999995E-2</v>
      </c>
      <c r="AL93" s="319">
        <v>0.53080000000000005</v>
      </c>
      <c r="AM93" s="319">
        <v>3.7600000000000001E-2</v>
      </c>
      <c r="AN93" s="319">
        <v>6.1000000000000004E-3</v>
      </c>
      <c r="AO93" s="319">
        <v>0.34489999999999998</v>
      </c>
      <c r="AP93" s="319">
        <v>0.36820000000000003</v>
      </c>
      <c r="AQ93" s="319">
        <v>0</v>
      </c>
      <c r="AR93" s="319">
        <v>0.47470000000000001</v>
      </c>
      <c r="AS93" s="319">
        <v>0.53280000000000005</v>
      </c>
      <c r="AT93" s="331">
        <v>0.21240000000000001</v>
      </c>
      <c r="AU93" s="336">
        <v>9.9677999999999987</v>
      </c>
      <c r="AV93" s="329">
        <v>11.188599999999997</v>
      </c>
      <c r="AW93" s="337">
        <v>4.4607000000000001</v>
      </c>
      <c r="AX93" s="334"/>
      <c r="AY93" s="323">
        <v>7.8490000000000002</v>
      </c>
      <c r="AZ93" s="323">
        <v>9.3066999999999993</v>
      </c>
      <c r="BA93" s="323">
        <v>4.008</v>
      </c>
      <c r="BB93" s="319"/>
      <c r="BC93" s="321">
        <f t="shared" si="6"/>
        <v>1.2699452159510765</v>
      </c>
      <c r="BD93" s="321">
        <f t="shared" si="7"/>
        <v>1.2022091611419727</v>
      </c>
      <c r="BE93" s="321">
        <f t="shared" si="8"/>
        <v>1.1129491017964073</v>
      </c>
      <c r="BG93" s="22">
        <f t="shared" si="9"/>
        <v>-2.1094237467877974E-15</v>
      </c>
      <c r="BH93" s="22">
        <f t="shared" si="10"/>
        <v>3.6082248300317588E-16</v>
      </c>
      <c r="BI93" s="22">
        <f t="shared" si="11"/>
        <v>0</v>
      </c>
    </row>
    <row r="94" spans="2:61" x14ac:dyDescent="0.25">
      <c r="B94" s="312">
        <v>87</v>
      </c>
      <c r="C94" s="312" t="s">
        <v>633</v>
      </c>
      <c r="D94" s="312" t="s">
        <v>392</v>
      </c>
      <c r="E94" s="312">
        <v>5</v>
      </c>
      <c r="F94" s="312">
        <v>2</v>
      </c>
      <c r="G94" s="313" t="s">
        <v>81</v>
      </c>
      <c r="H94" s="313"/>
      <c r="I94" s="313">
        <v>1727.6</v>
      </c>
      <c r="J94" s="312">
        <v>1727.6</v>
      </c>
      <c r="K94" s="312">
        <v>0</v>
      </c>
      <c r="L94" s="312">
        <v>0</v>
      </c>
      <c r="M94" s="317"/>
      <c r="N94" s="319">
        <v>0.1507</v>
      </c>
      <c r="O94" s="319">
        <v>7.5899999999999995E-2</v>
      </c>
      <c r="P94" s="319">
        <v>0.28139999999999998</v>
      </c>
      <c r="Q94" s="319">
        <v>7.0499999999999993E-2</v>
      </c>
      <c r="R94" s="319">
        <v>2.4899999999999999E-2</v>
      </c>
      <c r="S94" s="319">
        <v>0.32540000000000002</v>
      </c>
      <c r="T94" s="319">
        <v>0</v>
      </c>
      <c r="U94" s="319">
        <v>0.63149999999999995</v>
      </c>
      <c r="V94" s="319">
        <v>0</v>
      </c>
      <c r="W94" s="319">
        <v>0</v>
      </c>
      <c r="X94" s="319">
        <v>0.13730000000000001</v>
      </c>
      <c r="Y94" s="319">
        <v>0</v>
      </c>
      <c r="Z94" s="319">
        <v>0.89800000000000002</v>
      </c>
      <c r="AA94" s="319">
        <v>0.20019999999999999</v>
      </c>
      <c r="AB94" s="319">
        <v>0.26900000000000002</v>
      </c>
      <c r="AC94" s="319">
        <v>8.1900000000000001E-2</v>
      </c>
      <c r="AD94" s="319">
        <v>8.1799999999999998E-2</v>
      </c>
      <c r="AE94" s="319">
        <v>4.8399999999999999E-2</v>
      </c>
      <c r="AF94" s="319">
        <v>0.10150000000000001</v>
      </c>
      <c r="AG94" s="319">
        <v>3.5099999999999999E-2</v>
      </c>
      <c r="AH94" s="319">
        <v>0</v>
      </c>
      <c r="AI94" s="319">
        <v>2.9184000000000001</v>
      </c>
      <c r="AJ94" s="319">
        <v>1.1091</v>
      </c>
      <c r="AK94" s="319">
        <v>9.1200000000000003E-2</v>
      </c>
      <c r="AL94" s="319">
        <v>1.2326999999999999</v>
      </c>
      <c r="AM94" s="319">
        <v>6.4500000000000002E-2</v>
      </c>
      <c r="AN94" s="319">
        <v>1.0500000000000001E-2</v>
      </c>
      <c r="AO94" s="319">
        <v>0.47639999999999999</v>
      </c>
      <c r="AP94" s="319">
        <v>0</v>
      </c>
      <c r="AQ94" s="319">
        <v>0</v>
      </c>
      <c r="AR94" s="319">
        <v>0.46579999999999999</v>
      </c>
      <c r="AS94" s="319">
        <v>0.46579999999999999</v>
      </c>
      <c r="AT94" s="331">
        <v>0.17899999999999999</v>
      </c>
      <c r="AU94" s="336">
        <v>9.7821000000000016</v>
      </c>
      <c r="AV94" s="329">
        <v>9.7821000000000016</v>
      </c>
      <c r="AW94" s="337">
        <v>3.7587000000000024</v>
      </c>
      <c r="AX94" s="334"/>
      <c r="AY94" s="323">
        <v>7.7027999999999999</v>
      </c>
      <c r="AZ94" s="323">
        <v>7.7027999999999999</v>
      </c>
      <c r="BA94" s="323">
        <v>3.6713999999999989</v>
      </c>
      <c r="BB94" s="319"/>
      <c r="BC94" s="321">
        <f t="shared" si="6"/>
        <v>1.2699408007477802</v>
      </c>
      <c r="BD94" s="321">
        <f t="shared" si="7"/>
        <v>1.2699408007477802</v>
      </c>
      <c r="BE94" s="321">
        <f t="shared" si="8"/>
        <v>1.0237783951626092</v>
      </c>
      <c r="BG94" s="22">
        <f t="shared" si="9"/>
        <v>2.6090241078691179E-15</v>
      </c>
      <c r="BH94" s="22">
        <f t="shared" si="10"/>
        <v>1.3600232051658168E-15</v>
      </c>
      <c r="BI94" s="22">
        <f t="shared" si="11"/>
        <v>1.8041124150158794E-15</v>
      </c>
    </row>
    <row r="95" spans="2:61" x14ac:dyDescent="0.25">
      <c r="B95" s="312">
        <v>88</v>
      </c>
      <c r="C95" s="312" t="s">
        <v>635</v>
      </c>
      <c r="D95" s="312" t="s">
        <v>392</v>
      </c>
      <c r="E95" s="312">
        <v>5</v>
      </c>
      <c r="F95" s="312">
        <v>6</v>
      </c>
      <c r="G95" s="313" t="s">
        <v>82</v>
      </c>
      <c r="H95" s="313"/>
      <c r="I95" s="313">
        <v>3452.9</v>
      </c>
      <c r="J95" s="312">
        <v>3452.9</v>
      </c>
      <c r="K95" s="312">
        <v>0</v>
      </c>
      <c r="L95" s="312">
        <v>0</v>
      </c>
      <c r="M95" s="317"/>
      <c r="N95" s="319">
        <v>0.14660000000000001</v>
      </c>
      <c r="O95" s="319">
        <v>8.6099999999999996E-2</v>
      </c>
      <c r="P95" s="319">
        <v>0.32840000000000003</v>
      </c>
      <c r="Q95" s="319">
        <v>7.2800000000000004E-2</v>
      </c>
      <c r="R95" s="319">
        <v>3.73E-2</v>
      </c>
      <c r="S95" s="319">
        <v>0.74490000000000001</v>
      </c>
      <c r="T95" s="319">
        <v>0</v>
      </c>
      <c r="U95" s="319">
        <v>0.63149999999999995</v>
      </c>
      <c r="V95" s="319">
        <v>0</v>
      </c>
      <c r="W95" s="319">
        <v>0</v>
      </c>
      <c r="X95" s="319">
        <v>0.13739999999999999</v>
      </c>
      <c r="Y95" s="319">
        <v>0</v>
      </c>
      <c r="Z95" s="319">
        <v>1.4334</v>
      </c>
      <c r="AA95" s="319">
        <v>0.1928</v>
      </c>
      <c r="AB95" s="319">
        <v>0.3054</v>
      </c>
      <c r="AC95" s="319">
        <v>9.1700000000000004E-2</v>
      </c>
      <c r="AD95" s="319">
        <v>8.5999999999999993E-2</v>
      </c>
      <c r="AE95" s="319">
        <v>7.2599999999999998E-2</v>
      </c>
      <c r="AF95" s="319">
        <v>0.26250000000000001</v>
      </c>
      <c r="AG95" s="319">
        <v>3.6999999999999998E-2</v>
      </c>
      <c r="AH95" s="319">
        <v>0</v>
      </c>
      <c r="AI95" s="319">
        <v>2.4607000000000001</v>
      </c>
      <c r="AJ95" s="319">
        <v>1.3976</v>
      </c>
      <c r="AK95" s="319">
        <v>0.1038</v>
      </c>
      <c r="AL95" s="319">
        <v>0.68089999999999995</v>
      </c>
      <c r="AM95" s="319">
        <v>6.5299999999999997E-2</v>
      </c>
      <c r="AN95" s="319">
        <v>1.06E-2</v>
      </c>
      <c r="AO95" s="319">
        <v>0.32979999999999998</v>
      </c>
      <c r="AP95" s="319">
        <v>0</v>
      </c>
      <c r="AQ95" s="319">
        <v>0</v>
      </c>
      <c r="AR95" s="319">
        <v>0.48580000000000001</v>
      </c>
      <c r="AS95" s="319">
        <v>0.48580000000000001</v>
      </c>
      <c r="AT95" s="331">
        <v>0.24229999999999999</v>
      </c>
      <c r="AU95" s="336">
        <v>10.200900000000001</v>
      </c>
      <c r="AV95" s="329">
        <v>10.200900000000001</v>
      </c>
      <c r="AW95" s="337">
        <v>5.0884000000000018</v>
      </c>
      <c r="AX95" s="334"/>
      <c r="AY95" s="323">
        <v>8.0327000000000002</v>
      </c>
      <c r="AZ95" s="323">
        <v>8.0327000000000002</v>
      </c>
      <c r="BA95" s="323">
        <v>4.2631000000000006</v>
      </c>
      <c r="BB95" s="319"/>
      <c r="BC95" s="321">
        <f t="shared" si="6"/>
        <v>1.2699216950713956</v>
      </c>
      <c r="BD95" s="321">
        <f t="shared" si="7"/>
        <v>1.2699216950713956</v>
      </c>
      <c r="BE95" s="321">
        <f t="shared" si="8"/>
        <v>1.1935915179095027</v>
      </c>
      <c r="BG95" s="22">
        <f t="shared" si="9"/>
        <v>1.3322676295501878E-15</v>
      </c>
      <c r="BH95" s="22">
        <f t="shared" si="10"/>
        <v>5.5511151231257827E-16</v>
      </c>
      <c r="BI95" s="22">
        <f t="shared" si="11"/>
        <v>5.5511151231257827E-16</v>
      </c>
    </row>
    <row r="96" spans="2:61" x14ac:dyDescent="0.25">
      <c r="B96" s="312">
        <v>89</v>
      </c>
      <c r="C96" s="312" t="s">
        <v>637</v>
      </c>
      <c r="D96" s="312" t="s">
        <v>393</v>
      </c>
      <c r="E96" s="312">
        <v>5</v>
      </c>
      <c r="F96" s="312">
        <v>4</v>
      </c>
      <c r="G96" s="313" t="s">
        <v>83</v>
      </c>
      <c r="H96" s="313"/>
      <c r="I96" s="313">
        <v>2761.65</v>
      </c>
      <c r="J96" s="312">
        <v>2579.15</v>
      </c>
      <c r="K96" s="312">
        <v>0</v>
      </c>
      <c r="L96" s="312">
        <v>182.5</v>
      </c>
      <c r="M96" s="317"/>
      <c r="N96" s="319">
        <v>0.1638</v>
      </c>
      <c r="O96" s="319">
        <v>9.2200000000000004E-2</v>
      </c>
      <c r="P96" s="319">
        <v>0.32429999999999998</v>
      </c>
      <c r="Q96" s="319">
        <v>7.4300000000000005E-2</v>
      </c>
      <c r="R96" s="319">
        <v>3.1099999999999999E-2</v>
      </c>
      <c r="S96" s="319">
        <v>0.48770000000000002</v>
      </c>
      <c r="T96" s="319">
        <v>0</v>
      </c>
      <c r="U96" s="319">
        <v>0.63149999999999995</v>
      </c>
      <c r="V96" s="319">
        <v>0</v>
      </c>
      <c r="W96" s="319">
        <v>0</v>
      </c>
      <c r="X96" s="319">
        <v>0.16889999999999999</v>
      </c>
      <c r="Y96" s="319">
        <v>0</v>
      </c>
      <c r="Z96" s="319">
        <v>2.5303</v>
      </c>
      <c r="AA96" s="319">
        <v>0.22109999999999999</v>
      </c>
      <c r="AB96" s="319">
        <v>0.3271</v>
      </c>
      <c r="AC96" s="319">
        <v>8.8099999999999998E-2</v>
      </c>
      <c r="AD96" s="319">
        <v>0.10299999999999999</v>
      </c>
      <c r="AE96" s="319">
        <v>6.0499999999999998E-2</v>
      </c>
      <c r="AF96" s="319">
        <v>0.16650000000000001</v>
      </c>
      <c r="AG96" s="319">
        <v>3.2599999999999997E-2</v>
      </c>
      <c r="AH96" s="319">
        <v>0</v>
      </c>
      <c r="AI96" s="319">
        <v>1.3284</v>
      </c>
      <c r="AJ96" s="319">
        <v>1.2096</v>
      </c>
      <c r="AK96" s="319">
        <v>8.8400000000000006E-2</v>
      </c>
      <c r="AL96" s="319">
        <v>0.65439999999999998</v>
      </c>
      <c r="AM96" s="319">
        <v>5.2999999999999999E-2</v>
      </c>
      <c r="AN96" s="319">
        <v>8.6E-3</v>
      </c>
      <c r="AO96" s="319">
        <v>0.28089999999999998</v>
      </c>
      <c r="AP96" s="319">
        <v>0</v>
      </c>
      <c r="AQ96" s="319">
        <v>0</v>
      </c>
      <c r="AR96" s="319">
        <v>0.45629999999999998</v>
      </c>
      <c r="AS96" s="319">
        <v>0.45629999999999998</v>
      </c>
      <c r="AT96" s="331">
        <v>0.28270000000000001</v>
      </c>
      <c r="AU96" s="336">
        <v>9.5826000000000029</v>
      </c>
      <c r="AV96" s="329">
        <v>9.5826000000000029</v>
      </c>
      <c r="AW96" s="337">
        <v>5.9357000000000006</v>
      </c>
      <c r="AX96" s="334"/>
      <c r="AY96" s="323">
        <v>7.5458000000000007</v>
      </c>
      <c r="AZ96" s="323">
        <v>7.5458000000000007</v>
      </c>
      <c r="BA96" s="323">
        <v>4.9328000000000003</v>
      </c>
      <c r="BB96" s="319"/>
      <c r="BC96" s="321">
        <f t="shared" si="6"/>
        <v>1.2699249913859367</v>
      </c>
      <c r="BD96" s="321">
        <f t="shared" si="7"/>
        <v>1.2699249913859367</v>
      </c>
      <c r="BE96" s="321">
        <f t="shared" si="8"/>
        <v>1.2033125202724619</v>
      </c>
      <c r="BG96" s="22">
        <f t="shared" si="9"/>
        <v>3.3306690738754696E-15</v>
      </c>
      <c r="BH96" s="22">
        <f t="shared" si="10"/>
        <v>0</v>
      </c>
      <c r="BI96" s="22">
        <f t="shared" si="11"/>
        <v>0</v>
      </c>
    </row>
    <row r="97" spans="2:61" x14ac:dyDescent="0.25">
      <c r="B97" s="312">
        <v>90</v>
      </c>
      <c r="C97" s="312" t="s">
        <v>640</v>
      </c>
      <c r="D97" s="312" t="s">
        <v>393</v>
      </c>
      <c r="E97" s="312">
        <v>9</v>
      </c>
      <c r="F97" s="312">
        <v>1</v>
      </c>
      <c r="G97" s="313" t="s">
        <v>216</v>
      </c>
      <c r="H97" s="313"/>
      <c r="I97" s="313">
        <v>2111.77</v>
      </c>
      <c r="J97" s="312">
        <v>115.39999999999986</v>
      </c>
      <c r="K97" s="312">
        <v>1872.97</v>
      </c>
      <c r="L97" s="312">
        <v>123.4</v>
      </c>
      <c r="M97" s="317"/>
      <c r="N97" s="319">
        <v>0.16889999999999999</v>
      </c>
      <c r="O97" s="319">
        <v>0.1023</v>
      </c>
      <c r="P97" s="319">
        <v>0.29170000000000001</v>
      </c>
      <c r="Q97" s="319">
        <v>6.8000000000000005E-2</v>
      </c>
      <c r="R97" s="319">
        <v>1.89E-2</v>
      </c>
      <c r="S97" s="319">
        <v>0.22009999999999999</v>
      </c>
      <c r="T97" s="319">
        <v>0</v>
      </c>
      <c r="U97" s="319">
        <v>0.63149999999999995</v>
      </c>
      <c r="V97" s="319">
        <v>1.8298000000000001</v>
      </c>
      <c r="W97" s="319">
        <v>0</v>
      </c>
      <c r="X97" s="319">
        <v>0.1348</v>
      </c>
      <c r="Y97" s="319">
        <v>0</v>
      </c>
      <c r="Z97" s="319">
        <v>2.1454</v>
      </c>
      <c r="AA97" s="319">
        <v>0.22220000000000001</v>
      </c>
      <c r="AB97" s="319">
        <v>0.34329999999999999</v>
      </c>
      <c r="AC97" s="319">
        <v>0.1177</v>
      </c>
      <c r="AD97" s="319">
        <v>9.3299999999999994E-2</v>
      </c>
      <c r="AE97" s="319">
        <v>3.6799999999999999E-2</v>
      </c>
      <c r="AF97" s="319">
        <v>5.8200000000000002E-2</v>
      </c>
      <c r="AG97" s="319">
        <v>3.1600000000000003E-2</v>
      </c>
      <c r="AH97" s="319">
        <v>0</v>
      </c>
      <c r="AI97" s="319">
        <v>1.0190999999999999</v>
      </c>
      <c r="AJ97" s="319">
        <v>1.4434</v>
      </c>
      <c r="AK97" s="319">
        <v>8.6300000000000002E-2</v>
      </c>
      <c r="AL97" s="319">
        <v>0.26650000000000001</v>
      </c>
      <c r="AM97" s="319">
        <v>3.8699999999999998E-2</v>
      </c>
      <c r="AN97" s="319">
        <v>6.3E-3</v>
      </c>
      <c r="AO97" s="319">
        <v>0.7288</v>
      </c>
      <c r="AP97" s="319">
        <v>0.55269999999999997</v>
      </c>
      <c r="AQ97" s="319">
        <v>0</v>
      </c>
      <c r="AR97" s="319">
        <v>0.41370000000000001</v>
      </c>
      <c r="AS97" s="319">
        <v>0.53280000000000005</v>
      </c>
      <c r="AT97" s="331">
        <v>0.24079999999999999</v>
      </c>
      <c r="AU97" s="336">
        <v>8.6875000000000018</v>
      </c>
      <c r="AV97" s="329">
        <v>11.189100000000002</v>
      </c>
      <c r="AW97" s="337">
        <v>5.0568000000000026</v>
      </c>
      <c r="AX97" s="334"/>
      <c r="AY97" s="323">
        <v>7.0577000000000005</v>
      </c>
      <c r="AZ97" s="323">
        <v>9.9920000000000009</v>
      </c>
      <c r="BA97" s="323">
        <v>4.2078000000000007</v>
      </c>
      <c r="BB97" s="319"/>
      <c r="BC97" s="321">
        <f t="shared" si="6"/>
        <v>1.230925088909985</v>
      </c>
      <c r="BD97" s="321">
        <f t="shared" si="7"/>
        <v>1.1198058446757406</v>
      </c>
      <c r="BE97" s="321">
        <f t="shared" si="8"/>
        <v>1.2017681448738062</v>
      </c>
      <c r="BG97" s="22">
        <f t="shared" si="9"/>
        <v>0</v>
      </c>
      <c r="BH97" s="22">
        <f t="shared" si="10"/>
        <v>8.3266726846886741E-16</v>
      </c>
      <c r="BI97" s="22">
        <f t="shared" si="11"/>
        <v>1.0547118733938987E-15</v>
      </c>
    </row>
    <row r="98" spans="2:61" x14ac:dyDescent="0.25">
      <c r="B98" s="312">
        <v>91</v>
      </c>
      <c r="C98" s="312" t="s">
        <v>642</v>
      </c>
      <c r="D98" s="312" t="s">
        <v>393</v>
      </c>
      <c r="E98" s="312">
        <v>9</v>
      </c>
      <c r="F98" s="312">
        <v>5</v>
      </c>
      <c r="G98" s="313" t="s">
        <v>217</v>
      </c>
      <c r="H98" s="313"/>
      <c r="I98" s="313">
        <v>9675.2999999999993</v>
      </c>
      <c r="J98" s="312">
        <v>972.79999999999927</v>
      </c>
      <c r="K98" s="312">
        <v>8567.9</v>
      </c>
      <c r="L98" s="312">
        <v>134.6</v>
      </c>
      <c r="M98" s="317"/>
      <c r="N98" s="319">
        <v>0.20519999999999999</v>
      </c>
      <c r="O98" s="319">
        <v>0.10199999999999999</v>
      </c>
      <c r="P98" s="319">
        <v>0.29360000000000003</v>
      </c>
      <c r="Q98" s="319">
        <v>6.3700000000000007E-2</v>
      </c>
      <c r="R98" s="319">
        <v>2.58E-2</v>
      </c>
      <c r="S98" s="319">
        <v>0.29809999999999998</v>
      </c>
      <c r="T98" s="319">
        <v>0</v>
      </c>
      <c r="U98" s="319">
        <v>0.63149999999999995</v>
      </c>
      <c r="V98" s="319">
        <v>2</v>
      </c>
      <c r="W98" s="319">
        <v>0</v>
      </c>
      <c r="X98" s="319">
        <v>0.14630000000000001</v>
      </c>
      <c r="Y98" s="319">
        <v>0</v>
      </c>
      <c r="Z98" s="319">
        <v>2.1583999999999999</v>
      </c>
      <c r="AA98" s="319">
        <v>0.27229999999999999</v>
      </c>
      <c r="AB98" s="319">
        <v>0.36559999999999998</v>
      </c>
      <c r="AC98" s="319">
        <v>0.13339999999999999</v>
      </c>
      <c r="AD98" s="319">
        <v>7.0400000000000004E-2</v>
      </c>
      <c r="AE98" s="319">
        <v>5.0200000000000002E-2</v>
      </c>
      <c r="AF98" s="319">
        <v>8.2699999999999996E-2</v>
      </c>
      <c r="AG98" s="319">
        <v>2.9600000000000001E-2</v>
      </c>
      <c r="AH98" s="319">
        <v>0</v>
      </c>
      <c r="AI98" s="319">
        <v>1.6553</v>
      </c>
      <c r="AJ98" s="319">
        <v>1.4077</v>
      </c>
      <c r="AK98" s="319">
        <v>7.22E-2</v>
      </c>
      <c r="AL98" s="319">
        <v>0.39929999999999999</v>
      </c>
      <c r="AM98" s="319">
        <v>2.86E-2</v>
      </c>
      <c r="AN98" s="319">
        <v>4.5999999999999999E-3</v>
      </c>
      <c r="AO98" s="319">
        <v>0.28749999999999998</v>
      </c>
      <c r="AP98" s="319">
        <v>0.438</v>
      </c>
      <c r="AQ98" s="319">
        <v>0</v>
      </c>
      <c r="AR98" s="319">
        <v>0.43919999999999998</v>
      </c>
      <c r="AS98" s="319">
        <v>0.56110000000000004</v>
      </c>
      <c r="AT98" s="331">
        <v>0.25169999999999998</v>
      </c>
      <c r="AU98" s="336">
        <v>9.2232000000000003</v>
      </c>
      <c r="AV98" s="329">
        <v>11.783100000000001</v>
      </c>
      <c r="AW98" s="337">
        <v>5.2858999999999998</v>
      </c>
      <c r="AX98" s="334"/>
      <c r="AY98" s="323">
        <v>7.2626999999999997</v>
      </c>
      <c r="AZ98" s="323">
        <v>10.2311</v>
      </c>
      <c r="BA98" s="323">
        <v>4.5179</v>
      </c>
      <c r="BB98" s="319"/>
      <c r="BC98" s="321">
        <f t="shared" si="6"/>
        <v>1.2699409310586973</v>
      </c>
      <c r="BD98" s="321">
        <f t="shared" si="7"/>
        <v>1.1516943437167071</v>
      </c>
      <c r="BE98" s="321">
        <f t="shared" si="8"/>
        <v>1.169990482303725</v>
      </c>
      <c r="BG98" s="22">
        <f t="shared" si="9"/>
        <v>4.9960036108132044E-16</v>
      </c>
      <c r="BH98" s="22">
        <f t="shared" si="10"/>
        <v>-1.8873791418627661E-15</v>
      </c>
      <c r="BI98" s="22">
        <f t="shared" si="11"/>
        <v>3.3306690738754696E-16</v>
      </c>
    </row>
    <row r="99" spans="2:61" x14ac:dyDescent="0.25">
      <c r="B99" s="312">
        <v>92</v>
      </c>
      <c r="C99" s="312" t="s">
        <v>644</v>
      </c>
      <c r="D99" s="312" t="s">
        <v>393</v>
      </c>
      <c r="E99" s="312">
        <v>5</v>
      </c>
      <c r="F99" s="312">
        <v>8</v>
      </c>
      <c r="G99" s="313" t="s">
        <v>84</v>
      </c>
      <c r="H99" s="313"/>
      <c r="I99" s="313">
        <v>6738.02</v>
      </c>
      <c r="J99" s="312">
        <v>6734.02</v>
      </c>
      <c r="K99" s="312">
        <v>0</v>
      </c>
      <c r="L99" s="312">
        <v>4</v>
      </c>
      <c r="M99" s="317"/>
      <c r="N99" s="319">
        <v>0.21659999999999999</v>
      </c>
      <c r="O99" s="319">
        <v>0.10929999999999999</v>
      </c>
      <c r="P99" s="319">
        <v>0.33860000000000001</v>
      </c>
      <c r="Q99" s="319">
        <v>0</v>
      </c>
      <c r="R99" s="319">
        <v>0</v>
      </c>
      <c r="S99" s="319">
        <v>0.71140000000000003</v>
      </c>
      <c r="T99" s="319">
        <v>0</v>
      </c>
      <c r="U99" s="319">
        <v>0.62080000000000002</v>
      </c>
      <c r="V99" s="319">
        <v>0</v>
      </c>
      <c r="W99" s="319">
        <v>0</v>
      </c>
      <c r="X99" s="319">
        <v>0.4788</v>
      </c>
      <c r="Y99" s="319">
        <v>0</v>
      </c>
      <c r="Z99" s="319">
        <v>1.9858</v>
      </c>
      <c r="AA99" s="319">
        <v>0.29970000000000002</v>
      </c>
      <c r="AB99" s="319">
        <v>0.37030000000000002</v>
      </c>
      <c r="AC99" s="319">
        <v>9.3100000000000002E-2</v>
      </c>
      <c r="AD99" s="319">
        <v>0</v>
      </c>
      <c r="AE99" s="319">
        <v>0</v>
      </c>
      <c r="AF99" s="319">
        <v>0.2777</v>
      </c>
      <c r="AG99" s="319">
        <v>3.39E-2</v>
      </c>
      <c r="AH99" s="319">
        <v>0</v>
      </c>
      <c r="AI99" s="319">
        <v>1.7058</v>
      </c>
      <c r="AJ99" s="319">
        <v>0.91849999999999998</v>
      </c>
      <c r="AK99" s="319">
        <v>9.1600000000000001E-2</v>
      </c>
      <c r="AL99" s="319">
        <v>0.56230000000000002</v>
      </c>
      <c r="AM99" s="319">
        <v>5.0200000000000002E-2</v>
      </c>
      <c r="AN99" s="319">
        <v>8.0999999999999996E-3</v>
      </c>
      <c r="AO99" s="319">
        <v>0.2306</v>
      </c>
      <c r="AP99" s="319">
        <v>0</v>
      </c>
      <c r="AQ99" s="319">
        <v>0</v>
      </c>
      <c r="AR99" s="319">
        <v>0.45519999999999999</v>
      </c>
      <c r="AS99" s="319">
        <v>0.45519999999999999</v>
      </c>
      <c r="AT99" s="331">
        <v>0.2843</v>
      </c>
      <c r="AU99" s="336">
        <v>9.5583000000000027</v>
      </c>
      <c r="AV99" s="329">
        <v>9.5583000000000027</v>
      </c>
      <c r="AW99" s="337">
        <v>5.9702000000000019</v>
      </c>
      <c r="AX99" s="334"/>
      <c r="AY99" s="323">
        <v>7.5601000000000003</v>
      </c>
      <c r="AZ99" s="323">
        <v>7.5601000000000003</v>
      </c>
      <c r="BA99" s="323">
        <v>5.0677999999999992</v>
      </c>
      <c r="BB99" s="319"/>
      <c r="BC99" s="321">
        <f t="shared" si="6"/>
        <v>1.2643086731656992</v>
      </c>
      <c r="BD99" s="321">
        <f t="shared" si="7"/>
        <v>1.2643086731656992</v>
      </c>
      <c r="BE99" s="321">
        <f t="shared" si="8"/>
        <v>1.1780654327321527</v>
      </c>
      <c r="BG99" s="22">
        <f t="shared" si="9"/>
        <v>5.0515147620444623E-15</v>
      </c>
      <c r="BH99" s="22">
        <f t="shared" si="10"/>
        <v>9.7144514654701197E-16</v>
      </c>
      <c r="BI99" s="22">
        <f t="shared" si="11"/>
        <v>1.8596235662471372E-15</v>
      </c>
    </row>
    <row r="100" spans="2:61" x14ac:dyDescent="0.25">
      <c r="B100" s="312">
        <v>93</v>
      </c>
      <c r="C100" s="312" t="s">
        <v>646</v>
      </c>
      <c r="D100" s="312" t="s">
        <v>393</v>
      </c>
      <c r="E100" s="312">
        <v>5</v>
      </c>
      <c r="F100" s="312">
        <v>5</v>
      </c>
      <c r="G100" s="313" t="s">
        <v>85</v>
      </c>
      <c r="H100" s="313"/>
      <c r="I100" s="313">
        <v>4748.03</v>
      </c>
      <c r="J100" s="312">
        <v>4748.03</v>
      </c>
      <c r="K100" s="312">
        <v>0</v>
      </c>
      <c r="L100" s="312">
        <v>0</v>
      </c>
      <c r="M100" s="317"/>
      <c r="N100" s="319">
        <v>0.1641</v>
      </c>
      <c r="O100" s="319">
        <v>9.9099999999999994E-2</v>
      </c>
      <c r="P100" s="319">
        <v>0.33379999999999999</v>
      </c>
      <c r="Q100" s="319">
        <v>0</v>
      </c>
      <c r="R100" s="319">
        <v>1.6799999999999999E-2</v>
      </c>
      <c r="S100" s="319">
        <v>0.2797</v>
      </c>
      <c r="T100" s="319">
        <v>0</v>
      </c>
      <c r="U100" s="319">
        <v>0.62080000000000002</v>
      </c>
      <c r="V100" s="319">
        <v>0</v>
      </c>
      <c r="W100" s="319">
        <v>0</v>
      </c>
      <c r="X100" s="319">
        <v>0.74939999999999996</v>
      </c>
      <c r="Y100" s="319">
        <v>0</v>
      </c>
      <c r="Z100" s="319">
        <v>1.9065000000000001</v>
      </c>
      <c r="AA100" s="319">
        <v>0.2225</v>
      </c>
      <c r="AB100" s="319">
        <v>0.35149999999999998</v>
      </c>
      <c r="AC100" s="319">
        <v>9.5600000000000004E-2</v>
      </c>
      <c r="AD100" s="319">
        <v>0</v>
      </c>
      <c r="AE100" s="319">
        <v>3.27E-2</v>
      </c>
      <c r="AF100" s="319">
        <v>0.1042</v>
      </c>
      <c r="AG100" s="319">
        <v>5.0099999999999999E-2</v>
      </c>
      <c r="AH100" s="319">
        <v>0</v>
      </c>
      <c r="AI100" s="319">
        <v>2.6598999999999999</v>
      </c>
      <c r="AJ100" s="319">
        <v>1.5610999999999999</v>
      </c>
      <c r="AK100" s="319">
        <v>0.11020000000000001</v>
      </c>
      <c r="AL100" s="319">
        <v>0.45250000000000001</v>
      </c>
      <c r="AM100" s="319">
        <v>5.21E-2</v>
      </c>
      <c r="AN100" s="319">
        <v>8.5000000000000006E-3</v>
      </c>
      <c r="AO100" s="319">
        <v>0.87209999999999999</v>
      </c>
      <c r="AP100" s="319">
        <v>0</v>
      </c>
      <c r="AQ100" s="319">
        <v>0</v>
      </c>
      <c r="AR100" s="319">
        <v>0.53720000000000001</v>
      </c>
      <c r="AS100" s="319">
        <v>0.53720000000000001</v>
      </c>
      <c r="AT100" s="331">
        <v>0.25990000000000002</v>
      </c>
      <c r="AU100" s="336">
        <v>11.2804</v>
      </c>
      <c r="AV100" s="329">
        <v>11.2804</v>
      </c>
      <c r="AW100" s="337">
        <v>5.4574999999999996</v>
      </c>
      <c r="AX100" s="334"/>
      <c r="AY100" s="323">
        <v>8.8826999999999998</v>
      </c>
      <c r="AZ100" s="323">
        <v>8.8826999999999998</v>
      </c>
      <c r="BA100" s="323">
        <v>4.7101000000000006</v>
      </c>
      <c r="BB100" s="319"/>
      <c r="BC100" s="321">
        <f t="shared" si="6"/>
        <v>1.2699291881972825</v>
      </c>
      <c r="BD100" s="321">
        <f t="shared" si="7"/>
        <v>1.2699291881972825</v>
      </c>
      <c r="BE100" s="321">
        <f t="shared" si="8"/>
        <v>1.1586802827965434</v>
      </c>
      <c r="BG100" s="22">
        <f t="shared" si="9"/>
        <v>2.2204460492503131E-15</v>
      </c>
      <c r="BH100" s="22">
        <f t="shared" si="10"/>
        <v>0</v>
      </c>
      <c r="BI100" s="22">
        <f t="shared" si="11"/>
        <v>0</v>
      </c>
    </row>
    <row r="101" spans="2:61" x14ac:dyDescent="0.25">
      <c r="B101" s="312">
        <v>94</v>
      </c>
      <c r="C101" s="312" t="s">
        <v>648</v>
      </c>
      <c r="D101" s="312" t="s">
        <v>393</v>
      </c>
      <c r="E101" s="312">
        <v>5</v>
      </c>
      <c r="F101" s="312">
        <v>4</v>
      </c>
      <c r="G101" s="313" t="s">
        <v>86</v>
      </c>
      <c r="H101" s="313"/>
      <c r="I101" s="313">
        <v>2891.9</v>
      </c>
      <c r="J101" s="312">
        <v>2891.9</v>
      </c>
      <c r="K101" s="312">
        <v>0</v>
      </c>
      <c r="L101" s="312">
        <v>0</v>
      </c>
      <c r="M101" s="317"/>
      <c r="N101" s="319">
        <v>0.15890000000000001</v>
      </c>
      <c r="O101" s="319">
        <v>8.8099999999999998E-2</v>
      </c>
      <c r="P101" s="319">
        <v>0.3261</v>
      </c>
      <c r="Q101" s="319">
        <v>7.4700000000000003E-2</v>
      </c>
      <c r="R101" s="319">
        <v>2.76E-2</v>
      </c>
      <c r="S101" s="319">
        <v>0.47560000000000002</v>
      </c>
      <c r="T101" s="319">
        <v>0</v>
      </c>
      <c r="U101" s="319">
        <v>0.63149999999999995</v>
      </c>
      <c r="V101" s="319">
        <v>0</v>
      </c>
      <c r="W101" s="319">
        <v>0</v>
      </c>
      <c r="X101" s="319">
        <v>0.1641</v>
      </c>
      <c r="Y101" s="319">
        <v>0</v>
      </c>
      <c r="Z101" s="319">
        <v>1.6325000000000001</v>
      </c>
      <c r="AA101" s="319">
        <v>0.21060000000000001</v>
      </c>
      <c r="AB101" s="319">
        <v>0.31240000000000001</v>
      </c>
      <c r="AC101" s="319">
        <v>8.8300000000000003E-2</v>
      </c>
      <c r="AD101" s="319">
        <v>0.1081</v>
      </c>
      <c r="AE101" s="319">
        <v>5.3699999999999998E-2</v>
      </c>
      <c r="AF101" s="319">
        <v>0.16400000000000001</v>
      </c>
      <c r="AG101" s="319">
        <v>3.27E-2</v>
      </c>
      <c r="AH101" s="319">
        <v>0</v>
      </c>
      <c r="AI101" s="319">
        <v>2.7258</v>
      </c>
      <c r="AJ101" s="319">
        <v>1.2628999999999999</v>
      </c>
      <c r="AK101" s="319">
        <v>9.0899999999999995E-2</v>
      </c>
      <c r="AL101" s="319">
        <v>0.59319999999999995</v>
      </c>
      <c r="AM101" s="319">
        <v>5.5399999999999998E-2</v>
      </c>
      <c r="AN101" s="319">
        <v>8.9999999999999993E-3</v>
      </c>
      <c r="AO101" s="319">
        <v>0.20219999999999999</v>
      </c>
      <c r="AP101" s="319">
        <v>0</v>
      </c>
      <c r="AQ101" s="319">
        <v>0</v>
      </c>
      <c r="AR101" s="319">
        <v>0.47439999999999999</v>
      </c>
      <c r="AS101" s="319">
        <v>0.47439999999999999</v>
      </c>
      <c r="AT101" s="331">
        <v>0.23519999999999999</v>
      </c>
      <c r="AU101" s="336">
        <v>9.9626999999999981</v>
      </c>
      <c r="AV101" s="329">
        <v>9.9626999999999981</v>
      </c>
      <c r="AW101" s="337">
        <v>4.9394</v>
      </c>
      <c r="AX101" s="334"/>
      <c r="AY101" s="323">
        <v>7.8451000000000004</v>
      </c>
      <c r="AZ101" s="323">
        <v>7.8451000000000004</v>
      </c>
      <c r="BA101" s="323">
        <v>4.4393000000000011</v>
      </c>
      <c r="BB101" s="319"/>
      <c r="BC101" s="321">
        <f t="shared" si="6"/>
        <v>1.2699264509056605</v>
      </c>
      <c r="BD101" s="321">
        <f t="shared" si="7"/>
        <v>1.2699264509056605</v>
      </c>
      <c r="BE101" s="321">
        <f t="shared" si="8"/>
        <v>1.1126528957268036</v>
      </c>
      <c r="BG101" s="22">
        <f t="shared" si="9"/>
        <v>-1.4432899320127035E-15</v>
      </c>
      <c r="BH101" s="22">
        <f t="shared" si="10"/>
        <v>-8.6042284408449632E-16</v>
      </c>
      <c r="BI101" s="22">
        <f t="shared" si="11"/>
        <v>-8.6042284408449632E-16</v>
      </c>
    </row>
    <row r="102" spans="2:61" x14ac:dyDescent="0.25">
      <c r="B102" s="312">
        <v>95</v>
      </c>
      <c r="C102" s="312" t="s">
        <v>650</v>
      </c>
      <c r="D102" s="312" t="s">
        <v>393</v>
      </c>
      <c r="E102" s="312">
        <v>5</v>
      </c>
      <c r="F102" s="312">
        <v>6</v>
      </c>
      <c r="G102" s="313" t="s">
        <v>87</v>
      </c>
      <c r="H102" s="313"/>
      <c r="I102" s="313">
        <v>4480.54</v>
      </c>
      <c r="J102" s="312">
        <v>4480.54</v>
      </c>
      <c r="K102" s="312">
        <v>0</v>
      </c>
      <c r="L102" s="312">
        <v>0</v>
      </c>
      <c r="M102" s="317"/>
      <c r="N102" s="319">
        <v>0.1515</v>
      </c>
      <c r="O102" s="319">
        <v>8.4500000000000006E-2</v>
      </c>
      <c r="P102" s="319">
        <v>0.33029999999999998</v>
      </c>
      <c r="Q102" s="319">
        <v>0</v>
      </c>
      <c r="R102" s="319">
        <v>3.1199999999999999E-2</v>
      </c>
      <c r="S102" s="319">
        <v>0.5847</v>
      </c>
      <c r="T102" s="319">
        <v>0</v>
      </c>
      <c r="U102" s="319">
        <v>0.62080000000000002</v>
      </c>
      <c r="V102" s="319">
        <v>0</v>
      </c>
      <c r="W102" s="319">
        <v>0</v>
      </c>
      <c r="X102" s="319">
        <v>0.28589999999999999</v>
      </c>
      <c r="Y102" s="319">
        <v>0</v>
      </c>
      <c r="Z102" s="319">
        <v>2.1415999999999999</v>
      </c>
      <c r="AA102" s="319">
        <v>0.2044</v>
      </c>
      <c r="AB102" s="319">
        <v>0.29949999999999999</v>
      </c>
      <c r="AC102" s="319">
        <v>9.1200000000000003E-2</v>
      </c>
      <c r="AD102" s="319">
        <v>0</v>
      </c>
      <c r="AE102" s="319">
        <v>6.0699999999999997E-2</v>
      </c>
      <c r="AF102" s="319">
        <v>0.2203</v>
      </c>
      <c r="AG102" s="319">
        <v>3.2199999999999999E-2</v>
      </c>
      <c r="AH102" s="319">
        <v>0</v>
      </c>
      <c r="AI102" s="319">
        <v>2.7978000000000001</v>
      </c>
      <c r="AJ102" s="319">
        <v>1.0450999999999999</v>
      </c>
      <c r="AK102" s="319">
        <v>8.5599999999999996E-2</v>
      </c>
      <c r="AL102" s="319">
        <v>0.60550000000000004</v>
      </c>
      <c r="AM102" s="319">
        <v>4.9599999999999998E-2</v>
      </c>
      <c r="AN102" s="319">
        <v>8.0999999999999996E-3</v>
      </c>
      <c r="AO102" s="319">
        <v>0.2079</v>
      </c>
      <c r="AP102" s="319">
        <v>0</v>
      </c>
      <c r="AQ102" s="319">
        <v>0</v>
      </c>
      <c r="AR102" s="319">
        <v>0.49690000000000001</v>
      </c>
      <c r="AS102" s="319">
        <v>0.49690000000000001</v>
      </c>
      <c r="AT102" s="331">
        <v>0.2641</v>
      </c>
      <c r="AU102" s="336">
        <v>10.435299999999998</v>
      </c>
      <c r="AV102" s="329">
        <v>10.435299999999998</v>
      </c>
      <c r="AW102" s="337">
        <v>5.546199999999998</v>
      </c>
      <c r="AX102" s="334"/>
      <c r="AY102" s="323">
        <v>8.2173999999999996</v>
      </c>
      <c r="AZ102" s="323">
        <v>8.2173999999999996</v>
      </c>
      <c r="BA102" s="323">
        <v>4.8747999999999987</v>
      </c>
      <c r="BB102" s="319"/>
      <c r="BC102" s="321">
        <f t="shared" si="6"/>
        <v>1.2699028889916517</v>
      </c>
      <c r="BD102" s="321">
        <f t="shared" si="7"/>
        <v>1.2699028889916517</v>
      </c>
      <c r="BE102" s="321">
        <f t="shared" si="8"/>
        <v>1.1377287273324033</v>
      </c>
      <c r="BG102" s="22">
        <f t="shared" si="9"/>
        <v>-1.6653345369377348E-15</v>
      </c>
      <c r="BH102" s="22">
        <f t="shared" si="10"/>
        <v>-7.4940054162198066E-16</v>
      </c>
      <c r="BI102" s="22">
        <f t="shared" si="11"/>
        <v>-7.4940054162198066E-16</v>
      </c>
    </row>
    <row r="103" spans="2:61" x14ac:dyDescent="0.25">
      <c r="B103" s="312">
        <v>96</v>
      </c>
      <c r="C103" s="312" t="s">
        <v>652</v>
      </c>
      <c r="D103" s="312" t="s">
        <v>393</v>
      </c>
      <c r="E103" s="312">
        <v>5</v>
      </c>
      <c r="F103" s="312">
        <v>4</v>
      </c>
      <c r="G103" s="313" t="s">
        <v>88</v>
      </c>
      <c r="H103" s="313"/>
      <c r="I103" s="313">
        <v>2737.1</v>
      </c>
      <c r="J103" s="312">
        <v>2677.1</v>
      </c>
      <c r="K103" s="312">
        <v>0</v>
      </c>
      <c r="L103" s="312">
        <v>60</v>
      </c>
      <c r="M103" s="317"/>
      <c r="N103" s="319">
        <v>0.1653</v>
      </c>
      <c r="O103" s="319">
        <v>9.3100000000000002E-2</v>
      </c>
      <c r="P103" s="319">
        <v>0.3246</v>
      </c>
      <c r="Q103" s="319">
        <v>7.4099999999999999E-2</v>
      </c>
      <c r="R103" s="319">
        <v>3.0700000000000002E-2</v>
      </c>
      <c r="S103" s="319">
        <v>0.48559999999999998</v>
      </c>
      <c r="T103" s="319">
        <v>0</v>
      </c>
      <c r="U103" s="319">
        <v>0.63149999999999995</v>
      </c>
      <c r="V103" s="319">
        <v>0</v>
      </c>
      <c r="W103" s="319">
        <v>0</v>
      </c>
      <c r="X103" s="319">
        <v>0.17330000000000001</v>
      </c>
      <c r="Y103" s="319">
        <v>0</v>
      </c>
      <c r="Z103" s="319">
        <v>2.5390999999999999</v>
      </c>
      <c r="AA103" s="319">
        <v>0.22459999999999999</v>
      </c>
      <c r="AB103" s="319">
        <v>0.33929999999999999</v>
      </c>
      <c r="AC103" s="319">
        <v>8.7599999999999997E-2</v>
      </c>
      <c r="AD103" s="319">
        <v>0.1021</v>
      </c>
      <c r="AE103" s="319">
        <v>5.96E-2</v>
      </c>
      <c r="AF103" s="319">
        <v>0.1734</v>
      </c>
      <c r="AG103" s="319">
        <v>3.3700000000000001E-2</v>
      </c>
      <c r="AH103" s="319">
        <v>0</v>
      </c>
      <c r="AI103" s="319">
        <v>1.7231000000000001</v>
      </c>
      <c r="AJ103" s="319">
        <v>1.1539999999999999</v>
      </c>
      <c r="AK103" s="319">
        <v>9.2700000000000005E-2</v>
      </c>
      <c r="AL103" s="319">
        <v>0.61250000000000004</v>
      </c>
      <c r="AM103" s="319">
        <v>5.8500000000000003E-2</v>
      </c>
      <c r="AN103" s="319">
        <v>9.4999999999999998E-3</v>
      </c>
      <c r="AO103" s="319">
        <v>0.33829999999999999</v>
      </c>
      <c r="AP103" s="319">
        <v>0</v>
      </c>
      <c r="AQ103" s="319">
        <v>0</v>
      </c>
      <c r="AR103" s="319">
        <v>0.4763</v>
      </c>
      <c r="AS103" s="319">
        <v>0.4763</v>
      </c>
      <c r="AT103" s="331">
        <v>0.28489999999999999</v>
      </c>
      <c r="AU103" s="336">
        <v>10.0025</v>
      </c>
      <c r="AV103" s="329">
        <v>10.0025</v>
      </c>
      <c r="AW103" s="337">
        <v>5.9831999999999983</v>
      </c>
      <c r="AX103" s="334"/>
      <c r="AY103" s="323">
        <v>7.8763999999999994</v>
      </c>
      <c r="AZ103" s="323">
        <v>7.8763999999999994</v>
      </c>
      <c r="BA103" s="323">
        <v>4.9275000000000002</v>
      </c>
      <c r="BB103" s="319"/>
      <c r="BC103" s="321">
        <f t="shared" si="6"/>
        <v>1.2699329642984105</v>
      </c>
      <c r="BD103" s="321">
        <f t="shared" si="7"/>
        <v>1.2699329642984105</v>
      </c>
      <c r="BE103" s="321">
        <f t="shared" si="8"/>
        <v>1.2142465753424654</v>
      </c>
      <c r="BG103" s="22">
        <f t="shared" si="9"/>
        <v>3.6637359812630166E-15</v>
      </c>
      <c r="BH103" s="22">
        <f t="shared" si="10"/>
        <v>-1.1657341758564144E-15</v>
      </c>
      <c r="BI103" s="22">
        <f t="shared" si="11"/>
        <v>-1.1657341758564144E-15</v>
      </c>
    </row>
    <row r="104" spans="2:61" x14ac:dyDescent="0.25">
      <c r="B104" s="312">
        <v>97</v>
      </c>
      <c r="C104" s="312" t="s">
        <v>654</v>
      </c>
      <c r="D104" s="312" t="s">
        <v>393</v>
      </c>
      <c r="E104" s="312">
        <v>5</v>
      </c>
      <c r="F104" s="312">
        <v>4</v>
      </c>
      <c r="G104" s="313" t="s">
        <v>89</v>
      </c>
      <c r="H104" s="313"/>
      <c r="I104" s="313">
        <v>2781.8</v>
      </c>
      <c r="J104" s="312">
        <v>2781.8</v>
      </c>
      <c r="K104" s="312">
        <v>0</v>
      </c>
      <c r="L104" s="312">
        <v>0</v>
      </c>
      <c r="M104" s="317"/>
      <c r="N104" s="319">
        <v>0.16520000000000001</v>
      </c>
      <c r="O104" s="319">
        <v>9.1600000000000001E-2</v>
      </c>
      <c r="P104" s="319">
        <v>0.32450000000000001</v>
      </c>
      <c r="Q104" s="319">
        <v>7.4099999999999999E-2</v>
      </c>
      <c r="R104" s="319">
        <v>2.87E-2</v>
      </c>
      <c r="S104" s="319">
        <v>0.4945</v>
      </c>
      <c r="T104" s="319">
        <v>0</v>
      </c>
      <c r="U104" s="319">
        <v>0.63149999999999995</v>
      </c>
      <c r="V104" s="319">
        <v>0</v>
      </c>
      <c r="W104" s="319">
        <v>0</v>
      </c>
      <c r="X104" s="319">
        <v>0.1706</v>
      </c>
      <c r="Y104" s="319">
        <v>0</v>
      </c>
      <c r="Z104" s="319">
        <v>1.7276</v>
      </c>
      <c r="AA104" s="319">
        <v>0.219</v>
      </c>
      <c r="AB104" s="319">
        <v>0.32469999999999999</v>
      </c>
      <c r="AC104" s="319">
        <v>8.8200000000000001E-2</v>
      </c>
      <c r="AD104" s="319">
        <v>0.1024</v>
      </c>
      <c r="AE104" s="319">
        <v>5.5899999999999998E-2</v>
      </c>
      <c r="AF104" s="319">
        <v>0.17050000000000001</v>
      </c>
      <c r="AG104" s="319">
        <v>3.3399999999999999E-2</v>
      </c>
      <c r="AH104" s="319">
        <v>0</v>
      </c>
      <c r="AI104" s="319">
        <v>2.5992000000000002</v>
      </c>
      <c r="AJ104" s="319">
        <v>1.1356999999999999</v>
      </c>
      <c r="AK104" s="319">
        <v>9.1399999999999995E-2</v>
      </c>
      <c r="AL104" s="319">
        <v>0.63590000000000002</v>
      </c>
      <c r="AM104" s="319">
        <v>5.7700000000000001E-2</v>
      </c>
      <c r="AN104" s="319">
        <v>9.4000000000000004E-3</v>
      </c>
      <c r="AO104" s="319">
        <v>0.31630000000000003</v>
      </c>
      <c r="AP104" s="319">
        <v>0</v>
      </c>
      <c r="AQ104" s="319">
        <v>0</v>
      </c>
      <c r="AR104" s="319">
        <v>0.47739999999999999</v>
      </c>
      <c r="AS104" s="319">
        <v>0.47739999999999999</v>
      </c>
      <c r="AT104" s="331">
        <v>0.24299999999999999</v>
      </c>
      <c r="AU104" s="336">
        <v>10.025399999999999</v>
      </c>
      <c r="AV104" s="329">
        <v>10.025399999999999</v>
      </c>
      <c r="AW104" s="337">
        <v>5.1039000000000012</v>
      </c>
      <c r="AX104" s="334"/>
      <c r="AY104" s="323">
        <v>7.8945999999999987</v>
      </c>
      <c r="AZ104" s="323">
        <v>7.8945999999999987</v>
      </c>
      <c r="BA104" s="323">
        <v>4.3908999999999994</v>
      </c>
      <c r="BB104" s="319"/>
      <c r="BC104" s="321">
        <f t="shared" si="6"/>
        <v>1.2699060117042029</v>
      </c>
      <c r="BD104" s="321">
        <f t="shared" si="7"/>
        <v>1.2699060117042029</v>
      </c>
      <c r="BE104" s="321">
        <f t="shared" si="8"/>
        <v>1.1623812885740969</v>
      </c>
      <c r="BG104" s="22">
        <f t="shared" si="9"/>
        <v>-1.3877787807814457E-15</v>
      </c>
      <c r="BH104" s="22">
        <f t="shared" si="10"/>
        <v>7.7715611723760958E-16</v>
      </c>
      <c r="BI104" s="22">
        <f t="shared" si="11"/>
        <v>7.7715611723760958E-16</v>
      </c>
    </row>
    <row r="105" spans="2:61" x14ac:dyDescent="0.25">
      <c r="B105" s="312">
        <v>98</v>
      </c>
      <c r="C105" s="312" t="s">
        <v>656</v>
      </c>
      <c r="D105" s="312" t="s">
        <v>393</v>
      </c>
      <c r="E105" s="312">
        <v>5</v>
      </c>
      <c r="F105" s="312">
        <v>4</v>
      </c>
      <c r="G105" s="313" t="s">
        <v>90</v>
      </c>
      <c r="H105" s="313"/>
      <c r="I105" s="313">
        <v>2776.2</v>
      </c>
      <c r="J105" s="312">
        <v>2776.2</v>
      </c>
      <c r="K105" s="312">
        <v>0</v>
      </c>
      <c r="L105" s="312">
        <v>0</v>
      </c>
      <c r="M105" s="317"/>
      <c r="N105" s="319">
        <v>0.16550000000000001</v>
      </c>
      <c r="O105" s="319">
        <v>9.1800000000000007E-2</v>
      </c>
      <c r="P105" s="319">
        <v>0.32519999999999999</v>
      </c>
      <c r="Q105" s="319">
        <v>7.4300000000000005E-2</v>
      </c>
      <c r="R105" s="319">
        <v>3.09E-2</v>
      </c>
      <c r="S105" s="319">
        <v>0.4955</v>
      </c>
      <c r="T105" s="319">
        <v>0</v>
      </c>
      <c r="U105" s="319">
        <v>0.63149999999999995</v>
      </c>
      <c r="V105" s="319">
        <v>0</v>
      </c>
      <c r="W105" s="319">
        <v>0</v>
      </c>
      <c r="X105" s="319">
        <v>0.1709</v>
      </c>
      <c r="Y105" s="319">
        <v>0</v>
      </c>
      <c r="Z105" s="319">
        <v>1.8931</v>
      </c>
      <c r="AA105" s="319">
        <v>0.21940000000000001</v>
      </c>
      <c r="AB105" s="319">
        <v>0.32540000000000002</v>
      </c>
      <c r="AC105" s="319">
        <v>8.8400000000000006E-2</v>
      </c>
      <c r="AD105" s="319">
        <v>0.1026</v>
      </c>
      <c r="AE105" s="319">
        <v>6.0199999999999997E-2</v>
      </c>
      <c r="AF105" s="319">
        <v>0.17080000000000001</v>
      </c>
      <c r="AG105" s="319">
        <v>3.3399999999999999E-2</v>
      </c>
      <c r="AH105" s="319">
        <v>0</v>
      </c>
      <c r="AI105" s="319">
        <v>2.6183000000000001</v>
      </c>
      <c r="AJ105" s="319">
        <v>1.1379999999999999</v>
      </c>
      <c r="AK105" s="319">
        <v>9.1899999999999996E-2</v>
      </c>
      <c r="AL105" s="319">
        <v>0.62519999999999998</v>
      </c>
      <c r="AM105" s="319">
        <v>5.8000000000000003E-2</v>
      </c>
      <c r="AN105" s="319">
        <v>9.4000000000000004E-3</v>
      </c>
      <c r="AO105" s="319">
        <v>0.28520000000000001</v>
      </c>
      <c r="AP105" s="319">
        <v>0</v>
      </c>
      <c r="AQ105" s="319">
        <v>0</v>
      </c>
      <c r="AR105" s="319">
        <v>0.48520000000000002</v>
      </c>
      <c r="AS105" s="319">
        <v>0.48520000000000002</v>
      </c>
      <c r="AT105" s="331">
        <v>0.25190000000000001</v>
      </c>
      <c r="AU105" s="336">
        <v>10.190100000000001</v>
      </c>
      <c r="AV105" s="329">
        <v>10.190100000000001</v>
      </c>
      <c r="AW105" s="337">
        <v>5.2901000000000016</v>
      </c>
      <c r="AX105" s="334"/>
      <c r="AY105" s="323">
        <v>8.0242000000000004</v>
      </c>
      <c r="AZ105" s="323">
        <v>8.0242000000000004</v>
      </c>
      <c r="BA105" s="323">
        <v>4.6300000000000008</v>
      </c>
      <c r="BB105" s="319"/>
      <c r="BC105" s="321">
        <f t="shared" si="6"/>
        <v>1.2699209890082501</v>
      </c>
      <c r="BD105" s="321">
        <f t="shared" si="7"/>
        <v>1.2699209890082501</v>
      </c>
      <c r="BE105" s="321">
        <f t="shared" si="8"/>
        <v>1.1425701943844493</v>
      </c>
      <c r="BG105" s="22">
        <f t="shared" si="9"/>
        <v>2.0539125955565396E-15</v>
      </c>
      <c r="BH105" s="22">
        <f t="shared" si="10"/>
        <v>1.4710455076283324E-15</v>
      </c>
      <c r="BI105" s="22">
        <f t="shared" si="11"/>
        <v>1.4710455076283324E-15</v>
      </c>
    </row>
    <row r="106" spans="2:61" x14ac:dyDescent="0.25">
      <c r="B106" s="312">
        <v>99</v>
      </c>
      <c r="C106" s="312" t="s">
        <v>658</v>
      </c>
      <c r="D106" s="312" t="s">
        <v>393</v>
      </c>
      <c r="E106" s="312">
        <v>5</v>
      </c>
      <c r="F106" s="312">
        <v>4</v>
      </c>
      <c r="G106" s="313" t="s">
        <v>91</v>
      </c>
      <c r="H106" s="313"/>
      <c r="I106" s="313">
        <v>2756.5</v>
      </c>
      <c r="J106" s="312">
        <v>2756.5</v>
      </c>
      <c r="K106" s="312">
        <v>0</v>
      </c>
      <c r="L106" s="312">
        <v>0</v>
      </c>
      <c r="M106" s="317"/>
      <c r="N106" s="319">
        <v>0.16669999999999999</v>
      </c>
      <c r="O106" s="319">
        <v>9.2399999999999996E-2</v>
      </c>
      <c r="P106" s="319">
        <v>0.32390000000000002</v>
      </c>
      <c r="Q106" s="319">
        <v>7.4200000000000002E-2</v>
      </c>
      <c r="R106" s="319">
        <v>2.9000000000000001E-2</v>
      </c>
      <c r="S106" s="319">
        <v>0.499</v>
      </c>
      <c r="T106" s="319">
        <v>0</v>
      </c>
      <c r="U106" s="319">
        <v>0.63149999999999995</v>
      </c>
      <c r="V106" s="319">
        <v>0</v>
      </c>
      <c r="W106" s="319">
        <v>0</v>
      </c>
      <c r="X106" s="319">
        <v>0.1721</v>
      </c>
      <c r="Y106" s="319">
        <v>0</v>
      </c>
      <c r="Z106" s="319">
        <v>1.7186999999999999</v>
      </c>
      <c r="AA106" s="319">
        <v>0.221</v>
      </c>
      <c r="AB106" s="319">
        <v>0.32769999999999999</v>
      </c>
      <c r="AC106" s="319">
        <v>8.7999999999999995E-2</v>
      </c>
      <c r="AD106" s="319">
        <v>0.1032</v>
      </c>
      <c r="AE106" s="319">
        <v>5.6399999999999999E-2</v>
      </c>
      <c r="AF106" s="319">
        <v>0.17199999999999999</v>
      </c>
      <c r="AG106" s="319">
        <v>3.3599999999999998E-2</v>
      </c>
      <c r="AH106" s="319">
        <v>0</v>
      </c>
      <c r="AI106" s="319">
        <v>2.7185000000000001</v>
      </c>
      <c r="AJ106" s="319">
        <v>1.1460999999999999</v>
      </c>
      <c r="AK106" s="319">
        <v>9.2499999999999999E-2</v>
      </c>
      <c r="AL106" s="319">
        <v>0.622</v>
      </c>
      <c r="AM106" s="319">
        <v>5.8400000000000001E-2</v>
      </c>
      <c r="AN106" s="319">
        <v>9.4999999999999998E-3</v>
      </c>
      <c r="AO106" s="319">
        <v>0.2122</v>
      </c>
      <c r="AP106" s="319">
        <v>0</v>
      </c>
      <c r="AQ106" s="319">
        <v>0</v>
      </c>
      <c r="AR106" s="319">
        <v>0.47839999999999999</v>
      </c>
      <c r="AS106" s="319">
        <v>0.47839999999999999</v>
      </c>
      <c r="AT106" s="331">
        <v>0.24349999999999999</v>
      </c>
      <c r="AU106" s="336">
        <v>10.046999999999999</v>
      </c>
      <c r="AV106" s="329">
        <v>10.046999999999999</v>
      </c>
      <c r="AW106" s="337">
        <v>5.1132999999999997</v>
      </c>
      <c r="AX106" s="334"/>
      <c r="AY106" s="323">
        <v>7.9114999999999984</v>
      </c>
      <c r="AZ106" s="323">
        <v>7.9114999999999984</v>
      </c>
      <c r="BA106" s="323">
        <v>4.512999999999999</v>
      </c>
      <c r="BB106" s="319"/>
      <c r="BC106" s="321">
        <f t="shared" si="6"/>
        <v>1.2699235290400051</v>
      </c>
      <c r="BD106" s="321">
        <f t="shared" si="7"/>
        <v>1.2699235290400051</v>
      </c>
      <c r="BE106" s="321">
        <f t="shared" si="8"/>
        <v>1.1330157323288281</v>
      </c>
      <c r="BG106" s="22">
        <f t="shared" si="9"/>
        <v>-7.7715611723760958E-16</v>
      </c>
      <c r="BH106" s="22">
        <f t="shared" si="10"/>
        <v>6.3837823915946501E-16</v>
      </c>
      <c r="BI106" s="22">
        <f t="shared" si="11"/>
        <v>-2.4980018054066022E-16</v>
      </c>
    </row>
    <row r="107" spans="2:61" x14ac:dyDescent="0.25">
      <c r="B107" s="312">
        <v>100</v>
      </c>
      <c r="C107" s="312" t="s">
        <v>660</v>
      </c>
      <c r="D107" s="312" t="s">
        <v>393</v>
      </c>
      <c r="E107" s="312">
        <v>9</v>
      </c>
      <c r="F107" s="312">
        <v>1</v>
      </c>
      <c r="G107" s="313" t="s">
        <v>218</v>
      </c>
      <c r="H107" s="313"/>
      <c r="I107" s="313">
        <v>2065.02</v>
      </c>
      <c r="J107" s="312">
        <v>49.200000000000045</v>
      </c>
      <c r="K107" s="312">
        <v>1829.52</v>
      </c>
      <c r="L107" s="312">
        <v>186.3</v>
      </c>
      <c r="M107" s="317"/>
      <c r="N107" s="319">
        <v>0.17599999999999999</v>
      </c>
      <c r="O107" s="319">
        <v>0.1134</v>
      </c>
      <c r="P107" s="319">
        <v>0.28170000000000001</v>
      </c>
      <c r="Q107" s="319">
        <v>6.5699999999999995E-2</v>
      </c>
      <c r="R107" s="319">
        <v>2.1299999999999999E-2</v>
      </c>
      <c r="S107" s="319">
        <v>0.2278</v>
      </c>
      <c r="T107" s="319">
        <v>0</v>
      </c>
      <c r="U107" s="319">
        <v>0.63149999999999995</v>
      </c>
      <c r="V107" s="319">
        <v>1.8732</v>
      </c>
      <c r="W107" s="319">
        <v>0</v>
      </c>
      <c r="X107" s="319">
        <v>0.13400000000000001</v>
      </c>
      <c r="Y107" s="319">
        <v>0</v>
      </c>
      <c r="Z107" s="319">
        <v>2.0295000000000001</v>
      </c>
      <c r="AA107" s="319">
        <v>0.23350000000000001</v>
      </c>
      <c r="AB107" s="319">
        <v>0.39529999999999998</v>
      </c>
      <c r="AC107" s="319">
        <v>0.1113</v>
      </c>
      <c r="AD107" s="319">
        <v>9.3799999999999994E-2</v>
      </c>
      <c r="AE107" s="319">
        <v>4.1399999999999999E-2</v>
      </c>
      <c r="AF107" s="319">
        <v>5.9499999999999997E-2</v>
      </c>
      <c r="AG107" s="319">
        <v>2.69E-2</v>
      </c>
      <c r="AH107" s="319">
        <v>0</v>
      </c>
      <c r="AI107" s="319">
        <v>1.2790999999999999</v>
      </c>
      <c r="AJ107" s="319">
        <v>1.5176000000000001</v>
      </c>
      <c r="AK107" s="319">
        <v>8.43E-2</v>
      </c>
      <c r="AL107" s="319">
        <v>0.443</v>
      </c>
      <c r="AM107" s="319">
        <v>2.9499999999999998E-2</v>
      </c>
      <c r="AN107" s="319">
        <v>4.7999999999999996E-3</v>
      </c>
      <c r="AO107" s="319">
        <v>0.2727</v>
      </c>
      <c r="AP107" s="319">
        <v>0.50919999999999999</v>
      </c>
      <c r="AQ107" s="319">
        <v>0</v>
      </c>
      <c r="AR107" s="319">
        <v>0.41370000000000001</v>
      </c>
      <c r="AS107" s="319">
        <v>0.53280000000000005</v>
      </c>
      <c r="AT107" s="331">
        <v>0.23810000000000001</v>
      </c>
      <c r="AU107" s="336">
        <v>8.6872999999999987</v>
      </c>
      <c r="AV107" s="329">
        <v>11.188799999999999</v>
      </c>
      <c r="AW107" s="337">
        <v>4.999299999999999</v>
      </c>
      <c r="AX107" s="334"/>
      <c r="AY107" s="323">
        <v>6.9756000000000009</v>
      </c>
      <c r="AZ107" s="323">
        <v>10.065200000000001</v>
      </c>
      <c r="BA107" s="323">
        <v>4.1984000000000012</v>
      </c>
      <c r="BB107" s="319"/>
      <c r="BC107" s="321">
        <f t="shared" si="6"/>
        <v>1.2453839096278452</v>
      </c>
      <c r="BD107" s="321">
        <f t="shared" si="7"/>
        <v>1.1116321583277031</v>
      </c>
      <c r="BE107" s="321">
        <f t="shared" si="8"/>
        <v>1.1907631478658531</v>
      </c>
      <c r="BG107" s="22">
        <f t="shared" si="9"/>
        <v>-2.7755575615628914E-15</v>
      </c>
      <c r="BH107" s="22">
        <f t="shared" si="10"/>
        <v>-1.609823385706477E-15</v>
      </c>
      <c r="BI107" s="22">
        <f t="shared" si="11"/>
        <v>-9.4368957093138306E-16</v>
      </c>
    </row>
    <row r="108" spans="2:61" x14ac:dyDescent="0.25">
      <c r="B108" s="312">
        <v>101</v>
      </c>
      <c r="C108" s="312" t="s">
        <v>662</v>
      </c>
      <c r="D108" s="312" t="s">
        <v>393</v>
      </c>
      <c r="E108" s="312">
        <v>9</v>
      </c>
      <c r="F108" s="312">
        <v>1</v>
      </c>
      <c r="G108" s="313" t="s">
        <v>219</v>
      </c>
      <c r="H108" s="313"/>
      <c r="I108" s="313">
        <v>1890.7</v>
      </c>
      <c r="J108" s="312">
        <v>33</v>
      </c>
      <c r="K108" s="312">
        <v>1677</v>
      </c>
      <c r="L108" s="312">
        <v>180.7</v>
      </c>
      <c r="M108" s="317"/>
      <c r="N108" s="319">
        <v>0.18579999999999999</v>
      </c>
      <c r="O108" s="319">
        <v>0.1045</v>
      </c>
      <c r="P108" s="319">
        <v>0.30880000000000002</v>
      </c>
      <c r="Q108" s="319">
        <v>6.9500000000000006E-2</v>
      </c>
      <c r="R108" s="319">
        <v>2.3300000000000001E-2</v>
      </c>
      <c r="S108" s="319">
        <v>0.248</v>
      </c>
      <c r="T108" s="319">
        <v>0</v>
      </c>
      <c r="U108" s="319">
        <v>0.63149999999999995</v>
      </c>
      <c r="V108" s="319">
        <v>2.0436000000000001</v>
      </c>
      <c r="W108" s="319">
        <v>0</v>
      </c>
      <c r="X108" s="319">
        <v>0.15060000000000001</v>
      </c>
      <c r="Y108" s="319">
        <v>0</v>
      </c>
      <c r="Z108" s="319">
        <v>2.3893</v>
      </c>
      <c r="AA108" s="319">
        <v>0.24329999999999999</v>
      </c>
      <c r="AB108" s="319">
        <v>0.37459999999999999</v>
      </c>
      <c r="AC108" s="319">
        <v>9.7199999999999995E-2</v>
      </c>
      <c r="AD108" s="319">
        <v>0.1011</v>
      </c>
      <c r="AE108" s="319">
        <v>4.5199999999999997E-2</v>
      </c>
      <c r="AF108" s="319">
        <v>6.2399999999999997E-2</v>
      </c>
      <c r="AG108" s="319">
        <v>3.1E-2</v>
      </c>
      <c r="AH108" s="319">
        <v>0</v>
      </c>
      <c r="AI108" s="319">
        <v>1.5644</v>
      </c>
      <c r="AJ108" s="319">
        <v>1.7196</v>
      </c>
      <c r="AK108" s="319">
        <v>7.8899999999999998E-2</v>
      </c>
      <c r="AL108" s="319">
        <v>0.4481</v>
      </c>
      <c r="AM108" s="319">
        <v>3.61E-2</v>
      </c>
      <c r="AN108" s="319">
        <v>5.8999999999999999E-3</v>
      </c>
      <c r="AO108" s="319">
        <v>0.33289999999999997</v>
      </c>
      <c r="AP108" s="319">
        <v>0.41360000000000002</v>
      </c>
      <c r="AQ108" s="319">
        <v>0</v>
      </c>
      <c r="AR108" s="319">
        <v>0.46260000000000001</v>
      </c>
      <c r="AS108" s="319">
        <v>0.58550000000000002</v>
      </c>
      <c r="AT108" s="331">
        <v>0.25940000000000002</v>
      </c>
      <c r="AU108" s="336">
        <v>9.7146000000000008</v>
      </c>
      <c r="AV108" s="329">
        <v>12.294700000000001</v>
      </c>
      <c r="AW108" s="337">
        <v>5.4464000000000006</v>
      </c>
      <c r="AX108" s="334"/>
      <c r="AY108" s="323">
        <v>7.6497000000000011</v>
      </c>
      <c r="AZ108" s="323">
        <v>10.662900000000002</v>
      </c>
      <c r="BA108" s="323">
        <v>4.6676000000000011</v>
      </c>
      <c r="BB108" s="319"/>
      <c r="BC108" s="321">
        <f t="shared" si="6"/>
        <v>1.2699321542021256</v>
      </c>
      <c r="BD108" s="321">
        <f t="shared" si="7"/>
        <v>1.1530352905869883</v>
      </c>
      <c r="BE108" s="321">
        <f t="shared" si="8"/>
        <v>1.1668523438169507</v>
      </c>
      <c r="BG108" s="22">
        <f t="shared" si="9"/>
        <v>1.2212453270876722E-15</v>
      </c>
      <c r="BH108" s="22">
        <f t="shared" si="10"/>
        <v>-2.4980018054066022E-16</v>
      </c>
      <c r="BI108" s="22">
        <f t="shared" si="11"/>
        <v>8.6042284408449632E-16</v>
      </c>
    </row>
    <row r="109" spans="2:61" x14ac:dyDescent="0.25">
      <c r="B109" s="312">
        <v>102</v>
      </c>
      <c r="C109" s="312" t="s">
        <v>664</v>
      </c>
      <c r="D109" s="312" t="s">
        <v>393</v>
      </c>
      <c r="E109" s="312">
        <v>5</v>
      </c>
      <c r="F109" s="312">
        <v>4</v>
      </c>
      <c r="G109" s="313" t="s">
        <v>92</v>
      </c>
      <c r="H109" s="313"/>
      <c r="I109" s="313">
        <v>3222.3</v>
      </c>
      <c r="J109" s="312">
        <v>3222.3</v>
      </c>
      <c r="K109" s="312">
        <v>0</v>
      </c>
      <c r="L109" s="312">
        <v>0</v>
      </c>
      <c r="M109" s="317"/>
      <c r="N109" s="319">
        <v>0.16639999999999999</v>
      </c>
      <c r="O109" s="319">
        <v>8.6599999999999996E-2</v>
      </c>
      <c r="P109" s="319">
        <v>0.32640000000000002</v>
      </c>
      <c r="Q109" s="319">
        <v>7.3800000000000004E-2</v>
      </c>
      <c r="R109" s="319">
        <v>2.6700000000000002E-2</v>
      </c>
      <c r="S109" s="319">
        <v>0.47420000000000001</v>
      </c>
      <c r="T109" s="319">
        <v>0</v>
      </c>
      <c r="U109" s="319">
        <v>0.63149999999999995</v>
      </c>
      <c r="V109" s="319">
        <v>0</v>
      </c>
      <c r="W109" s="319">
        <v>0</v>
      </c>
      <c r="X109" s="319">
        <v>0.1472</v>
      </c>
      <c r="Y109" s="319">
        <v>0</v>
      </c>
      <c r="Z109" s="319">
        <v>1.2214</v>
      </c>
      <c r="AA109" s="319">
        <v>0.21990000000000001</v>
      </c>
      <c r="AB109" s="319">
        <v>0.27339999999999998</v>
      </c>
      <c r="AC109" s="319">
        <v>9.1600000000000001E-2</v>
      </c>
      <c r="AD109" s="319">
        <v>9.5299999999999996E-2</v>
      </c>
      <c r="AE109" s="319">
        <v>5.1900000000000002E-2</v>
      </c>
      <c r="AF109" s="319">
        <v>0.1472</v>
      </c>
      <c r="AG109" s="319">
        <v>3.49E-2</v>
      </c>
      <c r="AH109" s="319">
        <v>0</v>
      </c>
      <c r="AI109" s="319">
        <v>2.9251</v>
      </c>
      <c r="AJ109" s="319">
        <v>1.2199</v>
      </c>
      <c r="AK109" s="319">
        <v>0.1051</v>
      </c>
      <c r="AL109" s="319">
        <v>0.55800000000000005</v>
      </c>
      <c r="AM109" s="319">
        <v>6.6400000000000001E-2</v>
      </c>
      <c r="AN109" s="319">
        <v>1.0800000000000001E-2</v>
      </c>
      <c r="AO109" s="319">
        <v>0.41760000000000003</v>
      </c>
      <c r="AP109" s="319">
        <v>0</v>
      </c>
      <c r="AQ109" s="319">
        <v>0</v>
      </c>
      <c r="AR109" s="319">
        <v>0.46860000000000002</v>
      </c>
      <c r="AS109" s="319">
        <v>0.46860000000000002</v>
      </c>
      <c r="AT109" s="331">
        <v>0.21249999999999999</v>
      </c>
      <c r="AU109" s="336">
        <v>9.8399000000000001</v>
      </c>
      <c r="AV109" s="329">
        <v>9.8399000000000001</v>
      </c>
      <c r="AW109" s="337">
        <v>4.4632000000000005</v>
      </c>
      <c r="AX109" s="334"/>
      <c r="AY109" s="323">
        <v>7.7485000000000008</v>
      </c>
      <c r="AZ109" s="323">
        <v>7.7485000000000008</v>
      </c>
      <c r="BA109" s="323">
        <v>3.8318000000000008</v>
      </c>
      <c r="BB109" s="319"/>
      <c r="BC109" s="321">
        <f t="shared" si="6"/>
        <v>1.2699103052203651</v>
      </c>
      <c r="BD109" s="321">
        <f t="shared" si="7"/>
        <v>1.2699103052203651</v>
      </c>
      <c r="BE109" s="321">
        <f t="shared" si="8"/>
        <v>1.1647789550602849</v>
      </c>
      <c r="BG109" s="22">
        <f t="shared" si="9"/>
        <v>2.1649348980190553E-15</v>
      </c>
      <c r="BH109" s="22">
        <f t="shared" si="10"/>
        <v>4.4408920985006262E-16</v>
      </c>
      <c r="BI109" s="22">
        <f t="shared" si="11"/>
        <v>4.4408920985006262E-16</v>
      </c>
    </row>
    <row r="110" spans="2:61" x14ac:dyDescent="0.25">
      <c r="B110" s="312">
        <v>103</v>
      </c>
      <c r="C110" s="312" t="s">
        <v>666</v>
      </c>
      <c r="D110" s="312" t="s">
        <v>393</v>
      </c>
      <c r="E110" s="312">
        <v>9</v>
      </c>
      <c r="F110" s="312">
        <v>1</v>
      </c>
      <c r="G110" s="313" t="s">
        <v>220</v>
      </c>
      <c r="H110" s="313"/>
      <c r="I110" s="313">
        <v>2108.9</v>
      </c>
      <c r="J110" s="312">
        <v>115.20000000000005</v>
      </c>
      <c r="K110" s="312">
        <v>1884</v>
      </c>
      <c r="L110" s="312">
        <v>109.7</v>
      </c>
      <c r="M110" s="317"/>
      <c r="N110" s="319">
        <v>0.1875</v>
      </c>
      <c r="O110" s="319">
        <v>0.1205</v>
      </c>
      <c r="P110" s="319">
        <v>0.24970000000000001</v>
      </c>
      <c r="Q110" s="319">
        <v>6.2300000000000001E-2</v>
      </c>
      <c r="R110" s="319">
        <v>2.0799999999999999E-2</v>
      </c>
      <c r="S110" s="319">
        <v>0.21779999999999999</v>
      </c>
      <c r="T110" s="319">
        <v>0</v>
      </c>
      <c r="U110" s="319">
        <v>0.63149999999999995</v>
      </c>
      <c r="V110" s="319">
        <v>1.3063</v>
      </c>
      <c r="W110" s="319">
        <v>9.5399999999999999E-2</v>
      </c>
      <c r="X110" s="319">
        <v>0.1275</v>
      </c>
      <c r="Y110" s="319">
        <v>0</v>
      </c>
      <c r="Z110" s="319">
        <v>2.0821000000000001</v>
      </c>
      <c r="AA110" s="319">
        <v>0.24709999999999999</v>
      </c>
      <c r="AB110" s="319">
        <v>0.41120000000000001</v>
      </c>
      <c r="AC110" s="319">
        <v>0.1101</v>
      </c>
      <c r="AD110" s="319">
        <v>9.2399999999999996E-2</v>
      </c>
      <c r="AE110" s="319">
        <v>4.0500000000000001E-2</v>
      </c>
      <c r="AF110" s="319">
        <v>5.4800000000000001E-2</v>
      </c>
      <c r="AG110" s="319">
        <v>2.4299999999999999E-2</v>
      </c>
      <c r="AH110" s="319">
        <v>0</v>
      </c>
      <c r="AI110" s="319">
        <v>1.2619</v>
      </c>
      <c r="AJ110" s="319">
        <v>1.2121999999999999</v>
      </c>
      <c r="AK110" s="319">
        <v>9.6500000000000002E-2</v>
      </c>
      <c r="AL110" s="319">
        <v>0.53049999999999997</v>
      </c>
      <c r="AM110" s="319">
        <v>3.5799999999999998E-2</v>
      </c>
      <c r="AN110" s="319">
        <v>5.7999999999999996E-3</v>
      </c>
      <c r="AO110" s="319">
        <v>0.5696</v>
      </c>
      <c r="AP110" s="319">
        <v>0.5907</v>
      </c>
      <c r="AQ110" s="319">
        <v>0</v>
      </c>
      <c r="AR110" s="319">
        <v>0.41959999999999997</v>
      </c>
      <c r="AS110" s="319">
        <v>0.51919999999999999</v>
      </c>
      <c r="AT110" s="331">
        <v>0.2409</v>
      </c>
      <c r="AU110" s="336">
        <v>8.8120000000000012</v>
      </c>
      <c r="AV110" s="329">
        <v>10.904</v>
      </c>
      <c r="AW110" s="337">
        <v>5.0590999999999999</v>
      </c>
      <c r="AX110" s="334"/>
      <c r="AY110" s="323">
        <v>7.1145999999999985</v>
      </c>
      <c r="AZ110" s="323">
        <v>9.3766999999999996</v>
      </c>
      <c r="BA110" s="323">
        <v>4.3002999999999991</v>
      </c>
      <c r="BB110" s="319"/>
      <c r="BC110" s="321">
        <f t="shared" si="6"/>
        <v>1.2385798217749422</v>
      </c>
      <c r="BD110" s="321">
        <f t="shared" si="7"/>
        <v>1.1628824639798649</v>
      </c>
      <c r="BE110" s="321">
        <f t="shared" si="8"/>
        <v>1.1764528056182129</v>
      </c>
      <c r="BG110" s="22">
        <f t="shared" si="9"/>
        <v>0</v>
      </c>
      <c r="BH110" s="22">
        <f t="shared" si="10"/>
        <v>-2.7755575615628914E-16</v>
      </c>
      <c r="BI110" s="22">
        <f t="shared" si="11"/>
        <v>3.8857805861880479E-16</v>
      </c>
    </row>
    <row r="111" spans="2:61" x14ac:dyDescent="0.25">
      <c r="B111" s="312">
        <v>104</v>
      </c>
      <c r="C111" s="312" t="s">
        <v>668</v>
      </c>
      <c r="D111" s="312" t="s">
        <v>393</v>
      </c>
      <c r="E111" s="312">
        <v>9</v>
      </c>
      <c r="F111" s="312">
        <v>1</v>
      </c>
      <c r="G111" s="313" t="s">
        <v>221</v>
      </c>
      <c r="H111" s="313"/>
      <c r="I111" s="313">
        <v>1853</v>
      </c>
      <c r="J111" s="312">
        <v>165.39999999999986</v>
      </c>
      <c r="K111" s="312">
        <v>1655.4</v>
      </c>
      <c r="L111" s="312">
        <v>32.200000000000003</v>
      </c>
      <c r="M111" s="317"/>
      <c r="N111" s="319">
        <v>0.13350000000000001</v>
      </c>
      <c r="O111" s="319">
        <v>7.1300000000000002E-2</v>
      </c>
      <c r="P111" s="319">
        <v>0.30769999999999997</v>
      </c>
      <c r="Q111" s="319">
        <v>7.0800000000000002E-2</v>
      </c>
      <c r="R111" s="319">
        <v>2.3699999999999999E-2</v>
      </c>
      <c r="S111" s="319">
        <v>0.2356</v>
      </c>
      <c r="T111" s="319">
        <v>0</v>
      </c>
      <c r="U111" s="319">
        <v>0.63149999999999995</v>
      </c>
      <c r="V111" s="319">
        <v>2.0701999999999998</v>
      </c>
      <c r="W111" s="319">
        <v>0</v>
      </c>
      <c r="X111" s="319">
        <v>0.15359999999999999</v>
      </c>
      <c r="Y111" s="319">
        <v>0</v>
      </c>
      <c r="Z111" s="319">
        <v>1.7416</v>
      </c>
      <c r="AA111" s="319">
        <v>0.17949999999999999</v>
      </c>
      <c r="AB111" s="319">
        <v>0.25700000000000001</v>
      </c>
      <c r="AC111" s="319">
        <v>9.74E-2</v>
      </c>
      <c r="AD111" s="319">
        <v>0.1163</v>
      </c>
      <c r="AE111" s="319">
        <v>4.6100000000000002E-2</v>
      </c>
      <c r="AF111" s="319">
        <v>3.9600000000000003E-2</v>
      </c>
      <c r="AG111" s="319">
        <v>3.1300000000000001E-2</v>
      </c>
      <c r="AH111" s="319">
        <v>0</v>
      </c>
      <c r="AI111" s="319">
        <v>2.3759999999999999</v>
      </c>
      <c r="AJ111" s="319">
        <v>1.7146999999999999</v>
      </c>
      <c r="AK111" s="319">
        <v>7.8E-2</v>
      </c>
      <c r="AL111" s="319">
        <v>0.52180000000000004</v>
      </c>
      <c r="AM111" s="319">
        <v>3.44E-2</v>
      </c>
      <c r="AN111" s="319">
        <v>5.5999999999999999E-3</v>
      </c>
      <c r="AO111" s="319">
        <v>0.30420000000000003</v>
      </c>
      <c r="AP111" s="319">
        <v>0.37519999999999998</v>
      </c>
      <c r="AQ111" s="319">
        <v>0</v>
      </c>
      <c r="AR111" s="319">
        <v>0.45860000000000001</v>
      </c>
      <c r="AS111" s="319">
        <v>0.58079999999999998</v>
      </c>
      <c r="AT111" s="331">
        <v>0.2127</v>
      </c>
      <c r="AU111" s="336">
        <v>9.6297999999999995</v>
      </c>
      <c r="AV111" s="329">
        <v>12.197399999999998</v>
      </c>
      <c r="AW111" s="337">
        <v>4.4671999999999983</v>
      </c>
      <c r="AX111" s="334"/>
      <c r="AY111" s="323">
        <v>7.5829000000000004</v>
      </c>
      <c r="AZ111" s="323">
        <v>10.521899999999999</v>
      </c>
      <c r="BA111" s="323">
        <v>4.194399999999999</v>
      </c>
      <c r="BB111" s="319"/>
      <c r="BC111" s="321">
        <f t="shared" si="6"/>
        <v>1.2699363040525391</v>
      </c>
      <c r="BD111" s="321">
        <f t="shared" si="7"/>
        <v>1.1592393008867219</v>
      </c>
      <c r="BE111" s="321">
        <f t="shared" si="8"/>
        <v>1.0650390997520502</v>
      </c>
      <c r="BG111" s="22">
        <f t="shared" si="9"/>
        <v>-1.2212453270876722E-15</v>
      </c>
      <c r="BH111" s="22">
        <f t="shared" si="10"/>
        <v>0</v>
      </c>
      <c r="BI111" s="22">
        <f t="shared" si="11"/>
        <v>-1.8041124150158794E-15</v>
      </c>
    </row>
    <row r="112" spans="2:61" x14ac:dyDescent="0.25">
      <c r="B112" s="312">
        <v>105</v>
      </c>
      <c r="C112" s="312" t="s">
        <v>670</v>
      </c>
      <c r="D112" s="312" t="s">
        <v>393</v>
      </c>
      <c r="E112" s="312">
        <v>5</v>
      </c>
      <c r="F112" s="312">
        <v>4</v>
      </c>
      <c r="G112" s="313" t="s">
        <v>93</v>
      </c>
      <c r="H112" s="313"/>
      <c r="I112" s="313">
        <v>2757.32</v>
      </c>
      <c r="J112" s="312">
        <v>2622.92</v>
      </c>
      <c r="K112" s="312">
        <v>0</v>
      </c>
      <c r="L112" s="312">
        <v>134.4</v>
      </c>
      <c r="M112" s="317"/>
      <c r="N112" s="319">
        <v>0.1641</v>
      </c>
      <c r="O112" s="319">
        <v>9.2399999999999996E-2</v>
      </c>
      <c r="P112" s="319">
        <v>0.32479999999999998</v>
      </c>
      <c r="Q112" s="319">
        <v>7.4099999999999999E-2</v>
      </c>
      <c r="R112" s="319">
        <v>2.9000000000000001E-2</v>
      </c>
      <c r="S112" s="319">
        <v>0.49890000000000001</v>
      </c>
      <c r="T112" s="319">
        <v>0</v>
      </c>
      <c r="U112" s="319">
        <v>0.63149999999999995</v>
      </c>
      <c r="V112" s="319">
        <v>0</v>
      </c>
      <c r="W112" s="319">
        <v>0</v>
      </c>
      <c r="X112" s="319">
        <v>0.1721</v>
      </c>
      <c r="Y112" s="319">
        <v>0</v>
      </c>
      <c r="Z112" s="319">
        <v>2.0924999999999998</v>
      </c>
      <c r="AA112" s="319">
        <v>0.2195</v>
      </c>
      <c r="AB112" s="319">
        <v>0.3276</v>
      </c>
      <c r="AC112" s="319">
        <v>8.7800000000000003E-2</v>
      </c>
      <c r="AD112" s="319">
        <v>0.1009</v>
      </c>
      <c r="AE112" s="319">
        <v>5.6399999999999999E-2</v>
      </c>
      <c r="AF112" s="319">
        <v>0.17199999999999999</v>
      </c>
      <c r="AG112" s="319">
        <v>3.3599999999999998E-2</v>
      </c>
      <c r="AH112" s="319">
        <v>0</v>
      </c>
      <c r="AI112" s="319">
        <v>2.3540000000000001</v>
      </c>
      <c r="AJ112" s="319">
        <v>1.1975</v>
      </c>
      <c r="AK112" s="319">
        <v>9.2200000000000004E-2</v>
      </c>
      <c r="AL112" s="319">
        <v>0.64570000000000005</v>
      </c>
      <c r="AM112" s="319">
        <v>5.8200000000000002E-2</v>
      </c>
      <c r="AN112" s="319">
        <v>9.4000000000000004E-3</v>
      </c>
      <c r="AO112" s="319">
        <v>0.2999</v>
      </c>
      <c r="AP112" s="319">
        <v>0</v>
      </c>
      <c r="AQ112" s="319">
        <v>0</v>
      </c>
      <c r="AR112" s="319">
        <v>0.48670000000000002</v>
      </c>
      <c r="AS112" s="319">
        <v>0.48670000000000002</v>
      </c>
      <c r="AT112" s="331">
        <v>0.26190000000000002</v>
      </c>
      <c r="AU112" s="336">
        <v>10.220799999999999</v>
      </c>
      <c r="AV112" s="329">
        <v>10.220799999999999</v>
      </c>
      <c r="AW112" s="337">
        <v>5.498899999999999</v>
      </c>
      <c r="AX112" s="334"/>
      <c r="AY112" s="323">
        <v>8.0484999999999989</v>
      </c>
      <c r="AZ112" s="323">
        <v>8.0484999999999989</v>
      </c>
      <c r="BA112" s="323">
        <v>4.6845999999999988</v>
      </c>
      <c r="BB112" s="319"/>
      <c r="BC112" s="321">
        <f t="shared" si="6"/>
        <v>1.2699012238305274</v>
      </c>
      <c r="BD112" s="321">
        <f t="shared" si="7"/>
        <v>1.2699012238305274</v>
      </c>
      <c r="BE112" s="321">
        <f t="shared" si="8"/>
        <v>1.1738248729880887</v>
      </c>
      <c r="BG112" s="22">
        <f t="shared" si="9"/>
        <v>-9.4368957093138306E-16</v>
      </c>
      <c r="BH112" s="22">
        <f t="shared" si="10"/>
        <v>8.6042284408449632E-16</v>
      </c>
      <c r="BI112" s="22">
        <f t="shared" si="11"/>
        <v>-9.1593399531575415E-16</v>
      </c>
    </row>
    <row r="113" spans="2:61" x14ac:dyDescent="0.25">
      <c r="B113" s="312">
        <v>106</v>
      </c>
      <c r="C113" s="312" t="s">
        <v>672</v>
      </c>
      <c r="D113" s="312" t="s">
        <v>393</v>
      </c>
      <c r="E113" s="312">
        <v>5</v>
      </c>
      <c r="F113" s="312">
        <v>8</v>
      </c>
      <c r="G113" s="313" t="s">
        <v>94</v>
      </c>
      <c r="H113" s="313"/>
      <c r="I113" s="313">
        <v>5758.96</v>
      </c>
      <c r="J113" s="312">
        <v>5650.36</v>
      </c>
      <c r="K113" s="312">
        <v>0</v>
      </c>
      <c r="L113" s="312">
        <v>108.6</v>
      </c>
      <c r="M113" s="317"/>
      <c r="N113" s="319">
        <v>0.14860000000000001</v>
      </c>
      <c r="O113" s="319">
        <v>9.4500000000000001E-2</v>
      </c>
      <c r="P113" s="319">
        <v>0.3327</v>
      </c>
      <c r="Q113" s="319">
        <v>7.4800000000000005E-2</v>
      </c>
      <c r="R113" s="319">
        <v>2.7799999999999998E-2</v>
      </c>
      <c r="S113" s="319">
        <v>0.65969999999999995</v>
      </c>
      <c r="T113" s="319">
        <v>0</v>
      </c>
      <c r="U113" s="319">
        <v>0.63149999999999995</v>
      </c>
      <c r="V113" s="319">
        <v>0</v>
      </c>
      <c r="W113" s="319">
        <v>0</v>
      </c>
      <c r="X113" s="319">
        <v>0.16339999999999999</v>
      </c>
      <c r="Y113" s="319">
        <v>0</v>
      </c>
      <c r="Z113" s="319">
        <v>2.1385999999999998</v>
      </c>
      <c r="AA113" s="319">
        <v>0.19400000000000001</v>
      </c>
      <c r="AB113" s="319">
        <v>0.32319999999999999</v>
      </c>
      <c r="AC113" s="319">
        <v>9.0800000000000006E-2</v>
      </c>
      <c r="AD113" s="319">
        <v>9.8599999999999993E-2</v>
      </c>
      <c r="AE113" s="319">
        <v>5.3999999999999999E-2</v>
      </c>
      <c r="AF113" s="319">
        <v>0.27310000000000001</v>
      </c>
      <c r="AG113" s="319">
        <v>3.2899999999999999E-2</v>
      </c>
      <c r="AH113" s="319">
        <v>0</v>
      </c>
      <c r="AI113" s="319">
        <v>1.9482999999999999</v>
      </c>
      <c r="AJ113" s="319">
        <v>1.1473</v>
      </c>
      <c r="AK113" s="319">
        <v>8.9800000000000005E-2</v>
      </c>
      <c r="AL113" s="319">
        <v>0.62609999999999999</v>
      </c>
      <c r="AM113" s="319">
        <v>5.8799999999999998E-2</v>
      </c>
      <c r="AN113" s="319">
        <v>9.4999999999999998E-3</v>
      </c>
      <c r="AO113" s="319">
        <v>0.19420000000000001</v>
      </c>
      <c r="AP113" s="319">
        <v>0</v>
      </c>
      <c r="AQ113" s="319">
        <v>0</v>
      </c>
      <c r="AR113" s="319">
        <v>0.47060000000000002</v>
      </c>
      <c r="AS113" s="319">
        <v>0.47060000000000002</v>
      </c>
      <c r="AT113" s="331">
        <v>0.27479999999999999</v>
      </c>
      <c r="AU113" s="336">
        <v>9.8827999999999978</v>
      </c>
      <c r="AV113" s="329">
        <v>9.8827999999999978</v>
      </c>
      <c r="AW113" s="337">
        <v>5.7710999999999997</v>
      </c>
      <c r="AX113" s="334"/>
      <c r="AY113" s="323">
        <v>7.7822000000000005</v>
      </c>
      <c r="AZ113" s="323">
        <v>7.7822000000000005</v>
      </c>
      <c r="BA113" s="323">
        <v>4.998800000000001</v>
      </c>
      <c r="BB113" s="319"/>
      <c r="BC113" s="321">
        <f t="shared" si="6"/>
        <v>1.2699236719693656</v>
      </c>
      <c r="BD113" s="321">
        <f t="shared" si="7"/>
        <v>1.2699236719693656</v>
      </c>
      <c r="BE113" s="321">
        <f t="shared" si="8"/>
        <v>1.1544970792990314</v>
      </c>
      <c r="BG113" s="22">
        <f t="shared" si="9"/>
        <v>-1.5543122344752192E-15</v>
      </c>
      <c r="BH113" s="22">
        <f t="shared" si="10"/>
        <v>5.2735593669694936E-16</v>
      </c>
      <c r="BI113" s="22">
        <f t="shared" si="11"/>
        <v>-3.6082248300317588E-16</v>
      </c>
    </row>
    <row r="114" spans="2:61" x14ac:dyDescent="0.25">
      <c r="B114" s="312">
        <v>107</v>
      </c>
      <c r="C114" s="312" t="s">
        <v>674</v>
      </c>
      <c r="D114" s="312" t="s">
        <v>393</v>
      </c>
      <c r="E114" s="312">
        <v>5</v>
      </c>
      <c r="F114" s="312">
        <v>4</v>
      </c>
      <c r="G114" s="313" t="s">
        <v>95</v>
      </c>
      <c r="H114" s="313"/>
      <c r="I114" s="313">
        <v>2747.42</v>
      </c>
      <c r="J114" s="312">
        <v>2747.42</v>
      </c>
      <c r="K114" s="312">
        <v>0</v>
      </c>
      <c r="L114" s="312">
        <v>0</v>
      </c>
      <c r="M114" s="317"/>
      <c r="N114" s="319">
        <v>0.16719999999999999</v>
      </c>
      <c r="O114" s="319">
        <v>9.2700000000000005E-2</v>
      </c>
      <c r="P114" s="319">
        <v>0.3221</v>
      </c>
      <c r="Q114" s="319">
        <v>7.3899999999999993E-2</v>
      </c>
      <c r="R114" s="319">
        <v>2.9100000000000001E-2</v>
      </c>
      <c r="S114" s="319">
        <v>0.50070000000000003</v>
      </c>
      <c r="T114" s="319">
        <v>0</v>
      </c>
      <c r="U114" s="319">
        <v>0.63149999999999995</v>
      </c>
      <c r="V114" s="319">
        <v>0</v>
      </c>
      <c r="W114" s="319">
        <v>0</v>
      </c>
      <c r="X114" s="319">
        <v>0.17269999999999999</v>
      </c>
      <c r="Y114" s="319">
        <v>0</v>
      </c>
      <c r="Z114" s="319">
        <v>2.0464000000000002</v>
      </c>
      <c r="AA114" s="319">
        <v>0.21190000000000001</v>
      </c>
      <c r="AB114" s="319">
        <v>0.32869999999999999</v>
      </c>
      <c r="AC114" s="319">
        <v>8.7599999999999997E-2</v>
      </c>
      <c r="AD114" s="319">
        <v>0.10340000000000001</v>
      </c>
      <c r="AE114" s="319">
        <v>5.6599999999999998E-2</v>
      </c>
      <c r="AF114" s="319">
        <v>0.1726</v>
      </c>
      <c r="AG114" s="319">
        <v>3.3599999999999998E-2</v>
      </c>
      <c r="AH114" s="319">
        <v>0</v>
      </c>
      <c r="AI114" s="319">
        <v>2.8561999999999999</v>
      </c>
      <c r="AJ114" s="319">
        <v>1.1524000000000001</v>
      </c>
      <c r="AK114" s="319">
        <v>9.2799999999999994E-2</v>
      </c>
      <c r="AL114" s="319">
        <v>0.63949999999999996</v>
      </c>
      <c r="AM114" s="319">
        <v>5.8599999999999999E-2</v>
      </c>
      <c r="AN114" s="319">
        <v>9.4999999999999998E-3</v>
      </c>
      <c r="AO114" s="319">
        <v>0.113</v>
      </c>
      <c r="AP114" s="319">
        <v>0</v>
      </c>
      <c r="AQ114" s="319">
        <v>0</v>
      </c>
      <c r="AR114" s="319">
        <v>0.49759999999999999</v>
      </c>
      <c r="AS114" s="319">
        <v>0.49759999999999999</v>
      </c>
      <c r="AT114" s="331">
        <v>0.2596</v>
      </c>
      <c r="AU114" s="336">
        <v>10.4503</v>
      </c>
      <c r="AV114" s="329">
        <v>10.4503</v>
      </c>
      <c r="AW114" s="337">
        <v>5.4512000000000009</v>
      </c>
      <c r="AX114" s="334"/>
      <c r="AY114" s="323">
        <v>8.229099999999999</v>
      </c>
      <c r="AZ114" s="323">
        <v>8.229099999999999</v>
      </c>
      <c r="BA114" s="323">
        <v>4.5980999999999996</v>
      </c>
      <c r="BB114" s="319"/>
      <c r="BC114" s="321">
        <f t="shared" si="6"/>
        <v>1.2699201613785227</v>
      </c>
      <c r="BD114" s="321">
        <f t="shared" si="7"/>
        <v>1.2699201613785227</v>
      </c>
      <c r="BE114" s="321">
        <f t="shared" si="8"/>
        <v>1.1855331549988042</v>
      </c>
      <c r="BG114" s="22">
        <f t="shared" si="9"/>
        <v>-1.609823385706477E-15</v>
      </c>
      <c r="BH114" s="22">
        <f t="shared" si="10"/>
        <v>4.163336342344337E-16</v>
      </c>
      <c r="BI114" s="22">
        <f t="shared" si="11"/>
        <v>4.163336342344337E-16</v>
      </c>
    </row>
    <row r="115" spans="2:61" x14ac:dyDescent="0.25">
      <c r="B115" s="312">
        <v>108</v>
      </c>
      <c r="C115" s="312" t="s">
        <v>676</v>
      </c>
      <c r="D115" s="312" t="s">
        <v>393</v>
      </c>
      <c r="E115" s="312">
        <v>5</v>
      </c>
      <c r="F115" s="312">
        <v>2</v>
      </c>
      <c r="G115" s="313" t="s">
        <v>96</v>
      </c>
      <c r="H115" s="313"/>
      <c r="I115" s="313">
        <v>1718.82</v>
      </c>
      <c r="J115" s="312">
        <v>1718.82</v>
      </c>
      <c r="K115" s="312">
        <v>0</v>
      </c>
      <c r="L115" s="312">
        <v>0</v>
      </c>
      <c r="M115" s="317"/>
      <c r="N115" s="319">
        <v>0.1764</v>
      </c>
      <c r="O115" s="319">
        <v>0.1002</v>
      </c>
      <c r="P115" s="319">
        <v>0.30590000000000001</v>
      </c>
      <c r="Q115" s="319">
        <v>7.2900000000000006E-2</v>
      </c>
      <c r="R115" s="319">
        <v>2.3300000000000001E-2</v>
      </c>
      <c r="S115" s="319">
        <v>0.33889999999999998</v>
      </c>
      <c r="T115" s="319">
        <v>0</v>
      </c>
      <c r="U115" s="319">
        <v>0.63149999999999995</v>
      </c>
      <c r="V115" s="319">
        <v>0</v>
      </c>
      <c r="W115" s="319">
        <v>0</v>
      </c>
      <c r="X115" s="319">
        <v>0.184</v>
      </c>
      <c r="Y115" s="319">
        <v>0</v>
      </c>
      <c r="Z115" s="319">
        <v>2.2964000000000002</v>
      </c>
      <c r="AA115" s="319">
        <v>0.23680000000000001</v>
      </c>
      <c r="AB115" s="319">
        <v>0.3553</v>
      </c>
      <c r="AC115" s="319">
        <v>7.5200000000000003E-2</v>
      </c>
      <c r="AD115" s="319">
        <v>0.1038</v>
      </c>
      <c r="AE115" s="319">
        <v>4.5199999999999997E-2</v>
      </c>
      <c r="AF115" s="319">
        <v>0.1134</v>
      </c>
      <c r="AG115" s="319">
        <v>3.1899999999999998E-2</v>
      </c>
      <c r="AH115" s="319">
        <v>0</v>
      </c>
      <c r="AI115" s="319">
        <v>2.6113</v>
      </c>
      <c r="AJ115" s="319">
        <v>0.8931</v>
      </c>
      <c r="AK115" s="319">
        <v>8.6199999999999999E-2</v>
      </c>
      <c r="AL115" s="319">
        <v>0.60540000000000005</v>
      </c>
      <c r="AM115" s="319">
        <v>5.7099999999999998E-2</v>
      </c>
      <c r="AN115" s="319">
        <v>9.2999999999999992E-3</v>
      </c>
      <c r="AO115" s="319">
        <v>0.19869999999999999</v>
      </c>
      <c r="AP115" s="319">
        <v>0</v>
      </c>
      <c r="AQ115" s="319">
        <v>0</v>
      </c>
      <c r="AR115" s="319">
        <v>0.47760000000000002</v>
      </c>
      <c r="AS115" s="319">
        <v>0.47760000000000002</v>
      </c>
      <c r="AT115" s="331">
        <v>0.26219999999999999</v>
      </c>
      <c r="AU115" s="336">
        <v>10.0298</v>
      </c>
      <c r="AV115" s="329">
        <v>10.0298</v>
      </c>
      <c r="AW115" s="337">
        <v>5.5058999999999987</v>
      </c>
      <c r="AX115" s="334"/>
      <c r="AY115" s="323">
        <v>7.8979000000000008</v>
      </c>
      <c r="AZ115" s="323">
        <v>7.8979000000000008</v>
      </c>
      <c r="BA115" s="323">
        <v>4.6758000000000006</v>
      </c>
      <c r="BB115" s="319"/>
      <c r="BC115" s="321">
        <f t="shared" si="6"/>
        <v>1.269932513706175</v>
      </c>
      <c r="BD115" s="321">
        <f t="shared" si="7"/>
        <v>1.269932513706175</v>
      </c>
      <c r="BE115" s="321">
        <f t="shared" si="8"/>
        <v>1.1775311176697032</v>
      </c>
      <c r="BG115" s="22">
        <f t="shared" si="9"/>
        <v>1.5543122344752192E-15</v>
      </c>
      <c r="BH115" s="22">
        <f t="shared" si="10"/>
        <v>-7.7715611723760958E-16</v>
      </c>
      <c r="BI115" s="22">
        <f t="shared" si="11"/>
        <v>-7.7715611723760958E-16</v>
      </c>
    </row>
    <row r="116" spans="2:61" x14ac:dyDescent="0.25">
      <c r="B116" s="312">
        <v>109</v>
      </c>
      <c r="C116" s="312" t="s">
        <v>678</v>
      </c>
      <c r="D116" s="312" t="s">
        <v>393</v>
      </c>
      <c r="E116" s="312">
        <v>5</v>
      </c>
      <c r="F116" s="312">
        <v>6</v>
      </c>
      <c r="G116" s="313" t="s">
        <v>97</v>
      </c>
      <c r="H116" s="313"/>
      <c r="I116" s="313">
        <v>4455.46</v>
      </c>
      <c r="J116" s="312">
        <v>4408.16</v>
      </c>
      <c r="K116" s="312">
        <v>0</v>
      </c>
      <c r="L116" s="312">
        <v>47.3</v>
      </c>
      <c r="M116" s="317"/>
      <c r="N116" s="319">
        <v>0.15579999999999999</v>
      </c>
      <c r="O116" s="319">
        <v>8.4900000000000003E-2</v>
      </c>
      <c r="P116" s="319">
        <v>0.32990000000000003</v>
      </c>
      <c r="Q116" s="319">
        <v>0</v>
      </c>
      <c r="R116" s="319">
        <v>3.1399999999999997E-2</v>
      </c>
      <c r="S116" s="319">
        <v>0.57689999999999997</v>
      </c>
      <c r="T116" s="319">
        <v>0</v>
      </c>
      <c r="U116" s="319">
        <v>0.62080000000000002</v>
      </c>
      <c r="V116" s="319">
        <v>0</v>
      </c>
      <c r="W116" s="319">
        <v>0</v>
      </c>
      <c r="X116" s="319">
        <v>0.28749999999999998</v>
      </c>
      <c r="Y116" s="319">
        <v>0</v>
      </c>
      <c r="Z116" s="319">
        <v>2.4771000000000001</v>
      </c>
      <c r="AA116" s="319">
        <v>0.20549999999999999</v>
      </c>
      <c r="AB116" s="319">
        <v>0.30120000000000002</v>
      </c>
      <c r="AC116" s="319">
        <v>9.1300000000000006E-2</v>
      </c>
      <c r="AD116" s="319">
        <v>0</v>
      </c>
      <c r="AE116" s="319">
        <v>6.0999999999999999E-2</v>
      </c>
      <c r="AF116" s="319">
        <v>0.20680000000000001</v>
      </c>
      <c r="AG116" s="319">
        <v>3.2300000000000002E-2</v>
      </c>
      <c r="AH116" s="319">
        <v>0</v>
      </c>
      <c r="AI116" s="319">
        <v>2.2275</v>
      </c>
      <c r="AJ116" s="319">
        <v>0.94889999999999997</v>
      </c>
      <c r="AK116" s="319">
        <v>8.6999999999999994E-2</v>
      </c>
      <c r="AL116" s="319">
        <v>0.61270000000000002</v>
      </c>
      <c r="AM116" s="319">
        <v>5.1200000000000002E-2</v>
      </c>
      <c r="AN116" s="319">
        <v>8.3000000000000001E-3</v>
      </c>
      <c r="AO116" s="319">
        <v>0.60229999999999995</v>
      </c>
      <c r="AP116" s="319">
        <v>0</v>
      </c>
      <c r="AQ116" s="319">
        <v>0</v>
      </c>
      <c r="AR116" s="319">
        <v>0.5</v>
      </c>
      <c r="AS116" s="319">
        <v>0.5</v>
      </c>
      <c r="AT116" s="331">
        <v>0.28039999999999998</v>
      </c>
      <c r="AU116" s="336">
        <v>10.500299999999999</v>
      </c>
      <c r="AV116" s="329">
        <v>10.500299999999999</v>
      </c>
      <c r="AW116" s="337">
        <v>5.8892999999999995</v>
      </c>
      <c r="AX116" s="334"/>
      <c r="AY116" s="323">
        <v>8.2684999999999995</v>
      </c>
      <c r="AZ116" s="323">
        <v>8.2684999999999995</v>
      </c>
      <c r="BA116" s="323">
        <v>4.9397999999999991</v>
      </c>
      <c r="BB116" s="319"/>
      <c r="BC116" s="321">
        <f t="shared" si="6"/>
        <v>1.2699159460603495</v>
      </c>
      <c r="BD116" s="321">
        <f t="shared" si="7"/>
        <v>1.2699159460603495</v>
      </c>
      <c r="BE116" s="321">
        <f t="shared" si="8"/>
        <v>1.1922142596866272</v>
      </c>
      <c r="BG116" s="22">
        <f t="shared" si="9"/>
        <v>1.4432899320127035E-15</v>
      </c>
      <c r="BH116" s="22">
        <f t="shared" si="10"/>
        <v>-8.0491169285323849E-16</v>
      </c>
      <c r="BI116" s="22">
        <f t="shared" si="11"/>
        <v>-8.0491169285323849E-16</v>
      </c>
    </row>
    <row r="117" spans="2:61" x14ac:dyDescent="0.25">
      <c r="B117" s="312">
        <v>110</v>
      </c>
      <c r="C117" s="312" t="s">
        <v>680</v>
      </c>
      <c r="D117" s="312" t="s">
        <v>393</v>
      </c>
      <c r="E117" s="312">
        <v>5</v>
      </c>
      <c r="F117" s="312">
        <v>2</v>
      </c>
      <c r="G117" s="313" t="s">
        <v>98</v>
      </c>
      <c r="H117" s="313"/>
      <c r="I117" s="313">
        <v>1723.42</v>
      </c>
      <c r="J117" s="312">
        <v>1723.42</v>
      </c>
      <c r="K117" s="312">
        <v>0</v>
      </c>
      <c r="L117" s="312">
        <v>0</v>
      </c>
      <c r="M117" s="317"/>
      <c r="N117" s="319">
        <v>0.1759</v>
      </c>
      <c r="O117" s="319">
        <v>9.9900000000000003E-2</v>
      </c>
      <c r="P117" s="319">
        <v>0.3115</v>
      </c>
      <c r="Q117" s="319">
        <v>0</v>
      </c>
      <c r="R117" s="319">
        <v>2.3199999999999998E-2</v>
      </c>
      <c r="S117" s="319">
        <v>0.33800000000000002</v>
      </c>
      <c r="T117" s="319">
        <v>0</v>
      </c>
      <c r="U117" s="319">
        <v>0.62080000000000002</v>
      </c>
      <c r="V117" s="319">
        <v>0</v>
      </c>
      <c r="W117" s="319">
        <v>0</v>
      </c>
      <c r="X117" s="319">
        <v>0.33040000000000003</v>
      </c>
      <c r="Y117" s="319">
        <v>0</v>
      </c>
      <c r="Z117" s="319">
        <v>2.2911999999999999</v>
      </c>
      <c r="AA117" s="319">
        <v>0.2361</v>
      </c>
      <c r="AB117" s="319">
        <v>0.35439999999999999</v>
      </c>
      <c r="AC117" s="319">
        <v>7.6999999999999999E-2</v>
      </c>
      <c r="AD117" s="319">
        <v>0</v>
      </c>
      <c r="AE117" s="319">
        <v>4.5100000000000001E-2</v>
      </c>
      <c r="AF117" s="319">
        <v>0.11310000000000001</v>
      </c>
      <c r="AG117" s="319">
        <v>3.1800000000000002E-2</v>
      </c>
      <c r="AH117" s="319">
        <v>0</v>
      </c>
      <c r="AI117" s="319">
        <v>2.573</v>
      </c>
      <c r="AJ117" s="319">
        <v>0.96870000000000001</v>
      </c>
      <c r="AK117" s="319">
        <v>9.06E-2</v>
      </c>
      <c r="AL117" s="319">
        <v>0.42499999999999999</v>
      </c>
      <c r="AM117" s="319">
        <v>5.7200000000000001E-2</v>
      </c>
      <c r="AN117" s="319">
        <v>9.2999999999999992E-3</v>
      </c>
      <c r="AO117" s="319">
        <v>0.21920000000000001</v>
      </c>
      <c r="AP117" s="319">
        <v>0</v>
      </c>
      <c r="AQ117" s="319">
        <v>0</v>
      </c>
      <c r="AR117" s="319">
        <v>0.46960000000000002</v>
      </c>
      <c r="AS117" s="319">
        <v>0.46960000000000002</v>
      </c>
      <c r="AT117" s="331">
        <v>0.26029999999999998</v>
      </c>
      <c r="AU117" s="336">
        <v>9.8610000000000007</v>
      </c>
      <c r="AV117" s="329">
        <v>9.8610000000000007</v>
      </c>
      <c r="AW117" s="337">
        <v>5.4657999999999989</v>
      </c>
      <c r="AX117" s="334"/>
      <c r="AY117" s="323">
        <v>7.764899999999999</v>
      </c>
      <c r="AZ117" s="323">
        <v>7.764899999999999</v>
      </c>
      <c r="BA117" s="323">
        <v>4.7858000000000001</v>
      </c>
      <c r="BB117" s="319"/>
      <c r="BC117" s="321">
        <f t="shared" si="6"/>
        <v>1.2699455240891708</v>
      </c>
      <c r="BD117" s="321">
        <f t="shared" si="7"/>
        <v>1.2699455240891708</v>
      </c>
      <c r="BE117" s="321">
        <f t="shared" si="8"/>
        <v>1.1420870073968823</v>
      </c>
      <c r="BG117" s="22">
        <f t="shared" si="9"/>
        <v>2.2759572004815709E-15</v>
      </c>
      <c r="BH117" s="22">
        <f t="shared" si="10"/>
        <v>-8.3266726846886741E-16</v>
      </c>
      <c r="BI117" s="22">
        <f t="shared" si="11"/>
        <v>-8.3266726846886741E-16</v>
      </c>
    </row>
    <row r="118" spans="2:61" x14ac:dyDescent="0.25">
      <c r="B118" s="312">
        <v>111</v>
      </c>
      <c r="C118" s="312" t="s">
        <v>682</v>
      </c>
      <c r="D118" s="312" t="s">
        <v>393</v>
      </c>
      <c r="E118" s="312">
        <v>5</v>
      </c>
      <c r="F118" s="312">
        <v>2</v>
      </c>
      <c r="G118" s="313" t="s">
        <v>99</v>
      </c>
      <c r="H118" s="313"/>
      <c r="I118" s="313">
        <v>4432.2299999999996</v>
      </c>
      <c r="J118" s="312">
        <v>4432.2299999999996</v>
      </c>
      <c r="K118" s="312">
        <v>0</v>
      </c>
      <c r="L118" s="312">
        <v>0</v>
      </c>
      <c r="M118" s="317"/>
      <c r="N118" s="319">
        <v>0.15529999999999999</v>
      </c>
      <c r="O118" s="319">
        <v>8.7499999999999994E-2</v>
      </c>
      <c r="P118" s="319">
        <v>0.34150000000000003</v>
      </c>
      <c r="Q118" s="319">
        <v>0</v>
      </c>
      <c r="R118" s="319">
        <v>0</v>
      </c>
      <c r="S118" s="319">
        <v>0.29959999999999998</v>
      </c>
      <c r="T118" s="319">
        <v>0</v>
      </c>
      <c r="U118" s="319">
        <v>0.62080000000000002</v>
      </c>
      <c r="V118" s="319">
        <v>0</v>
      </c>
      <c r="W118" s="319">
        <v>0</v>
      </c>
      <c r="X118" s="319">
        <v>0.85640000000000005</v>
      </c>
      <c r="Y118" s="319">
        <v>0</v>
      </c>
      <c r="Z118" s="319">
        <v>1.5920000000000001</v>
      </c>
      <c r="AA118" s="319">
        <v>0.21390000000000001</v>
      </c>
      <c r="AB118" s="319">
        <v>0.30120000000000002</v>
      </c>
      <c r="AC118" s="319">
        <v>9.0499999999999997E-2</v>
      </c>
      <c r="AD118" s="319">
        <v>0</v>
      </c>
      <c r="AE118" s="319">
        <v>0</v>
      </c>
      <c r="AF118" s="319">
        <v>0.11169999999999999</v>
      </c>
      <c r="AG118" s="319">
        <v>3.3399999999999999E-2</v>
      </c>
      <c r="AH118" s="319">
        <v>0</v>
      </c>
      <c r="AI118" s="319">
        <v>1.9689000000000001</v>
      </c>
      <c r="AJ118" s="319">
        <v>2.1063999999999998</v>
      </c>
      <c r="AK118" s="319">
        <v>9.9000000000000005E-2</v>
      </c>
      <c r="AL118" s="319">
        <v>0.43049999999999999</v>
      </c>
      <c r="AM118" s="319">
        <v>5.2999999999999999E-2</v>
      </c>
      <c r="AN118" s="319">
        <v>8.6E-3</v>
      </c>
      <c r="AO118" s="319">
        <v>0.4788</v>
      </c>
      <c r="AP118" s="319">
        <v>0</v>
      </c>
      <c r="AQ118" s="319">
        <v>0</v>
      </c>
      <c r="AR118" s="319">
        <v>0.49249999999999999</v>
      </c>
      <c r="AS118" s="319">
        <v>0.49249999999999999</v>
      </c>
      <c r="AT118" s="331">
        <v>0.2432</v>
      </c>
      <c r="AU118" s="336">
        <v>10.3415</v>
      </c>
      <c r="AV118" s="329">
        <v>10.3415</v>
      </c>
      <c r="AW118" s="337">
        <v>5.1075999999999997</v>
      </c>
      <c r="AX118" s="334"/>
      <c r="AY118" s="323">
        <v>8.2313000000000009</v>
      </c>
      <c r="AZ118" s="323">
        <v>8.2313000000000009</v>
      </c>
      <c r="BA118" s="323">
        <v>4.5436000000000005</v>
      </c>
      <c r="BB118" s="319"/>
      <c r="BC118" s="321">
        <f t="shared" si="6"/>
        <v>1.2563629074386791</v>
      </c>
      <c r="BD118" s="321">
        <f t="shared" si="7"/>
        <v>1.2563629074386791</v>
      </c>
      <c r="BE118" s="321">
        <f t="shared" si="8"/>
        <v>1.1241306453032835</v>
      </c>
      <c r="BG118" s="22">
        <f t="shared" si="9"/>
        <v>1.3877787807814457E-15</v>
      </c>
      <c r="BH118" s="22">
        <f t="shared" si="10"/>
        <v>-5.2735593669694936E-16</v>
      </c>
      <c r="BI118" s="22">
        <f t="shared" si="11"/>
        <v>-5.2735593669694936E-16</v>
      </c>
    </row>
    <row r="119" spans="2:61" x14ac:dyDescent="0.25">
      <c r="B119" s="312">
        <v>112</v>
      </c>
      <c r="C119" s="312" t="s">
        <v>684</v>
      </c>
      <c r="D119" s="312" t="s">
        <v>393</v>
      </c>
      <c r="E119" s="312">
        <v>5</v>
      </c>
      <c r="F119" s="312">
        <v>4</v>
      </c>
      <c r="G119" s="313" t="s">
        <v>100</v>
      </c>
      <c r="H119" s="313"/>
      <c r="I119" s="313">
        <v>2766.34</v>
      </c>
      <c r="J119" s="312">
        <v>2766.34</v>
      </c>
      <c r="K119" s="312">
        <v>0</v>
      </c>
      <c r="L119" s="312">
        <v>0</v>
      </c>
      <c r="M119" s="317"/>
      <c r="N119" s="319">
        <v>0.16589999999999999</v>
      </c>
      <c r="O119" s="319">
        <v>9.2100000000000001E-2</v>
      </c>
      <c r="P119" s="319">
        <v>0.32390000000000002</v>
      </c>
      <c r="Q119" s="319">
        <v>7.4300000000000005E-2</v>
      </c>
      <c r="R119" s="319">
        <v>2.8899999999999999E-2</v>
      </c>
      <c r="S119" s="319">
        <v>0.49719999999999998</v>
      </c>
      <c r="T119" s="319">
        <v>0</v>
      </c>
      <c r="U119" s="319">
        <v>0.63149999999999995</v>
      </c>
      <c r="V119" s="319">
        <v>0</v>
      </c>
      <c r="W119" s="319">
        <v>0</v>
      </c>
      <c r="X119" s="319">
        <v>0.1686</v>
      </c>
      <c r="Y119" s="319">
        <v>0</v>
      </c>
      <c r="Z119" s="319">
        <v>1.8734999999999999</v>
      </c>
      <c r="AA119" s="319">
        <v>0.21970000000000001</v>
      </c>
      <c r="AB119" s="319">
        <v>0.3266</v>
      </c>
      <c r="AC119" s="319">
        <v>8.8400000000000006E-2</v>
      </c>
      <c r="AD119" s="319">
        <v>0.10290000000000001</v>
      </c>
      <c r="AE119" s="319">
        <v>5.62E-2</v>
      </c>
      <c r="AF119" s="319">
        <v>0.1714</v>
      </c>
      <c r="AG119" s="319">
        <v>3.3500000000000002E-2</v>
      </c>
      <c r="AH119" s="319">
        <v>0</v>
      </c>
      <c r="AI119" s="319">
        <v>2.7823000000000002</v>
      </c>
      <c r="AJ119" s="319">
        <v>1.1402000000000001</v>
      </c>
      <c r="AK119" s="319">
        <v>8.8200000000000001E-2</v>
      </c>
      <c r="AL119" s="319">
        <v>0.64939999999999998</v>
      </c>
      <c r="AM119" s="319">
        <v>5.8000000000000003E-2</v>
      </c>
      <c r="AN119" s="319">
        <v>9.4000000000000004E-3</v>
      </c>
      <c r="AO119" s="319">
        <v>0.33489999999999998</v>
      </c>
      <c r="AP119" s="319">
        <v>0</v>
      </c>
      <c r="AQ119" s="319">
        <v>0</v>
      </c>
      <c r="AR119" s="319">
        <v>0.49590000000000001</v>
      </c>
      <c r="AS119" s="319">
        <v>0.49590000000000001</v>
      </c>
      <c r="AT119" s="331">
        <v>0.2505</v>
      </c>
      <c r="AU119" s="336">
        <v>10.4129</v>
      </c>
      <c r="AV119" s="329">
        <v>10.4129</v>
      </c>
      <c r="AW119" s="337">
        <v>5.2606999999999999</v>
      </c>
      <c r="AX119" s="334"/>
      <c r="AY119" s="323">
        <v>8.1997</v>
      </c>
      <c r="AZ119" s="323">
        <v>8.1997</v>
      </c>
      <c r="BA119" s="323">
        <v>4.6047999999999991</v>
      </c>
      <c r="BB119" s="319"/>
      <c r="BC119" s="321">
        <f t="shared" si="6"/>
        <v>1.2699123138651414</v>
      </c>
      <c r="BD119" s="321">
        <f t="shared" si="7"/>
        <v>1.2699123138651414</v>
      </c>
      <c r="BE119" s="321">
        <f t="shared" si="8"/>
        <v>1.1424383252258514</v>
      </c>
      <c r="BG119" s="22">
        <f t="shared" si="9"/>
        <v>5.5511151231257827E-16</v>
      </c>
      <c r="BH119" s="22">
        <f t="shared" si="10"/>
        <v>4.9960036108132044E-16</v>
      </c>
      <c r="BI119" s="22">
        <f t="shared" si="11"/>
        <v>4.9960036108132044E-16</v>
      </c>
    </row>
    <row r="120" spans="2:61" x14ac:dyDescent="0.25">
      <c r="B120" s="312">
        <v>113</v>
      </c>
      <c r="C120" s="312" t="s">
        <v>686</v>
      </c>
      <c r="D120" s="312" t="s">
        <v>393</v>
      </c>
      <c r="E120" s="312">
        <v>5</v>
      </c>
      <c r="F120" s="312">
        <v>6</v>
      </c>
      <c r="G120" s="313" t="s">
        <v>101</v>
      </c>
      <c r="H120" s="313"/>
      <c r="I120" s="313">
        <v>4477.1000000000004</v>
      </c>
      <c r="J120" s="312">
        <v>4477.1000000000004</v>
      </c>
      <c r="K120" s="312">
        <v>0</v>
      </c>
      <c r="L120" s="312">
        <v>0</v>
      </c>
      <c r="M120" s="317"/>
      <c r="N120" s="319">
        <v>0.15160000000000001</v>
      </c>
      <c r="O120" s="319">
        <v>8.4500000000000006E-2</v>
      </c>
      <c r="P120" s="319">
        <v>0.33179999999999998</v>
      </c>
      <c r="Q120" s="319">
        <v>7.2800000000000004E-2</v>
      </c>
      <c r="R120" s="319">
        <v>4.02E-2</v>
      </c>
      <c r="S120" s="319">
        <v>0.58509999999999995</v>
      </c>
      <c r="T120" s="319">
        <v>0</v>
      </c>
      <c r="U120" s="319">
        <v>0.63149999999999995</v>
      </c>
      <c r="V120" s="319">
        <v>0</v>
      </c>
      <c r="W120" s="319">
        <v>0</v>
      </c>
      <c r="X120" s="319">
        <v>0.159</v>
      </c>
      <c r="Y120" s="319">
        <v>0</v>
      </c>
      <c r="Z120" s="319">
        <v>1.9968999999999999</v>
      </c>
      <c r="AA120" s="319">
        <v>0.20480000000000001</v>
      </c>
      <c r="AB120" s="319">
        <v>0.29970000000000002</v>
      </c>
      <c r="AC120" s="319">
        <v>9.0700000000000003E-2</v>
      </c>
      <c r="AD120" s="319">
        <v>8.2299999999999998E-2</v>
      </c>
      <c r="AE120" s="319">
        <v>7.8100000000000003E-2</v>
      </c>
      <c r="AF120" s="319">
        <v>0.2205</v>
      </c>
      <c r="AG120" s="319">
        <v>3.2199999999999999E-2</v>
      </c>
      <c r="AH120" s="319">
        <v>0</v>
      </c>
      <c r="AI120" s="319">
        <v>2.7185999999999999</v>
      </c>
      <c r="AJ120" s="319">
        <v>1.024</v>
      </c>
      <c r="AK120" s="319">
        <v>9.11E-2</v>
      </c>
      <c r="AL120" s="319">
        <v>0.59040000000000004</v>
      </c>
      <c r="AM120" s="319">
        <v>5.7500000000000002E-2</v>
      </c>
      <c r="AN120" s="319">
        <v>9.2999999999999992E-3</v>
      </c>
      <c r="AO120" s="319">
        <v>0.3468</v>
      </c>
      <c r="AP120" s="319">
        <v>0</v>
      </c>
      <c r="AQ120" s="319">
        <v>0</v>
      </c>
      <c r="AR120" s="319">
        <v>0.495</v>
      </c>
      <c r="AS120" s="319">
        <v>0.495</v>
      </c>
      <c r="AT120" s="331">
        <v>0.26100000000000001</v>
      </c>
      <c r="AU120" s="336">
        <v>10.394399999999997</v>
      </c>
      <c r="AV120" s="329">
        <v>10.394399999999997</v>
      </c>
      <c r="AW120" s="337">
        <v>5.4805999999999981</v>
      </c>
      <c r="AX120" s="334"/>
      <c r="AY120" s="323">
        <v>8.184899999999999</v>
      </c>
      <c r="AZ120" s="323">
        <v>8.184899999999999</v>
      </c>
      <c r="BA120" s="323">
        <v>4.7876999999999992</v>
      </c>
      <c r="BB120" s="319"/>
      <c r="BC120" s="321">
        <f t="shared" si="6"/>
        <v>1.2699483194663341</v>
      </c>
      <c r="BD120" s="321">
        <f t="shared" si="7"/>
        <v>1.2699483194663341</v>
      </c>
      <c r="BE120" s="321">
        <f t="shared" si="8"/>
        <v>1.1447250245420555</v>
      </c>
      <c r="BG120" s="22">
        <f t="shared" si="9"/>
        <v>-3.4416913763379853E-15</v>
      </c>
      <c r="BH120" s="22">
        <f t="shared" si="10"/>
        <v>-1.0547118733938987E-15</v>
      </c>
      <c r="BI120" s="22">
        <f t="shared" si="11"/>
        <v>-1.0547118733938987E-15</v>
      </c>
    </row>
    <row r="121" spans="2:61" x14ac:dyDescent="0.25">
      <c r="B121" s="312">
        <v>114</v>
      </c>
      <c r="C121" s="312" t="s">
        <v>688</v>
      </c>
      <c r="D121" s="312" t="s">
        <v>393</v>
      </c>
      <c r="E121" s="312">
        <v>5</v>
      </c>
      <c r="F121" s="312">
        <v>4</v>
      </c>
      <c r="G121" s="313" t="s">
        <v>102</v>
      </c>
      <c r="H121" s="313"/>
      <c r="I121" s="313">
        <v>2752.74</v>
      </c>
      <c r="J121" s="312">
        <v>2752.74</v>
      </c>
      <c r="K121" s="312">
        <v>0</v>
      </c>
      <c r="L121" s="312">
        <v>0</v>
      </c>
      <c r="M121" s="317"/>
      <c r="N121" s="319">
        <v>0.16689999999999999</v>
      </c>
      <c r="O121" s="319">
        <v>9.2499999999999999E-2</v>
      </c>
      <c r="P121" s="319">
        <v>0.32490000000000002</v>
      </c>
      <c r="Q121" s="319">
        <v>7.4200000000000002E-2</v>
      </c>
      <c r="R121" s="319">
        <v>2.9000000000000001E-2</v>
      </c>
      <c r="S121" s="319">
        <v>0.49969999999999998</v>
      </c>
      <c r="T121" s="319">
        <v>0</v>
      </c>
      <c r="U121" s="319">
        <v>0.63149999999999995</v>
      </c>
      <c r="V121" s="319">
        <v>0</v>
      </c>
      <c r="W121" s="319">
        <v>0</v>
      </c>
      <c r="X121" s="319">
        <v>0.1724</v>
      </c>
      <c r="Y121" s="319">
        <v>0</v>
      </c>
      <c r="Z121" s="319">
        <v>2.6328</v>
      </c>
      <c r="AA121" s="319">
        <v>0.2213</v>
      </c>
      <c r="AB121" s="319">
        <v>0.32819999999999999</v>
      </c>
      <c r="AC121" s="319">
        <v>8.7900000000000006E-2</v>
      </c>
      <c r="AD121" s="319">
        <v>0.1028</v>
      </c>
      <c r="AE121" s="319">
        <v>5.6500000000000002E-2</v>
      </c>
      <c r="AF121" s="319">
        <v>0.17230000000000001</v>
      </c>
      <c r="AG121" s="319">
        <v>3.3599999999999998E-2</v>
      </c>
      <c r="AH121" s="319">
        <v>0</v>
      </c>
      <c r="AI121" s="319">
        <v>1.3677999999999999</v>
      </c>
      <c r="AJ121" s="319">
        <v>1.1383000000000001</v>
      </c>
      <c r="AK121" s="319">
        <v>8.6099999999999996E-2</v>
      </c>
      <c r="AL121" s="319">
        <v>0.63629999999999998</v>
      </c>
      <c r="AM121" s="319">
        <v>5.8299999999999998E-2</v>
      </c>
      <c r="AN121" s="319">
        <v>9.4999999999999998E-3</v>
      </c>
      <c r="AO121" s="319">
        <v>0.4889</v>
      </c>
      <c r="AP121" s="319">
        <v>0</v>
      </c>
      <c r="AQ121" s="319">
        <v>0</v>
      </c>
      <c r="AR121" s="319">
        <v>0.47060000000000002</v>
      </c>
      <c r="AS121" s="319">
        <v>0.47060000000000002</v>
      </c>
      <c r="AT121" s="331">
        <v>0.28899999999999998</v>
      </c>
      <c r="AU121" s="336">
        <v>9.8822999999999972</v>
      </c>
      <c r="AV121" s="329">
        <v>9.8822999999999972</v>
      </c>
      <c r="AW121" s="337">
        <v>6.0693999999999981</v>
      </c>
      <c r="AX121" s="334"/>
      <c r="AY121" s="323">
        <v>7.7818000000000005</v>
      </c>
      <c r="AZ121" s="323">
        <v>7.7818000000000005</v>
      </c>
      <c r="BA121" s="323">
        <v>4.9481000000000002</v>
      </c>
      <c r="BB121" s="319"/>
      <c r="BC121" s="321">
        <f t="shared" si="6"/>
        <v>1.269924696085738</v>
      </c>
      <c r="BD121" s="321">
        <f t="shared" si="7"/>
        <v>1.269924696085738</v>
      </c>
      <c r="BE121" s="321">
        <f t="shared" si="8"/>
        <v>1.2266122349992923</v>
      </c>
      <c r="BG121" s="22">
        <f t="shared" si="9"/>
        <v>-1.8873791418627661E-15</v>
      </c>
      <c r="BH121" s="22">
        <f t="shared" si="10"/>
        <v>-3.0531133177191805E-16</v>
      </c>
      <c r="BI121" s="22">
        <f t="shared" si="11"/>
        <v>-2.0816681711721685E-15</v>
      </c>
    </row>
    <row r="122" spans="2:61" x14ac:dyDescent="0.25">
      <c r="B122" s="312">
        <v>115</v>
      </c>
      <c r="C122" s="312" t="s">
        <v>690</v>
      </c>
      <c r="D122" s="312" t="s">
        <v>393</v>
      </c>
      <c r="E122" s="312">
        <v>9</v>
      </c>
      <c r="F122" s="312">
        <v>2</v>
      </c>
      <c r="G122" s="313" t="s">
        <v>222</v>
      </c>
      <c r="H122" s="313"/>
      <c r="I122" s="313">
        <v>3721.7</v>
      </c>
      <c r="J122" s="312">
        <v>396.09999999999991</v>
      </c>
      <c r="K122" s="312">
        <v>3325.6</v>
      </c>
      <c r="L122" s="312">
        <v>0</v>
      </c>
      <c r="M122" s="317"/>
      <c r="N122" s="319">
        <v>0.18390000000000001</v>
      </c>
      <c r="O122" s="319">
        <v>0.1042</v>
      </c>
      <c r="P122" s="319">
        <v>0.29509999999999997</v>
      </c>
      <c r="Q122" s="319">
        <v>6.8199999999999997E-2</v>
      </c>
      <c r="R122" s="319">
        <v>2.3599999999999999E-2</v>
      </c>
      <c r="S122" s="319">
        <v>0.21060000000000001</v>
      </c>
      <c r="T122" s="319">
        <v>0</v>
      </c>
      <c r="U122" s="319">
        <v>0.63149999999999995</v>
      </c>
      <c r="V122" s="319">
        <v>1.4801</v>
      </c>
      <c r="W122" s="319">
        <v>0.1081</v>
      </c>
      <c r="X122" s="319">
        <v>0.153</v>
      </c>
      <c r="Y122" s="319">
        <v>0</v>
      </c>
      <c r="Z122" s="319">
        <v>2.5499999999999998</v>
      </c>
      <c r="AA122" s="319">
        <v>0.23960000000000001</v>
      </c>
      <c r="AB122" s="319">
        <v>0.37359999999999999</v>
      </c>
      <c r="AC122" s="319">
        <v>0.1094</v>
      </c>
      <c r="AD122" s="319">
        <v>0.1019</v>
      </c>
      <c r="AE122" s="319">
        <v>4.5900000000000003E-2</v>
      </c>
      <c r="AF122" s="319">
        <v>4.9200000000000001E-2</v>
      </c>
      <c r="AG122" s="319">
        <v>3.0599999999999999E-2</v>
      </c>
      <c r="AH122" s="319">
        <v>0</v>
      </c>
      <c r="AI122" s="319">
        <v>1.5797000000000001</v>
      </c>
      <c r="AJ122" s="319">
        <v>1.5866</v>
      </c>
      <c r="AK122" s="319">
        <v>8.0799999999999997E-2</v>
      </c>
      <c r="AL122" s="319">
        <v>0.4108</v>
      </c>
      <c r="AM122" s="319">
        <v>3.6700000000000003E-2</v>
      </c>
      <c r="AN122" s="319">
        <v>6.0000000000000001E-3</v>
      </c>
      <c r="AO122" s="319">
        <v>0.36159999999999998</v>
      </c>
      <c r="AP122" s="319">
        <v>0.46689999999999998</v>
      </c>
      <c r="AQ122" s="319">
        <v>0</v>
      </c>
      <c r="AR122" s="319">
        <v>0.46160000000000001</v>
      </c>
      <c r="AS122" s="319">
        <v>0.56440000000000001</v>
      </c>
      <c r="AT122" s="331">
        <v>0.26469999999999999</v>
      </c>
      <c r="AU122" s="336">
        <v>9.6940999999999988</v>
      </c>
      <c r="AV122" s="329">
        <v>11.852</v>
      </c>
      <c r="AW122" s="337">
        <v>5.5584999999999996</v>
      </c>
      <c r="AX122" s="334"/>
      <c r="AY122" s="323">
        <v>7.6335000000000006</v>
      </c>
      <c r="AZ122" s="323">
        <v>10.0587</v>
      </c>
      <c r="BA122" s="323">
        <v>4.6728000000000005</v>
      </c>
      <c r="BB122" s="319"/>
      <c r="BC122" s="321">
        <f t="shared" si="6"/>
        <v>1.2699417043295995</v>
      </c>
      <c r="BD122" s="321">
        <f t="shared" si="7"/>
        <v>1.178283475995904</v>
      </c>
      <c r="BE122" s="321">
        <f t="shared" si="8"/>
        <v>1.1895437425098441</v>
      </c>
      <c r="BG122" s="22">
        <f t="shared" si="9"/>
        <v>6.106226635438361E-16</v>
      </c>
      <c r="BH122" s="22">
        <f t="shared" si="10"/>
        <v>2.1649348980190553E-15</v>
      </c>
      <c r="BI122" s="22">
        <f t="shared" si="11"/>
        <v>6.106226635438361E-16</v>
      </c>
    </row>
    <row r="123" spans="2:61" x14ac:dyDescent="0.25">
      <c r="B123" s="312">
        <v>116</v>
      </c>
      <c r="C123" s="312" t="s">
        <v>692</v>
      </c>
      <c r="D123" s="312" t="s">
        <v>393</v>
      </c>
      <c r="E123" s="312">
        <v>5</v>
      </c>
      <c r="F123" s="312">
        <v>2</v>
      </c>
      <c r="G123" s="313" t="s">
        <v>103</v>
      </c>
      <c r="H123" s="313"/>
      <c r="I123" s="313">
        <v>1942.7</v>
      </c>
      <c r="J123" s="312">
        <v>1942.7</v>
      </c>
      <c r="K123" s="312">
        <v>0</v>
      </c>
      <c r="L123" s="312">
        <v>0</v>
      </c>
      <c r="M123" s="317"/>
      <c r="N123" s="319">
        <v>0.23649999999999999</v>
      </c>
      <c r="O123" s="319">
        <v>0.13489999999999999</v>
      </c>
      <c r="P123" s="319">
        <v>0.34210000000000002</v>
      </c>
      <c r="Q123" s="319">
        <v>8.3799999999999999E-2</v>
      </c>
      <c r="R123" s="319">
        <v>2.06E-2</v>
      </c>
      <c r="S123" s="319">
        <v>0.2545</v>
      </c>
      <c r="T123" s="319">
        <v>0</v>
      </c>
      <c r="U123" s="319">
        <v>0.63149999999999995</v>
      </c>
      <c r="V123" s="319">
        <v>0</v>
      </c>
      <c r="W123" s="319">
        <v>0</v>
      </c>
      <c r="X123" s="319">
        <v>0.2442</v>
      </c>
      <c r="Y123" s="319">
        <v>0</v>
      </c>
      <c r="Z123" s="319">
        <v>1.3822000000000001</v>
      </c>
      <c r="AA123" s="319">
        <v>0.35670000000000002</v>
      </c>
      <c r="AB123" s="319">
        <v>0.53169999999999995</v>
      </c>
      <c r="AC123" s="319">
        <v>0.1114</v>
      </c>
      <c r="AD123" s="319">
        <v>6.5199999999999994E-2</v>
      </c>
      <c r="AE123" s="319">
        <v>0.04</v>
      </c>
      <c r="AF123" s="319">
        <v>0.12</v>
      </c>
      <c r="AG123" s="319">
        <v>5.57E-2</v>
      </c>
      <c r="AH123" s="319">
        <v>0</v>
      </c>
      <c r="AI123" s="319">
        <v>2.6692999999999998</v>
      </c>
      <c r="AJ123" s="319">
        <v>1.1025</v>
      </c>
      <c r="AK123" s="319">
        <v>0.1002</v>
      </c>
      <c r="AL123" s="319">
        <v>0.56020000000000003</v>
      </c>
      <c r="AM123" s="319">
        <v>6.0100000000000001E-2</v>
      </c>
      <c r="AN123" s="319">
        <v>9.7000000000000003E-3</v>
      </c>
      <c r="AO123" s="319">
        <v>1.1936</v>
      </c>
      <c r="AP123" s="319">
        <v>0</v>
      </c>
      <c r="AQ123" s="319">
        <v>0</v>
      </c>
      <c r="AR123" s="319">
        <v>0.51529999999999998</v>
      </c>
      <c r="AS123" s="319">
        <v>0.51529999999999998</v>
      </c>
      <c r="AT123" s="331">
        <v>0.23910000000000001</v>
      </c>
      <c r="AU123" s="336">
        <v>10.821899999999999</v>
      </c>
      <c r="AV123" s="329">
        <v>10.821899999999999</v>
      </c>
      <c r="AW123" s="337">
        <v>5.0200999999999993</v>
      </c>
      <c r="AX123" s="334"/>
      <c r="AY123" s="323">
        <v>8.5216999999999992</v>
      </c>
      <c r="AZ123" s="323">
        <v>8.5216999999999992</v>
      </c>
      <c r="BA123" s="323">
        <v>4.7466999999999997</v>
      </c>
      <c r="BB123" s="319"/>
      <c r="BC123" s="321">
        <f t="shared" si="6"/>
        <v>1.2699226680122511</v>
      </c>
      <c r="BD123" s="321">
        <f t="shared" si="7"/>
        <v>1.2699226680122511</v>
      </c>
      <c r="BE123" s="321">
        <f t="shared" si="8"/>
        <v>1.0575979101270356</v>
      </c>
      <c r="BG123" s="22">
        <f t="shared" si="9"/>
        <v>0</v>
      </c>
      <c r="BH123" s="22">
        <f t="shared" si="10"/>
        <v>3.6082248300317588E-16</v>
      </c>
      <c r="BI123" s="22">
        <f t="shared" si="11"/>
        <v>3.6082248300317588E-16</v>
      </c>
    </row>
    <row r="124" spans="2:61" x14ac:dyDescent="0.25">
      <c r="B124" s="312">
        <v>117</v>
      </c>
      <c r="C124" s="312" t="s">
        <v>694</v>
      </c>
      <c r="D124" s="312" t="s">
        <v>393</v>
      </c>
      <c r="E124" s="312">
        <v>5</v>
      </c>
      <c r="F124" s="312">
        <v>4</v>
      </c>
      <c r="G124" s="313" t="s">
        <v>104</v>
      </c>
      <c r="H124" s="313"/>
      <c r="I124" s="313">
        <v>2736.54</v>
      </c>
      <c r="J124" s="312">
        <v>2736.54</v>
      </c>
      <c r="K124" s="312">
        <v>0</v>
      </c>
      <c r="L124" s="312">
        <v>0</v>
      </c>
      <c r="M124" s="317"/>
      <c r="N124" s="319">
        <v>0.1678</v>
      </c>
      <c r="O124" s="319">
        <v>9.2999999999999999E-2</v>
      </c>
      <c r="P124" s="319">
        <v>0.32429999999999998</v>
      </c>
      <c r="Q124" s="319">
        <v>7.4399999999999994E-2</v>
      </c>
      <c r="R124" s="319">
        <v>2.92E-2</v>
      </c>
      <c r="S124" s="319">
        <v>0.50270000000000004</v>
      </c>
      <c r="T124" s="319">
        <v>0</v>
      </c>
      <c r="U124" s="319">
        <v>0.63149999999999995</v>
      </c>
      <c r="V124" s="319">
        <v>0</v>
      </c>
      <c r="W124" s="319">
        <v>0</v>
      </c>
      <c r="X124" s="319">
        <v>0.1734</v>
      </c>
      <c r="Y124" s="319">
        <v>0</v>
      </c>
      <c r="Z124" s="319">
        <v>1.883</v>
      </c>
      <c r="AA124" s="319">
        <v>0.22239999999999999</v>
      </c>
      <c r="AB124" s="319">
        <v>0.33</v>
      </c>
      <c r="AC124" s="319">
        <v>8.7900000000000006E-2</v>
      </c>
      <c r="AD124" s="319">
        <v>0.10440000000000001</v>
      </c>
      <c r="AE124" s="319">
        <v>5.6800000000000003E-2</v>
      </c>
      <c r="AF124" s="319">
        <v>0.17330000000000001</v>
      </c>
      <c r="AG124" s="319">
        <v>3.3700000000000001E-2</v>
      </c>
      <c r="AH124" s="319">
        <v>0</v>
      </c>
      <c r="AI124" s="319">
        <v>2.2711999999999999</v>
      </c>
      <c r="AJ124" s="319">
        <v>1.1431</v>
      </c>
      <c r="AK124" s="319">
        <v>9.2799999999999994E-2</v>
      </c>
      <c r="AL124" s="319">
        <v>0.64080000000000004</v>
      </c>
      <c r="AM124" s="319">
        <v>5.8599999999999999E-2</v>
      </c>
      <c r="AN124" s="319">
        <v>9.4999999999999998E-3</v>
      </c>
      <c r="AO124" s="319">
        <v>0.58250000000000002</v>
      </c>
      <c r="AP124" s="319">
        <v>0</v>
      </c>
      <c r="AQ124" s="319">
        <v>0</v>
      </c>
      <c r="AR124" s="319">
        <v>0.48430000000000001</v>
      </c>
      <c r="AS124" s="319">
        <v>0.48430000000000001</v>
      </c>
      <c r="AT124" s="331">
        <v>0.25240000000000001</v>
      </c>
      <c r="AU124" s="336">
        <v>10.1706</v>
      </c>
      <c r="AV124" s="329">
        <v>10.1706</v>
      </c>
      <c r="AW124" s="337">
        <v>5.3010999999999999</v>
      </c>
      <c r="AX124" s="334"/>
      <c r="AY124" s="323">
        <v>8.008799999999999</v>
      </c>
      <c r="AZ124" s="323">
        <v>8.008799999999999</v>
      </c>
      <c r="BA124" s="323">
        <v>4.6524000000000001</v>
      </c>
      <c r="BB124" s="319"/>
      <c r="BC124" s="321">
        <f t="shared" si="6"/>
        <v>1.2699280791129759</v>
      </c>
      <c r="BD124" s="321">
        <f t="shared" si="7"/>
        <v>1.2699280791129759</v>
      </c>
      <c r="BE124" s="321">
        <f t="shared" si="8"/>
        <v>1.1394334107127504</v>
      </c>
      <c r="BG124" s="22">
        <f t="shared" si="9"/>
        <v>-1.8318679906315083E-15</v>
      </c>
      <c r="BH124" s="22">
        <f t="shared" si="10"/>
        <v>0</v>
      </c>
      <c r="BI124" s="22">
        <f t="shared" si="11"/>
        <v>0</v>
      </c>
    </row>
    <row r="125" spans="2:61" x14ac:dyDescent="0.25">
      <c r="B125" s="312">
        <v>118</v>
      </c>
      <c r="C125" s="312" t="s">
        <v>696</v>
      </c>
      <c r="D125" s="312"/>
      <c r="E125" s="312">
        <v>5</v>
      </c>
      <c r="F125" s="312">
        <v>6</v>
      </c>
      <c r="G125" s="313" t="s">
        <v>105</v>
      </c>
      <c r="H125" s="313"/>
      <c r="I125" s="313">
        <v>4438.1000000000004</v>
      </c>
      <c r="J125" s="312">
        <v>4408.6000000000004</v>
      </c>
      <c r="K125" s="312">
        <v>0</v>
      </c>
      <c r="L125" s="312">
        <v>29.5</v>
      </c>
      <c r="M125" s="317"/>
      <c r="N125" s="319">
        <v>0.1527</v>
      </c>
      <c r="O125" s="319">
        <v>8.5300000000000001E-2</v>
      </c>
      <c r="P125" s="319">
        <v>0.33250000000000002</v>
      </c>
      <c r="Q125" s="319">
        <v>7.4800000000000005E-2</v>
      </c>
      <c r="R125" s="319">
        <v>3.5999999999999997E-2</v>
      </c>
      <c r="S125" s="319">
        <v>0.5847</v>
      </c>
      <c r="T125" s="319">
        <v>0</v>
      </c>
      <c r="U125" s="319">
        <v>0.63149999999999995</v>
      </c>
      <c r="V125" s="319">
        <v>0</v>
      </c>
      <c r="W125" s="319">
        <v>0</v>
      </c>
      <c r="X125" s="319">
        <v>0.16039999999999999</v>
      </c>
      <c r="Y125" s="319">
        <v>0</v>
      </c>
      <c r="Z125" s="319">
        <v>2.2827000000000002</v>
      </c>
      <c r="AA125" s="319">
        <v>0.20630000000000001</v>
      </c>
      <c r="AB125" s="319">
        <v>0.30709999999999998</v>
      </c>
      <c r="AC125" s="319">
        <v>9.0999999999999998E-2</v>
      </c>
      <c r="AD125" s="319">
        <v>0.1021</v>
      </c>
      <c r="AE125" s="319">
        <v>7.0000000000000007E-2</v>
      </c>
      <c r="AF125" s="319">
        <v>0.215</v>
      </c>
      <c r="AG125" s="319">
        <v>3.2300000000000002E-2</v>
      </c>
      <c r="AH125" s="319">
        <v>0</v>
      </c>
      <c r="AI125" s="319">
        <v>2.4348999999999998</v>
      </c>
      <c r="AJ125" s="319">
        <v>1.0692999999999999</v>
      </c>
      <c r="AK125" s="319">
        <v>8.8200000000000001E-2</v>
      </c>
      <c r="AL125" s="319">
        <v>0.42570000000000002</v>
      </c>
      <c r="AM125" s="319">
        <v>5.0799999999999998E-2</v>
      </c>
      <c r="AN125" s="319">
        <v>8.2000000000000007E-3</v>
      </c>
      <c r="AO125" s="319">
        <v>0.2465</v>
      </c>
      <c r="AP125" s="319">
        <v>0</v>
      </c>
      <c r="AQ125" s="319">
        <v>0</v>
      </c>
      <c r="AR125" s="319">
        <v>0.4844</v>
      </c>
      <c r="AS125" s="319">
        <v>0.4844</v>
      </c>
      <c r="AT125" s="331">
        <v>0.27560000000000001</v>
      </c>
      <c r="AU125" s="336">
        <v>10.172400000000003</v>
      </c>
      <c r="AV125" s="329">
        <v>10.172400000000003</v>
      </c>
      <c r="AW125" s="337">
        <v>5.7872000000000021</v>
      </c>
      <c r="AX125" s="334"/>
      <c r="AY125" s="323">
        <v>8.0101999999999993</v>
      </c>
      <c r="AZ125" s="323">
        <v>8.0101999999999993</v>
      </c>
      <c r="BA125" s="323">
        <v>4.9372999999999996</v>
      </c>
      <c r="BB125" s="319"/>
      <c r="BC125" s="321">
        <f t="shared" si="6"/>
        <v>1.2699308381813192</v>
      </c>
      <c r="BD125" s="321">
        <f t="shared" si="7"/>
        <v>1.2699308381813192</v>
      </c>
      <c r="BE125" s="321">
        <f t="shared" si="8"/>
        <v>1.1721386182731457</v>
      </c>
      <c r="BG125" s="22">
        <f t="shared" si="9"/>
        <v>6.3282712403633923E-15</v>
      </c>
      <c r="BH125" s="22">
        <f t="shared" si="10"/>
        <v>0</v>
      </c>
      <c r="BI125" s="22">
        <f t="shared" si="11"/>
        <v>1.7763568394002505E-15</v>
      </c>
    </row>
    <row r="126" spans="2:61" x14ac:dyDescent="0.25">
      <c r="B126" s="312">
        <v>119</v>
      </c>
      <c r="C126" s="312" t="s">
        <v>698</v>
      </c>
      <c r="D126" s="312"/>
      <c r="E126" s="312">
        <v>5</v>
      </c>
      <c r="F126" s="312">
        <v>2</v>
      </c>
      <c r="G126" s="313" t="s">
        <v>106</v>
      </c>
      <c r="H126" s="313"/>
      <c r="I126" s="313">
        <v>4429.8999999999996</v>
      </c>
      <c r="J126" s="312">
        <v>4429.8999999999996</v>
      </c>
      <c r="K126" s="312">
        <v>0</v>
      </c>
      <c r="L126" s="312">
        <v>0</v>
      </c>
      <c r="M126" s="317"/>
      <c r="N126" s="319">
        <v>0.15620000000000001</v>
      </c>
      <c r="O126" s="319">
        <v>8.7599999999999997E-2</v>
      </c>
      <c r="P126" s="319">
        <v>0.33229999999999998</v>
      </c>
      <c r="Q126" s="319">
        <v>7.2999999999999995E-2</v>
      </c>
      <c r="R126" s="319">
        <v>0</v>
      </c>
      <c r="S126" s="319">
        <v>0.29980000000000001</v>
      </c>
      <c r="T126" s="319">
        <v>0</v>
      </c>
      <c r="U126" s="319">
        <v>0.63149999999999995</v>
      </c>
      <c r="V126" s="319">
        <v>0</v>
      </c>
      <c r="W126" s="319">
        <v>0</v>
      </c>
      <c r="X126" s="319">
        <v>0.28560000000000002</v>
      </c>
      <c r="Y126" s="319">
        <v>0</v>
      </c>
      <c r="Z126" s="319">
        <v>1.2329000000000001</v>
      </c>
      <c r="AA126" s="319">
        <v>0.21659999999999999</v>
      </c>
      <c r="AB126" s="319">
        <v>0.3105</v>
      </c>
      <c r="AC126" s="319">
        <v>8.2699999999999996E-2</v>
      </c>
      <c r="AD126" s="319">
        <v>8.7599999999999997E-2</v>
      </c>
      <c r="AE126" s="319">
        <v>0</v>
      </c>
      <c r="AF126" s="319">
        <v>0.11169999999999999</v>
      </c>
      <c r="AG126" s="319">
        <v>3.3700000000000001E-2</v>
      </c>
      <c r="AH126" s="319">
        <v>0</v>
      </c>
      <c r="AI126" s="319">
        <v>2.5726</v>
      </c>
      <c r="AJ126" s="319">
        <v>2.3233999999999999</v>
      </c>
      <c r="AK126" s="319">
        <v>9.9699999999999997E-2</v>
      </c>
      <c r="AL126" s="319">
        <v>0.57040000000000002</v>
      </c>
      <c r="AM126" s="319">
        <v>5.8200000000000002E-2</v>
      </c>
      <c r="AN126" s="319">
        <v>9.4000000000000004E-3</v>
      </c>
      <c r="AO126" s="319">
        <v>0.30609999999999998</v>
      </c>
      <c r="AP126" s="319">
        <v>0</v>
      </c>
      <c r="AQ126" s="319">
        <v>0</v>
      </c>
      <c r="AR126" s="319">
        <v>0.49409999999999998</v>
      </c>
      <c r="AS126" s="319">
        <v>0.49409999999999998</v>
      </c>
      <c r="AT126" s="331">
        <v>0.20549999999999999</v>
      </c>
      <c r="AU126" s="336">
        <v>10.375599999999999</v>
      </c>
      <c r="AV126" s="329">
        <v>10.375599999999999</v>
      </c>
      <c r="AW126" s="337">
        <v>4.3144999999999998</v>
      </c>
      <c r="AX126" s="334"/>
      <c r="AY126" s="323">
        <v>8.1702000000000012</v>
      </c>
      <c r="AZ126" s="323">
        <v>8.1702000000000012</v>
      </c>
      <c r="BA126" s="323">
        <v>3.8537000000000012</v>
      </c>
      <c r="BB126" s="319"/>
      <c r="BC126" s="321">
        <f t="shared" si="6"/>
        <v>1.2699321926023839</v>
      </c>
      <c r="BD126" s="321">
        <f t="shared" si="7"/>
        <v>1.2699321926023839</v>
      </c>
      <c r="BE126" s="321">
        <f t="shared" si="8"/>
        <v>1.1195733969950952</v>
      </c>
      <c r="BG126" s="22">
        <f t="shared" si="9"/>
        <v>-2.0539125955565396E-15</v>
      </c>
      <c r="BH126" s="22">
        <f t="shared" si="10"/>
        <v>0</v>
      </c>
      <c r="BI126" s="22">
        <f t="shared" si="11"/>
        <v>-1.0547118733938987E-15</v>
      </c>
    </row>
    <row r="127" spans="2:61" x14ac:dyDescent="0.25">
      <c r="B127" s="312">
        <v>120</v>
      </c>
      <c r="C127" s="312" t="s">
        <v>700</v>
      </c>
      <c r="D127" s="312"/>
      <c r="E127" s="312">
        <v>5</v>
      </c>
      <c r="F127" s="312">
        <v>2</v>
      </c>
      <c r="G127" s="313" t="s">
        <v>107</v>
      </c>
      <c r="H127" s="313"/>
      <c r="I127" s="313">
        <v>4382.8999999999996</v>
      </c>
      <c r="J127" s="312">
        <v>4382.8999999999996</v>
      </c>
      <c r="K127" s="312">
        <v>0</v>
      </c>
      <c r="L127" s="312">
        <v>0</v>
      </c>
      <c r="M127" s="317"/>
      <c r="N127" s="319">
        <v>0.1578</v>
      </c>
      <c r="O127" s="319">
        <v>8.8499999999999995E-2</v>
      </c>
      <c r="P127" s="319">
        <v>0.33139999999999997</v>
      </c>
      <c r="Q127" s="319">
        <v>7.3200000000000001E-2</v>
      </c>
      <c r="R127" s="319">
        <v>0</v>
      </c>
      <c r="S127" s="319">
        <v>0.30299999999999999</v>
      </c>
      <c r="T127" s="319">
        <v>0</v>
      </c>
      <c r="U127" s="319">
        <v>0.63149999999999995</v>
      </c>
      <c r="V127" s="319">
        <v>0</v>
      </c>
      <c r="W127" s="319">
        <v>0</v>
      </c>
      <c r="X127" s="319">
        <v>0.28870000000000001</v>
      </c>
      <c r="Y127" s="319">
        <v>0</v>
      </c>
      <c r="Z127" s="319">
        <v>1.6358999999999999</v>
      </c>
      <c r="AA127" s="319">
        <v>0.21890000000000001</v>
      </c>
      <c r="AB127" s="319">
        <v>0.31390000000000001</v>
      </c>
      <c r="AC127" s="319">
        <v>8.2299999999999998E-2</v>
      </c>
      <c r="AD127" s="319">
        <v>8.9399999999999993E-2</v>
      </c>
      <c r="AE127" s="319">
        <v>0</v>
      </c>
      <c r="AF127" s="319">
        <v>0.1129</v>
      </c>
      <c r="AG127" s="319">
        <v>3.4000000000000002E-2</v>
      </c>
      <c r="AH127" s="319">
        <v>0</v>
      </c>
      <c r="AI127" s="319">
        <v>2.3492999999999999</v>
      </c>
      <c r="AJ127" s="319">
        <v>1.2828999999999999</v>
      </c>
      <c r="AK127" s="319">
        <v>0.1119</v>
      </c>
      <c r="AL127" s="319">
        <v>0.4572</v>
      </c>
      <c r="AM127" s="319">
        <v>5.7500000000000002E-2</v>
      </c>
      <c r="AN127" s="319">
        <v>9.2999999999999992E-3</v>
      </c>
      <c r="AO127" s="319">
        <v>0.50780000000000003</v>
      </c>
      <c r="AP127" s="319">
        <v>0</v>
      </c>
      <c r="AQ127" s="319">
        <v>0</v>
      </c>
      <c r="AR127" s="319">
        <v>0.45689999999999997</v>
      </c>
      <c r="AS127" s="319">
        <v>0.45689999999999997</v>
      </c>
      <c r="AT127" s="331">
        <v>0.22700000000000001</v>
      </c>
      <c r="AU127" s="336">
        <v>9.5941999999999972</v>
      </c>
      <c r="AV127" s="329">
        <v>9.5941999999999972</v>
      </c>
      <c r="AW127" s="337">
        <v>4.7670999999999992</v>
      </c>
      <c r="AX127" s="334"/>
      <c r="AY127" s="323">
        <v>7.5549999999999997</v>
      </c>
      <c r="AZ127" s="323">
        <v>7.5549999999999997</v>
      </c>
      <c r="BA127" s="323">
        <v>3.9611000000000001</v>
      </c>
      <c r="BB127" s="319"/>
      <c r="BC127" s="321">
        <f t="shared" si="6"/>
        <v>1.2699139642620778</v>
      </c>
      <c r="BD127" s="321">
        <f t="shared" si="7"/>
        <v>1.2699139642620778</v>
      </c>
      <c r="BE127" s="321">
        <f t="shared" si="8"/>
        <v>1.2034788316376761</v>
      </c>
      <c r="BG127" s="22">
        <f t="shared" si="9"/>
        <v>-2.55351295663786E-15</v>
      </c>
      <c r="BH127" s="22">
        <f t="shared" si="10"/>
        <v>0</v>
      </c>
      <c r="BI127" s="22">
        <f t="shared" si="11"/>
        <v>-8.6042284408449632E-16</v>
      </c>
    </row>
    <row r="128" spans="2:61" x14ac:dyDescent="0.25">
      <c r="B128" s="312">
        <v>121</v>
      </c>
      <c r="C128" s="312" t="s">
        <v>702</v>
      </c>
      <c r="D128" s="312"/>
      <c r="E128" s="312">
        <v>5</v>
      </c>
      <c r="F128" s="312">
        <v>4</v>
      </c>
      <c r="G128" s="313" t="s">
        <v>108</v>
      </c>
      <c r="H128" s="313"/>
      <c r="I128" s="313">
        <v>2753</v>
      </c>
      <c r="J128" s="312">
        <v>2753</v>
      </c>
      <c r="K128" s="312">
        <v>0</v>
      </c>
      <c r="L128" s="312">
        <v>0</v>
      </c>
      <c r="M128" s="317"/>
      <c r="N128" s="319">
        <v>0.16689999999999999</v>
      </c>
      <c r="O128" s="319">
        <v>9.2499999999999999E-2</v>
      </c>
      <c r="P128" s="319">
        <v>0.3246</v>
      </c>
      <c r="Q128" s="319">
        <v>7.4200000000000002E-2</v>
      </c>
      <c r="R128" s="319">
        <v>2.9000000000000001E-2</v>
      </c>
      <c r="S128" s="319">
        <v>0.49959999999999999</v>
      </c>
      <c r="T128" s="319">
        <v>0</v>
      </c>
      <c r="U128" s="319">
        <v>0.63149999999999995</v>
      </c>
      <c r="V128" s="319">
        <v>0</v>
      </c>
      <c r="W128" s="319">
        <v>0</v>
      </c>
      <c r="X128" s="319">
        <v>0.17230000000000001</v>
      </c>
      <c r="Y128" s="319">
        <v>0</v>
      </c>
      <c r="Z128" s="319">
        <v>1.2352000000000001</v>
      </c>
      <c r="AA128" s="319">
        <v>0.22120000000000001</v>
      </c>
      <c r="AB128" s="319">
        <v>0.3281</v>
      </c>
      <c r="AC128" s="319">
        <v>8.7900000000000006E-2</v>
      </c>
      <c r="AD128" s="319">
        <v>0.1027</v>
      </c>
      <c r="AE128" s="319">
        <v>5.6500000000000002E-2</v>
      </c>
      <c r="AF128" s="319">
        <v>0.17219999999999999</v>
      </c>
      <c r="AG128" s="319">
        <v>3.3599999999999998E-2</v>
      </c>
      <c r="AH128" s="319">
        <v>0</v>
      </c>
      <c r="AI128" s="319">
        <v>3.4823</v>
      </c>
      <c r="AJ128" s="319">
        <v>1.127</v>
      </c>
      <c r="AK128" s="319">
        <v>8.8499999999999995E-2</v>
      </c>
      <c r="AL128" s="319">
        <v>0.76139999999999997</v>
      </c>
      <c r="AM128" s="319">
        <v>5.1400000000000001E-2</v>
      </c>
      <c r="AN128" s="319">
        <v>8.3000000000000001E-3</v>
      </c>
      <c r="AO128" s="319">
        <v>0.2331</v>
      </c>
      <c r="AP128" s="319">
        <v>0</v>
      </c>
      <c r="AQ128" s="319">
        <v>0</v>
      </c>
      <c r="AR128" s="319">
        <v>0.499</v>
      </c>
      <c r="AS128" s="319">
        <v>0.499</v>
      </c>
      <c r="AT128" s="331">
        <v>0.21879999999999999</v>
      </c>
      <c r="AU128" s="336">
        <v>10.479000000000001</v>
      </c>
      <c r="AV128" s="329">
        <v>10.479000000000001</v>
      </c>
      <c r="AW128" s="337">
        <v>4.5950000000000006</v>
      </c>
      <c r="AX128" s="334"/>
      <c r="AY128" s="323">
        <v>8.2516999999999996</v>
      </c>
      <c r="AZ128" s="323">
        <v>8.2516999999999996</v>
      </c>
      <c r="BA128" s="323">
        <v>4.2091000000000012</v>
      </c>
      <c r="BB128" s="319"/>
      <c r="BC128" s="321">
        <f t="shared" si="6"/>
        <v>1.2699201376686018</v>
      </c>
      <c r="BD128" s="321">
        <f t="shared" si="7"/>
        <v>1.2699201376686018</v>
      </c>
      <c r="BE128" s="321">
        <f t="shared" si="8"/>
        <v>1.0916823073816253</v>
      </c>
      <c r="BG128" s="22">
        <f t="shared" si="9"/>
        <v>3.1086244689504383E-15</v>
      </c>
      <c r="BH128" s="22">
        <f t="shared" si="10"/>
        <v>1.0824674490095276E-15</v>
      </c>
      <c r="BI128" s="22">
        <f t="shared" si="11"/>
        <v>0</v>
      </c>
    </row>
    <row r="129" spans="2:61" x14ac:dyDescent="0.25">
      <c r="B129" s="312">
        <v>122</v>
      </c>
      <c r="C129" s="312" t="s">
        <v>704</v>
      </c>
      <c r="D129" s="312"/>
      <c r="E129" s="312">
        <v>5</v>
      </c>
      <c r="F129" s="312">
        <v>4</v>
      </c>
      <c r="G129" s="313" t="s">
        <v>109</v>
      </c>
      <c r="H129" s="313"/>
      <c r="I129" s="313">
        <v>2775.3</v>
      </c>
      <c r="J129" s="312">
        <v>2775.3</v>
      </c>
      <c r="K129" s="312">
        <v>0</v>
      </c>
      <c r="L129" s="312">
        <v>0</v>
      </c>
      <c r="M129" s="317"/>
      <c r="N129" s="319">
        <v>0.1656</v>
      </c>
      <c r="O129" s="319">
        <v>9.1800000000000007E-2</v>
      </c>
      <c r="P129" s="319">
        <v>0.32469999999999999</v>
      </c>
      <c r="Q129" s="319">
        <v>7.3999999999999996E-2</v>
      </c>
      <c r="R129" s="319">
        <v>2.8799999999999999E-2</v>
      </c>
      <c r="S129" s="319">
        <v>0.49559999999999998</v>
      </c>
      <c r="T129" s="319">
        <v>0</v>
      </c>
      <c r="U129" s="319">
        <v>0.63149999999999995</v>
      </c>
      <c r="V129" s="319">
        <v>0</v>
      </c>
      <c r="W129" s="319">
        <v>0</v>
      </c>
      <c r="X129" s="319">
        <v>0.17100000000000001</v>
      </c>
      <c r="Y129" s="319">
        <v>0</v>
      </c>
      <c r="Z129" s="319">
        <v>1.4713000000000001</v>
      </c>
      <c r="AA129" s="319">
        <v>0.2195</v>
      </c>
      <c r="AB129" s="319">
        <v>0.32550000000000001</v>
      </c>
      <c r="AC129" s="319">
        <v>8.7800000000000003E-2</v>
      </c>
      <c r="AD129" s="319">
        <v>0.1014</v>
      </c>
      <c r="AE129" s="319">
        <v>5.6000000000000001E-2</v>
      </c>
      <c r="AF129" s="319">
        <v>0.1709</v>
      </c>
      <c r="AG129" s="319">
        <v>3.3399999999999999E-2</v>
      </c>
      <c r="AH129" s="319">
        <v>0</v>
      </c>
      <c r="AI129" s="319">
        <v>3.3380000000000001</v>
      </c>
      <c r="AJ129" s="319">
        <v>1.1065</v>
      </c>
      <c r="AK129" s="319">
        <v>8.7800000000000003E-2</v>
      </c>
      <c r="AL129" s="319">
        <v>0.66200000000000003</v>
      </c>
      <c r="AM129" s="319">
        <v>5.0999999999999997E-2</v>
      </c>
      <c r="AN129" s="319">
        <v>8.3000000000000001E-3</v>
      </c>
      <c r="AO129" s="319">
        <v>0.1958</v>
      </c>
      <c r="AP129" s="319">
        <v>0</v>
      </c>
      <c r="AQ129" s="319">
        <v>0</v>
      </c>
      <c r="AR129" s="319">
        <v>0.49490000000000001</v>
      </c>
      <c r="AS129" s="319">
        <v>0.49490000000000001</v>
      </c>
      <c r="AT129" s="331">
        <v>0.2298</v>
      </c>
      <c r="AU129" s="336">
        <v>10.3931</v>
      </c>
      <c r="AV129" s="329">
        <v>10.3931</v>
      </c>
      <c r="AW129" s="337">
        <v>4.8256999999999994</v>
      </c>
      <c r="AX129" s="334"/>
      <c r="AY129" s="323">
        <v>8.1838999999999995</v>
      </c>
      <c r="AZ129" s="323">
        <v>8.1838999999999995</v>
      </c>
      <c r="BA129" s="323">
        <v>4.4140000000000006</v>
      </c>
      <c r="BB129" s="319"/>
      <c r="BC129" s="321">
        <f t="shared" si="6"/>
        <v>1.2699446474174905</v>
      </c>
      <c r="BD129" s="321">
        <f t="shared" si="7"/>
        <v>1.2699446474174905</v>
      </c>
      <c r="BE129" s="321">
        <f t="shared" si="8"/>
        <v>1.0932714091526956</v>
      </c>
      <c r="BG129" s="22">
        <f t="shared" si="9"/>
        <v>3.4416913763379853E-15</v>
      </c>
      <c r="BH129" s="22">
        <f t="shared" si="10"/>
        <v>-5.8286708792820718E-16</v>
      </c>
      <c r="BI129" s="22">
        <f t="shared" si="11"/>
        <v>-5.8286708792820718E-16</v>
      </c>
    </row>
    <row r="130" spans="2:61" x14ac:dyDescent="0.25">
      <c r="B130" s="312">
        <v>123</v>
      </c>
      <c r="C130" s="312" t="s">
        <v>706</v>
      </c>
      <c r="D130" s="312"/>
      <c r="E130" s="312">
        <v>5</v>
      </c>
      <c r="F130" s="312">
        <v>6</v>
      </c>
      <c r="G130" s="313" t="s">
        <v>110</v>
      </c>
      <c r="H130" s="313"/>
      <c r="I130" s="313">
        <v>4439.83</v>
      </c>
      <c r="J130" s="312">
        <v>4373.63</v>
      </c>
      <c r="K130" s="312">
        <v>0</v>
      </c>
      <c r="L130" s="312">
        <v>66.2</v>
      </c>
      <c r="M130" s="317"/>
      <c r="N130" s="319">
        <v>0.15629999999999999</v>
      </c>
      <c r="O130" s="319">
        <v>0.10349999999999999</v>
      </c>
      <c r="P130" s="319">
        <v>0.33229999999999998</v>
      </c>
      <c r="Q130" s="319">
        <v>7.46E-2</v>
      </c>
      <c r="R130" s="319">
        <v>0</v>
      </c>
      <c r="S130" s="319">
        <v>0.59989999999999999</v>
      </c>
      <c r="T130" s="319">
        <v>0</v>
      </c>
      <c r="U130" s="319">
        <v>0.63149999999999995</v>
      </c>
      <c r="V130" s="319">
        <v>0</v>
      </c>
      <c r="W130" s="319">
        <v>0</v>
      </c>
      <c r="X130" s="319">
        <v>0.16739999999999999</v>
      </c>
      <c r="Y130" s="319">
        <v>0</v>
      </c>
      <c r="Z130" s="319">
        <v>1.3461000000000001</v>
      </c>
      <c r="AA130" s="319">
        <v>0.2152</v>
      </c>
      <c r="AB130" s="319">
        <v>0.36699999999999999</v>
      </c>
      <c r="AC130" s="319">
        <v>9.0300000000000005E-2</v>
      </c>
      <c r="AD130" s="319">
        <v>0.1013</v>
      </c>
      <c r="AE130" s="319">
        <v>0</v>
      </c>
      <c r="AF130" s="319">
        <v>0.21740000000000001</v>
      </c>
      <c r="AG130" s="319">
        <v>3.3500000000000002E-2</v>
      </c>
      <c r="AH130" s="319">
        <v>0</v>
      </c>
      <c r="AI130" s="319">
        <v>2.2534999999999998</v>
      </c>
      <c r="AJ130" s="319">
        <v>1.0321</v>
      </c>
      <c r="AK130" s="319">
        <v>9.1200000000000003E-2</v>
      </c>
      <c r="AL130" s="319">
        <v>0.43080000000000002</v>
      </c>
      <c r="AM130" s="319">
        <v>5.3699999999999998E-2</v>
      </c>
      <c r="AN130" s="319">
        <v>8.6999999999999994E-3</v>
      </c>
      <c r="AO130" s="319">
        <v>0.29349999999999998</v>
      </c>
      <c r="AP130" s="319">
        <v>0</v>
      </c>
      <c r="AQ130" s="319">
        <v>0</v>
      </c>
      <c r="AR130" s="319">
        <v>0.43</v>
      </c>
      <c r="AS130" s="319">
        <v>0.43</v>
      </c>
      <c r="AT130" s="331">
        <v>0.22950000000000001</v>
      </c>
      <c r="AU130" s="336">
        <v>9.0297999999999963</v>
      </c>
      <c r="AV130" s="329">
        <v>9.0297999999999963</v>
      </c>
      <c r="AW130" s="337">
        <v>4.8193999999999972</v>
      </c>
      <c r="AX130" s="334"/>
      <c r="AY130" s="323">
        <v>7.1104000000000003</v>
      </c>
      <c r="AZ130" s="323">
        <v>7.1104000000000003</v>
      </c>
      <c r="BA130" s="323">
        <v>3.8765000000000005</v>
      </c>
      <c r="BB130" s="319"/>
      <c r="BC130" s="321">
        <f t="shared" si="6"/>
        <v>1.2699426192619256</v>
      </c>
      <c r="BD130" s="321">
        <f t="shared" si="7"/>
        <v>1.2699426192619256</v>
      </c>
      <c r="BE130" s="321">
        <f t="shared" si="8"/>
        <v>1.2432348768218746</v>
      </c>
      <c r="BG130" s="22">
        <f t="shared" si="9"/>
        <v>-3.7192471324942744E-15</v>
      </c>
      <c r="BH130" s="22">
        <f t="shared" si="10"/>
        <v>-6.6613381477509392E-16</v>
      </c>
      <c r="BI130" s="22">
        <f t="shared" si="11"/>
        <v>-2.4424906541753444E-15</v>
      </c>
    </row>
    <row r="131" spans="2:61" x14ac:dyDescent="0.25">
      <c r="B131" s="312">
        <v>124</v>
      </c>
      <c r="C131" s="312" t="s">
        <v>708</v>
      </c>
      <c r="D131" s="312"/>
      <c r="E131" s="312">
        <v>5</v>
      </c>
      <c r="F131" s="312">
        <v>2</v>
      </c>
      <c r="G131" s="313" t="s">
        <v>111</v>
      </c>
      <c r="H131" s="313"/>
      <c r="I131" s="313">
        <v>3357.89</v>
      </c>
      <c r="J131" s="312">
        <v>3357.89</v>
      </c>
      <c r="K131" s="312">
        <v>0</v>
      </c>
      <c r="L131" s="312">
        <v>0</v>
      </c>
      <c r="M131" s="317"/>
      <c r="N131" s="319">
        <v>0.18429999999999999</v>
      </c>
      <c r="O131" s="319">
        <v>0.11360000000000001</v>
      </c>
      <c r="P131" s="319">
        <v>0.32740000000000002</v>
      </c>
      <c r="Q131" s="319">
        <v>7.4499999999999997E-2</v>
      </c>
      <c r="R131" s="319">
        <v>0</v>
      </c>
      <c r="S131" s="319">
        <v>0.3649</v>
      </c>
      <c r="T131" s="319">
        <v>0</v>
      </c>
      <c r="U131" s="319">
        <v>0.63149999999999995</v>
      </c>
      <c r="V131" s="319">
        <v>0</v>
      </c>
      <c r="W131" s="319">
        <v>0</v>
      </c>
      <c r="X131" s="319">
        <v>0.28260000000000002</v>
      </c>
      <c r="Y131" s="319">
        <v>0</v>
      </c>
      <c r="Z131" s="319">
        <v>1.6414</v>
      </c>
      <c r="AA131" s="319">
        <v>0.25240000000000001</v>
      </c>
      <c r="AB131" s="319">
        <v>0.40279999999999999</v>
      </c>
      <c r="AC131" s="319">
        <v>8.2600000000000007E-2</v>
      </c>
      <c r="AD131" s="319">
        <v>0.1074</v>
      </c>
      <c r="AE131" s="319">
        <v>0</v>
      </c>
      <c r="AF131" s="319">
        <v>0.12870000000000001</v>
      </c>
      <c r="AG131" s="319">
        <v>3.2800000000000003E-2</v>
      </c>
      <c r="AH131" s="319">
        <v>0</v>
      </c>
      <c r="AI131" s="319">
        <v>2.1581999999999999</v>
      </c>
      <c r="AJ131" s="319">
        <v>0.53039999999999998</v>
      </c>
      <c r="AK131" s="319">
        <v>9.7900000000000001E-2</v>
      </c>
      <c r="AL131" s="319">
        <v>0.50160000000000005</v>
      </c>
      <c r="AM131" s="319">
        <v>5.4300000000000001E-2</v>
      </c>
      <c r="AN131" s="319">
        <v>8.8000000000000005E-3</v>
      </c>
      <c r="AO131" s="319">
        <v>0.62119999999999997</v>
      </c>
      <c r="AP131" s="319">
        <v>0</v>
      </c>
      <c r="AQ131" s="319">
        <v>0</v>
      </c>
      <c r="AR131" s="319">
        <v>0.43</v>
      </c>
      <c r="AS131" s="319">
        <v>0.43</v>
      </c>
      <c r="AT131" s="331">
        <v>0.2394</v>
      </c>
      <c r="AU131" s="336">
        <v>9.0292999999999992</v>
      </c>
      <c r="AV131" s="329">
        <v>9.0292999999999992</v>
      </c>
      <c r="AW131" s="337">
        <v>5.0272999999999994</v>
      </c>
      <c r="AX131" s="334"/>
      <c r="AY131" s="323">
        <v>7.5390999999999995</v>
      </c>
      <c r="AZ131" s="323">
        <v>7.5390999999999995</v>
      </c>
      <c r="BA131" s="323">
        <v>4.264899999999999</v>
      </c>
      <c r="BB131" s="319"/>
      <c r="BC131" s="321">
        <f t="shared" si="6"/>
        <v>1.1976628510034355</v>
      </c>
      <c r="BD131" s="321">
        <f t="shared" si="7"/>
        <v>1.1976628510034355</v>
      </c>
      <c r="BE131" s="321">
        <f t="shared" si="8"/>
        <v>1.1787615184412297</v>
      </c>
      <c r="BG131" s="22">
        <f t="shared" si="9"/>
        <v>-3.3861802251067274E-15</v>
      </c>
      <c r="BH131" s="22">
        <f t="shared" si="10"/>
        <v>-7.2164496600635175E-16</v>
      </c>
      <c r="BI131" s="22">
        <f t="shared" si="11"/>
        <v>-7.2164496600635175E-16</v>
      </c>
    </row>
    <row r="132" spans="2:61" x14ac:dyDescent="0.25">
      <c r="B132" s="312">
        <v>125</v>
      </c>
      <c r="C132" s="312" t="s">
        <v>710</v>
      </c>
      <c r="D132" s="312"/>
      <c r="E132" s="312">
        <v>5</v>
      </c>
      <c r="F132" s="312">
        <v>2</v>
      </c>
      <c r="G132" s="313" t="s">
        <v>112</v>
      </c>
      <c r="H132" s="313"/>
      <c r="I132" s="313">
        <v>3343.62</v>
      </c>
      <c r="J132" s="312">
        <v>3343.62</v>
      </c>
      <c r="K132" s="312">
        <v>0</v>
      </c>
      <c r="L132" s="312">
        <v>0</v>
      </c>
      <c r="M132" s="317"/>
      <c r="N132" s="319">
        <v>0.18509999999999999</v>
      </c>
      <c r="O132" s="319">
        <v>0.11409999999999999</v>
      </c>
      <c r="P132" s="319">
        <v>0.32879999999999998</v>
      </c>
      <c r="Q132" s="319">
        <v>7.4800000000000005E-2</v>
      </c>
      <c r="R132" s="319">
        <v>0</v>
      </c>
      <c r="S132" s="319">
        <v>0.3664</v>
      </c>
      <c r="T132" s="319">
        <v>0</v>
      </c>
      <c r="U132" s="319">
        <v>0.63149999999999995</v>
      </c>
      <c r="V132" s="319">
        <v>0</v>
      </c>
      <c r="W132" s="319">
        <v>0</v>
      </c>
      <c r="X132" s="319">
        <v>0.2838</v>
      </c>
      <c r="Y132" s="319">
        <v>0</v>
      </c>
      <c r="Z132" s="319">
        <v>1.6257999999999999</v>
      </c>
      <c r="AA132" s="319">
        <v>0.2535</v>
      </c>
      <c r="AB132" s="319">
        <v>0.40450000000000003</v>
      </c>
      <c r="AC132" s="319">
        <v>8.2900000000000001E-2</v>
      </c>
      <c r="AD132" s="319">
        <v>0.1079</v>
      </c>
      <c r="AE132" s="319">
        <v>0</v>
      </c>
      <c r="AF132" s="319">
        <v>0.1293</v>
      </c>
      <c r="AG132" s="319">
        <v>3.2899999999999999E-2</v>
      </c>
      <c r="AH132" s="319">
        <v>0</v>
      </c>
      <c r="AI132" s="319">
        <v>2.5457000000000001</v>
      </c>
      <c r="AJ132" s="319">
        <v>0.56410000000000005</v>
      </c>
      <c r="AK132" s="319">
        <v>9.8000000000000004E-2</v>
      </c>
      <c r="AL132" s="319">
        <v>0.40289999999999998</v>
      </c>
      <c r="AM132" s="319">
        <v>5.45E-2</v>
      </c>
      <c r="AN132" s="319">
        <v>8.8000000000000005E-3</v>
      </c>
      <c r="AO132" s="319">
        <v>0.62380000000000002</v>
      </c>
      <c r="AP132" s="319">
        <v>0</v>
      </c>
      <c r="AQ132" s="319">
        <v>0</v>
      </c>
      <c r="AR132" s="319">
        <v>0.44600000000000001</v>
      </c>
      <c r="AS132" s="319">
        <v>0.44600000000000001</v>
      </c>
      <c r="AT132" s="331">
        <v>0.23910000000000001</v>
      </c>
      <c r="AU132" s="336">
        <v>9.3651</v>
      </c>
      <c r="AV132" s="329">
        <v>9.3651</v>
      </c>
      <c r="AW132" s="337">
        <v>5.0217000000000009</v>
      </c>
      <c r="AX132" s="334"/>
      <c r="AY132" s="323">
        <v>7.6428000000000003</v>
      </c>
      <c r="AZ132" s="323">
        <v>7.6428000000000003</v>
      </c>
      <c r="BA132" s="323">
        <v>4.1860000000000008</v>
      </c>
      <c r="BB132" s="319"/>
      <c r="BC132" s="321">
        <f t="shared" si="6"/>
        <v>1.2253493484063431</v>
      </c>
      <c r="BD132" s="321">
        <f t="shared" si="7"/>
        <v>1.2253493484063431</v>
      </c>
      <c r="BE132" s="321">
        <f t="shared" si="8"/>
        <v>1.1996416626851409</v>
      </c>
      <c r="BG132" s="22">
        <f t="shared" si="9"/>
        <v>0</v>
      </c>
      <c r="BH132" s="22">
        <f t="shared" si="10"/>
        <v>0</v>
      </c>
      <c r="BI132" s="22">
        <f t="shared" si="11"/>
        <v>1.9428902930940239E-15</v>
      </c>
    </row>
    <row r="133" spans="2:61" x14ac:dyDescent="0.25">
      <c r="B133" s="312">
        <v>126</v>
      </c>
      <c r="C133" s="312" t="s">
        <v>712</v>
      </c>
      <c r="D133" s="312"/>
      <c r="E133" s="312">
        <v>5</v>
      </c>
      <c r="F133" s="312">
        <v>6</v>
      </c>
      <c r="G133" s="313" t="s">
        <v>113</v>
      </c>
      <c r="H133" s="313"/>
      <c r="I133" s="313">
        <v>4481.1000000000004</v>
      </c>
      <c r="J133" s="312">
        <v>4481.1000000000004</v>
      </c>
      <c r="K133" s="312">
        <v>0</v>
      </c>
      <c r="L133" s="312">
        <v>0</v>
      </c>
      <c r="M133" s="317"/>
      <c r="N133" s="319">
        <v>0.15640000000000001</v>
      </c>
      <c r="O133" s="319">
        <v>8.4400000000000003E-2</v>
      </c>
      <c r="P133" s="319">
        <v>0.33200000000000002</v>
      </c>
      <c r="Q133" s="319">
        <v>7.46E-2</v>
      </c>
      <c r="R133" s="319">
        <v>4.0099999999999997E-2</v>
      </c>
      <c r="S133" s="319">
        <v>0.58460000000000001</v>
      </c>
      <c r="T133" s="319">
        <v>0</v>
      </c>
      <c r="U133" s="319">
        <v>0.63149999999999995</v>
      </c>
      <c r="V133" s="319">
        <v>0</v>
      </c>
      <c r="W133" s="319">
        <v>0</v>
      </c>
      <c r="X133" s="319">
        <v>0.1588</v>
      </c>
      <c r="Y133" s="319">
        <v>0</v>
      </c>
      <c r="Z133" s="319">
        <v>2.1364999999999998</v>
      </c>
      <c r="AA133" s="319">
        <v>0.20860000000000001</v>
      </c>
      <c r="AB133" s="319">
        <v>0.30809999999999998</v>
      </c>
      <c r="AC133" s="319">
        <v>9.0899999999999995E-2</v>
      </c>
      <c r="AD133" s="319">
        <v>9.8500000000000004E-2</v>
      </c>
      <c r="AE133" s="319">
        <v>7.8E-2</v>
      </c>
      <c r="AF133" s="319">
        <v>0.2203</v>
      </c>
      <c r="AG133" s="319">
        <v>3.2199999999999999E-2</v>
      </c>
      <c r="AH133" s="319">
        <v>0</v>
      </c>
      <c r="AI133" s="319">
        <v>2.4205999999999999</v>
      </c>
      <c r="AJ133" s="319">
        <v>1.0169999999999999</v>
      </c>
      <c r="AK133" s="319">
        <v>8.77E-2</v>
      </c>
      <c r="AL133" s="319">
        <v>0.40629999999999999</v>
      </c>
      <c r="AM133" s="319">
        <v>5.7500000000000002E-2</v>
      </c>
      <c r="AN133" s="319">
        <v>9.2999999999999992E-3</v>
      </c>
      <c r="AO133" s="319">
        <v>0.19059999999999999</v>
      </c>
      <c r="AP133" s="319">
        <v>0</v>
      </c>
      <c r="AQ133" s="319">
        <v>0</v>
      </c>
      <c r="AR133" s="319">
        <v>0.47120000000000001</v>
      </c>
      <c r="AS133" s="319">
        <v>0.47120000000000001</v>
      </c>
      <c r="AT133" s="331">
        <v>0.26950000000000002</v>
      </c>
      <c r="AU133" s="336">
        <v>9.8956999999999962</v>
      </c>
      <c r="AV133" s="329">
        <v>9.8956999999999962</v>
      </c>
      <c r="AW133" s="337">
        <v>5.6594999999999969</v>
      </c>
      <c r="AX133" s="334"/>
      <c r="AY133" s="323">
        <v>7.7923999999999989</v>
      </c>
      <c r="AZ133" s="323">
        <v>7.7923999999999989</v>
      </c>
      <c r="BA133" s="323">
        <v>4.7945999999999982</v>
      </c>
      <c r="BB133" s="319"/>
      <c r="BC133" s="321">
        <f t="shared" si="6"/>
        <v>1.269916842051229</v>
      </c>
      <c r="BD133" s="321">
        <f t="shared" si="7"/>
        <v>1.269916842051229</v>
      </c>
      <c r="BE133" s="321">
        <f t="shared" si="8"/>
        <v>1.1803904392441495</v>
      </c>
      <c r="BG133" s="22">
        <f t="shared" si="9"/>
        <v>-4.3853809472693683E-15</v>
      </c>
      <c r="BH133" s="22">
        <f t="shared" si="10"/>
        <v>-7.2164496600635175E-16</v>
      </c>
      <c r="BI133" s="22">
        <f t="shared" si="11"/>
        <v>-1.609823385706477E-15</v>
      </c>
    </row>
    <row r="134" spans="2:61" x14ac:dyDescent="0.25">
      <c r="B134" s="312">
        <v>127</v>
      </c>
      <c r="C134" s="312" t="s">
        <v>714</v>
      </c>
      <c r="D134" s="312"/>
      <c r="E134" s="312">
        <v>5</v>
      </c>
      <c r="F134" s="312">
        <v>4</v>
      </c>
      <c r="G134" s="313" t="s">
        <v>114</v>
      </c>
      <c r="H134" s="313"/>
      <c r="I134" s="313">
        <v>2759.6</v>
      </c>
      <c r="J134" s="312">
        <v>2759.6</v>
      </c>
      <c r="K134" s="312">
        <v>0</v>
      </c>
      <c r="L134" s="312">
        <v>0</v>
      </c>
      <c r="M134" s="317"/>
      <c r="N134" s="319">
        <v>0.16650000000000001</v>
      </c>
      <c r="O134" s="319">
        <v>9.2299999999999993E-2</v>
      </c>
      <c r="P134" s="319">
        <v>0.32419999999999999</v>
      </c>
      <c r="Q134" s="319">
        <v>7.4300000000000005E-2</v>
      </c>
      <c r="R134" s="319">
        <v>0</v>
      </c>
      <c r="S134" s="319">
        <v>0.4985</v>
      </c>
      <c r="T134" s="319">
        <v>0</v>
      </c>
      <c r="U134" s="319">
        <v>0.63149999999999995</v>
      </c>
      <c r="V134" s="319">
        <v>0</v>
      </c>
      <c r="W134" s="319">
        <v>0</v>
      </c>
      <c r="X134" s="319">
        <v>0.1719</v>
      </c>
      <c r="Y134" s="319">
        <v>0</v>
      </c>
      <c r="Z134" s="319">
        <v>1.5190999999999999</v>
      </c>
      <c r="AA134" s="319">
        <v>0.23810000000000001</v>
      </c>
      <c r="AB134" s="319">
        <v>0.33650000000000002</v>
      </c>
      <c r="AC134" s="319">
        <v>8.7900000000000006E-2</v>
      </c>
      <c r="AD134" s="319">
        <v>0.1037</v>
      </c>
      <c r="AE134" s="319">
        <v>0</v>
      </c>
      <c r="AF134" s="319">
        <v>0.17180000000000001</v>
      </c>
      <c r="AG134" s="319">
        <v>3.3500000000000002E-2</v>
      </c>
      <c r="AH134" s="319">
        <v>0</v>
      </c>
      <c r="AI134" s="319">
        <v>2.7115</v>
      </c>
      <c r="AJ134" s="319">
        <v>1.1344000000000001</v>
      </c>
      <c r="AK134" s="319">
        <v>3.7400000000000003E-2</v>
      </c>
      <c r="AL134" s="319">
        <v>0.49330000000000002</v>
      </c>
      <c r="AM134" s="319">
        <v>5.1299999999999998E-2</v>
      </c>
      <c r="AN134" s="319">
        <v>8.3000000000000001E-3</v>
      </c>
      <c r="AO134" s="319">
        <v>0.27200000000000002</v>
      </c>
      <c r="AP134" s="319">
        <v>0</v>
      </c>
      <c r="AQ134" s="319">
        <v>0</v>
      </c>
      <c r="AR134" s="319">
        <v>0.45789999999999997</v>
      </c>
      <c r="AS134" s="319">
        <v>0.45789999999999997</v>
      </c>
      <c r="AT134" s="331">
        <v>0.2273</v>
      </c>
      <c r="AU134" s="336">
        <v>9.6158999999999999</v>
      </c>
      <c r="AV134" s="329">
        <v>9.6158999999999999</v>
      </c>
      <c r="AW134" s="337">
        <v>4.7740999999999989</v>
      </c>
      <c r="AX134" s="334"/>
      <c r="AY134" s="323">
        <v>7.5719999999999992</v>
      </c>
      <c r="AZ134" s="323">
        <v>7.5719999999999992</v>
      </c>
      <c r="BA134" s="323">
        <v>4.2518999999999991</v>
      </c>
      <c r="BB134" s="319"/>
      <c r="BC134" s="321">
        <f t="shared" si="6"/>
        <v>1.2699286846275755</v>
      </c>
      <c r="BD134" s="321">
        <f t="shared" si="7"/>
        <v>1.2699286846275755</v>
      </c>
      <c r="BE134" s="321">
        <f t="shared" si="8"/>
        <v>1.1228156824008091</v>
      </c>
      <c r="BG134" s="22">
        <f t="shared" si="9"/>
        <v>1.6653345369377348E-15</v>
      </c>
      <c r="BH134" s="22">
        <f t="shared" si="10"/>
        <v>-6.9388939039072284E-16</v>
      </c>
      <c r="BI134" s="22">
        <f t="shared" si="11"/>
        <v>-1.5820678100908481E-15</v>
      </c>
    </row>
    <row r="135" spans="2:61" x14ac:dyDescent="0.25">
      <c r="B135" s="312">
        <v>128</v>
      </c>
      <c r="C135" s="312" t="s">
        <v>716</v>
      </c>
      <c r="D135" s="312"/>
      <c r="E135" s="312">
        <v>5</v>
      </c>
      <c r="F135" s="312">
        <v>4</v>
      </c>
      <c r="G135" s="313" t="s">
        <v>115</v>
      </c>
      <c r="H135" s="313"/>
      <c r="I135" s="313">
        <v>2767.3</v>
      </c>
      <c r="J135" s="312">
        <v>2767.3</v>
      </c>
      <c r="K135" s="312">
        <v>0</v>
      </c>
      <c r="L135" s="312">
        <v>0</v>
      </c>
      <c r="M135" s="317"/>
      <c r="N135" s="319">
        <v>0.16600000000000001</v>
      </c>
      <c r="O135" s="319">
        <v>9.2100000000000001E-2</v>
      </c>
      <c r="P135" s="319">
        <v>0.32450000000000001</v>
      </c>
      <c r="Q135" s="319">
        <v>7.4200000000000002E-2</v>
      </c>
      <c r="R135" s="319">
        <v>2.8899999999999999E-2</v>
      </c>
      <c r="S135" s="319">
        <v>0.49709999999999999</v>
      </c>
      <c r="T135" s="319">
        <v>0</v>
      </c>
      <c r="U135" s="319">
        <v>0.63149999999999995</v>
      </c>
      <c r="V135" s="319">
        <v>0</v>
      </c>
      <c r="W135" s="319">
        <v>0</v>
      </c>
      <c r="X135" s="319">
        <v>0.1714</v>
      </c>
      <c r="Y135" s="319">
        <v>0</v>
      </c>
      <c r="Z135" s="319">
        <v>1.8016000000000001</v>
      </c>
      <c r="AA135" s="319">
        <v>0.22009999999999999</v>
      </c>
      <c r="AB135" s="319">
        <v>0.32640000000000002</v>
      </c>
      <c r="AC135" s="319">
        <v>8.8300000000000003E-2</v>
      </c>
      <c r="AD135" s="319">
        <v>0.1028</v>
      </c>
      <c r="AE135" s="319">
        <v>5.62E-2</v>
      </c>
      <c r="AF135" s="319">
        <v>0.1714</v>
      </c>
      <c r="AG135" s="319">
        <v>3.1699999999999999E-2</v>
      </c>
      <c r="AH135" s="319">
        <v>0</v>
      </c>
      <c r="AI135" s="319">
        <v>2.798</v>
      </c>
      <c r="AJ135" s="319">
        <v>1.1385000000000001</v>
      </c>
      <c r="AK135" s="319">
        <v>8.9399999999999993E-2</v>
      </c>
      <c r="AL135" s="319">
        <v>0.52139999999999997</v>
      </c>
      <c r="AM135" s="319">
        <v>5.2900000000000003E-2</v>
      </c>
      <c r="AN135" s="319">
        <v>8.6E-3</v>
      </c>
      <c r="AO135" s="319">
        <v>0.33479999999999999</v>
      </c>
      <c r="AP135" s="319">
        <v>0</v>
      </c>
      <c r="AQ135" s="319">
        <v>0</v>
      </c>
      <c r="AR135" s="319">
        <v>0.4864</v>
      </c>
      <c r="AS135" s="319">
        <v>0.4864</v>
      </c>
      <c r="AT135" s="331">
        <v>0.24679999999999999</v>
      </c>
      <c r="AU135" s="336">
        <v>10.214199999999998</v>
      </c>
      <c r="AV135" s="329">
        <v>10.214199999999998</v>
      </c>
      <c r="AW135" s="337">
        <v>5.1818999999999988</v>
      </c>
      <c r="AX135" s="334"/>
      <c r="AY135" s="323">
        <v>8.0433000000000003</v>
      </c>
      <c r="AZ135" s="323">
        <v>8.0433000000000003</v>
      </c>
      <c r="BA135" s="323">
        <v>4.610100000000001</v>
      </c>
      <c r="BB135" s="319"/>
      <c r="BC135" s="321">
        <f t="shared" si="6"/>
        <v>1.269901657279972</v>
      </c>
      <c r="BD135" s="321">
        <f t="shared" si="7"/>
        <v>1.269901657279972</v>
      </c>
      <c r="BE135" s="321">
        <f t="shared" si="8"/>
        <v>1.124032016659074</v>
      </c>
      <c r="BG135" s="22">
        <f t="shared" si="9"/>
        <v>-2.1649348980190553E-15</v>
      </c>
      <c r="BH135" s="22">
        <f t="shared" si="10"/>
        <v>4.163336342344337E-16</v>
      </c>
      <c r="BI135" s="22">
        <f t="shared" si="11"/>
        <v>-3.1363800445660672E-15</v>
      </c>
    </row>
    <row r="136" spans="2:61" x14ac:dyDescent="0.25">
      <c r="B136" s="312">
        <v>129</v>
      </c>
      <c r="C136" s="312" t="s">
        <v>718</v>
      </c>
      <c r="D136" s="312"/>
      <c r="E136" s="312">
        <v>5</v>
      </c>
      <c r="F136" s="312">
        <v>4</v>
      </c>
      <c r="G136" s="313" t="s">
        <v>116</v>
      </c>
      <c r="H136" s="313"/>
      <c r="I136" s="313">
        <v>3198.27</v>
      </c>
      <c r="J136" s="312">
        <v>3198.27</v>
      </c>
      <c r="K136" s="312">
        <v>0</v>
      </c>
      <c r="L136" s="312">
        <v>0</v>
      </c>
      <c r="M136" s="317"/>
      <c r="N136" s="319">
        <v>0.16520000000000001</v>
      </c>
      <c r="O136" s="319">
        <v>0.10639999999999999</v>
      </c>
      <c r="P136" s="319">
        <v>0.32800000000000001</v>
      </c>
      <c r="Q136" s="319">
        <v>7.3300000000000004E-2</v>
      </c>
      <c r="R136" s="319">
        <v>0</v>
      </c>
      <c r="S136" s="319">
        <v>0.45689999999999997</v>
      </c>
      <c r="T136" s="319">
        <v>0</v>
      </c>
      <c r="U136" s="319">
        <v>0.63149999999999995</v>
      </c>
      <c r="V136" s="319">
        <v>0</v>
      </c>
      <c r="W136" s="319">
        <v>0</v>
      </c>
      <c r="X136" s="319">
        <v>0.16320000000000001</v>
      </c>
      <c r="Y136" s="319">
        <v>0</v>
      </c>
      <c r="Z136" s="319">
        <v>1.268</v>
      </c>
      <c r="AA136" s="319">
        <v>0.22040000000000001</v>
      </c>
      <c r="AB136" s="319">
        <v>0.37719999999999998</v>
      </c>
      <c r="AC136" s="319">
        <v>9.0700000000000003E-2</v>
      </c>
      <c r="AD136" s="319">
        <v>0.1041</v>
      </c>
      <c r="AE136" s="319">
        <v>0</v>
      </c>
      <c r="AF136" s="319">
        <v>0.16170000000000001</v>
      </c>
      <c r="AG136" s="319">
        <v>3.27E-2</v>
      </c>
      <c r="AH136" s="319">
        <v>0</v>
      </c>
      <c r="AI136" s="319">
        <v>2.1878000000000002</v>
      </c>
      <c r="AJ136" s="319">
        <v>1.1134999999999999</v>
      </c>
      <c r="AK136" s="319">
        <v>9.4100000000000003E-2</v>
      </c>
      <c r="AL136" s="319">
        <v>0.48359999999999997</v>
      </c>
      <c r="AM136" s="319">
        <v>5.0599999999999999E-2</v>
      </c>
      <c r="AN136" s="319">
        <v>8.2000000000000007E-3</v>
      </c>
      <c r="AO136" s="319">
        <v>0.33979999999999999</v>
      </c>
      <c r="AP136" s="319">
        <v>0</v>
      </c>
      <c r="AQ136" s="319">
        <v>0</v>
      </c>
      <c r="AR136" s="319">
        <v>0.42280000000000001</v>
      </c>
      <c r="AS136" s="319">
        <v>0.42280000000000001</v>
      </c>
      <c r="AT136" s="331">
        <v>0.21659999999999999</v>
      </c>
      <c r="AU136" s="336">
        <v>8.8796999999999997</v>
      </c>
      <c r="AV136" s="329">
        <v>8.8796999999999997</v>
      </c>
      <c r="AW136" s="337">
        <v>4.5487999999999982</v>
      </c>
      <c r="AX136" s="334"/>
      <c r="AY136" s="323">
        <v>6.9923000000000011</v>
      </c>
      <c r="AZ136" s="323">
        <v>6.9923000000000011</v>
      </c>
      <c r="BA136" s="323">
        <v>3.9189000000000007</v>
      </c>
      <c r="BB136" s="319"/>
      <c r="BC136" s="321">
        <f t="shared" si="6"/>
        <v>1.2699254894669849</v>
      </c>
      <c r="BD136" s="321">
        <f t="shared" si="7"/>
        <v>1.2699254894669849</v>
      </c>
      <c r="BE136" s="321">
        <f t="shared" si="8"/>
        <v>1.1607338794049344</v>
      </c>
      <c r="BG136" s="22">
        <f t="shared" si="9"/>
        <v>0</v>
      </c>
      <c r="BH136" s="22">
        <f t="shared" si="10"/>
        <v>-1.4432899320127035E-15</v>
      </c>
      <c r="BI136" s="22">
        <f t="shared" si="11"/>
        <v>-2.3314683517128287E-15</v>
      </c>
    </row>
    <row r="137" spans="2:61" x14ac:dyDescent="0.25">
      <c r="B137" s="312">
        <v>130</v>
      </c>
      <c r="C137" s="312" t="s">
        <v>720</v>
      </c>
      <c r="D137" s="312"/>
      <c r="E137" s="312">
        <v>5</v>
      </c>
      <c r="F137" s="312">
        <v>2</v>
      </c>
      <c r="G137" s="313" t="s">
        <v>117</v>
      </c>
      <c r="H137" s="313"/>
      <c r="I137" s="313">
        <v>3356.3</v>
      </c>
      <c r="J137" s="312">
        <v>3356.3</v>
      </c>
      <c r="K137" s="312">
        <v>0</v>
      </c>
      <c r="L137" s="312">
        <v>0</v>
      </c>
      <c r="M137" s="317"/>
      <c r="N137" s="319">
        <v>0.18190000000000001</v>
      </c>
      <c r="O137" s="319">
        <v>0.1168</v>
      </c>
      <c r="P137" s="319">
        <v>0.32790000000000002</v>
      </c>
      <c r="Q137" s="319">
        <v>7.46E-2</v>
      </c>
      <c r="R137" s="319">
        <v>0</v>
      </c>
      <c r="S137" s="319">
        <v>0.36509999999999998</v>
      </c>
      <c r="T137" s="319">
        <v>0</v>
      </c>
      <c r="U137" s="319">
        <v>0.63149999999999995</v>
      </c>
      <c r="V137" s="319">
        <v>0</v>
      </c>
      <c r="W137" s="319">
        <v>0</v>
      </c>
      <c r="X137" s="319">
        <v>0.28270000000000001</v>
      </c>
      <c r="Y137" s="319">
        <v>0</v>
      </c>
      <c r="Z137" s="319">
        <v>1.6345000000000001</v>
      </c>
      <c r="AA137" s="319">
        <v>0.2495</v>
      </c>
      <c r="AB137" s="319">
        <v>0.40550000000000003</v>
      </c>
      <c r="AC137" s="319">
        <v>8.5000000000000006E-2</v>
      </c>
      <c r="AD137" s="319">
        <v>0.1013</v>
      </c>
      <c r="AE137" s="319">
        <v>0</v>
      </c>
      <c r="AF137" s="319">
        <v>0.1288</v>
      </c>
      <c r="AG137" s="319">
        <v>3.1600000000000003E-2</v>
      </c>
      <c r="AH137" s="319">
        <v>0</v>
      </c>
      <c r="AI137" s="319">
        <v>2.2599999999999998</v>
      </c>
      <c r="AJ137" s="319">
        <v>0.56340000000000001</v>
      </c>
      <c r="AK137" s="319">
        <v>9.69E-2</v>
      </c>
      <c r="AL137" s="319">
        <v>0.39050000000000001</v>
      </c>
      <c r="AM137" s="319">
        <v>5.4899999999999997E-2</v>
      </c>
      <c r="AN137" s="319">
        <v>8.8999999999999999E-3</v>
      </c>
      <c r="AO137" s="319">
        <v>0.98229999999999995</v>
      </c>
      <c r="AP137" s="319">
        <v>0</v>
      </c>
      <c r="AQ137" s="319">
        <v>0</v>
      </c>
      <c r="AR137" s="319">
        <v>0.44869999999999999</v>
      </c>
      <c r="AS137" s="319">
        <v>0.44869999999999999</v>
      </c>
      <c r="AT137" s="331">
        <v>0.2389</v>
      </c>
      <c r="AU137" s="336">
        <v>9.4222999999999999</v>
      </c>
      <c r="AV137" s="329">
        <v>9.4222999999999999</v>
      </c>
      <c r="AW137" s="337">
        <v>5.0162999999999993</v>
      </c>
      <c r="AX137" s="334"/>
      <c r="AY137" s="323">
        <v>7.7753999999999994</v>
      </c>
      <c r="AZ137" s="323">
        <v>7.7753999999999994</v>
      </c>
      <c r="BA137" s="323">
        <v>4.2526999999999999</v>
      </c>
      <c r="BB137" s="319"/>
      <c r="BC137" s="321">
        <f t="shared" ref="BC137:BC200" si="12">AU137/AY137</f>
        <v>1.2118090387632792</v>
      </c>
      <c r="BD137" s="321">
        <f t="shared" ref="BD137:BD200" si="13">AV137/AZ137</f>
        <v>1.2118090387632792</v>
      </c>
      <c r="BE137" s="321">
        <f t="shared" ref="BE137:BE200" si="14">AW137/BA137</f>
        <v>1.1795565170362357</v>
      </c>
      <c r="BG137" s="22">
        <f t="shared" ref="BG137:BG200" si="15">AU137-N137-O137-P137-Q137-R137-S137-T137-U137-X137-Y137-Z137-AA137-AB137-AC137-AD137-AE137-AF137-AG137-AH137-AI137-AJ137-AK137-AL137-AM137-AN137-AO137-AQ137-AR137</f>
        <v>-5.5511151231257827E-16</v>
      </c>
      <c r="BH137" s="22">
        <f t="shared" ref="BH137:BH200" si="16">AV137-AS137-AQ137-AP137-AO137-AN137-AM137-AL137-AK137-AJ137-AI137-AH137-AG137-AF137-AE137-AD137-AC137-AB137-AA137-Z137-Y137-X137-W137-V137-U137-T137-S137-R137-Q137-P137-O137-N137</f>
        <v>-2.2204460492503131E-16</v>
      </c>
      <c r="BI137" s="22">
        <f t="shared" ref="BI137:BI200" si="17">AW137-AT137-AQ137-AN137-AM137-AK137-AH137-AG137-AF137-AE137-AD137-AC137-AB137-AA137-Z137-Y137-X137-U137-T137-S137-R137-Q137-P137-O137-N137</f>
        <v>-2.2204460492503131E-16</v>
      </c>
    </row>
    <row r="138" spans="2:61" x14ac:dyDescent="0.25">
      <c r="B138" s="312">
        <v>131</v>
      </c>
      <c r="C138" s="312" t="s">
        <v>722</v>
      </c>
      <c r="D138" s="312"/>
      <c r="E138" s="312">
        <v>9</v>
      </c>
      <c r="F138" s="312">
        <v>3</v>
      </c>
      <c r="G138" s="313" t="s">
        <v>223</v>
      </c>
      <c r="H138" s="313"/>
      <c r="I138" s="313">
        <v>6226.6</v>
      </c>
      <c r="J138" s="312">
        <v>513.69999999999982</v>
      </c>
      <c r="K138" s="312">
        <v>5645.6</v>
      </c>
      <c r="L138" s="312">
        <v>67.3</v>
      </c>
      <c r="M138" s="317"/>
      <c r="N138" s="319">
        <v>0.129</v>
      </c>
      <c r="O138" s="319">
        <v>0.10100000000000001</v>
      </c>
      <c r="P138" s="319">
        <v>0.28439999999999999</v>
      </c>
      <c r="Q138" s="319">
        <v>6.5199999999999994E-2</v>
      </c>
      <c r="R138" s="319">
        <v>2.12E-2</v>
      </c>
      <c r="S138" s="319">
        <v>0.24959999999999999</v>
      </c>
      <c r="T138" s="319">
        <v>0</v>
      </c>
      <c r="U138" s="319">
        <v>0.63149999999999995</v>
      </c>
      <c r="V138" s="319">
        <v>1.8210999999999999</v>
      </c>
      <c r="W138" s="319">
        <v>0</v>
      </c>
      <c r="X138" s="319">
        <v>0.13589999999999999</v>
      </c>
      <c r="Y138" s="319">
        <v>0</v>
      </c>
      <c r="Z138" s="319">
        <v>1.9821</v>
      </c>
      <c r="AA138" s="319">
        <v>0.17030000000000001</v>
      </c>
      <c r="AB138" s="319">
        <v>0.36180000000000001</v>
      </c>
      <c r="AC138" s="319">
        <v>0.1225</v>
      </c>
      <c r="AD138" s="319">
        <v>9.9000000000000005E-2</v>
      </c>
      <c r="AE138" s="319">
        <v>4.1200000000000001E-2</v>
      </c>
      <c r="AF138" s="319">
        <v>9.8900000000000002E-2</v>
      </c>
      <c r="AG138" s="319">
        <v>2.5600000000000001E-2</v>
      </c>
      <c r="AH138" s="319">
        <v>0</v>
      </c>
      <c r="AI138" s="319">
        <v>1.3734999999999999</v>
      </c>
      <c r="AJ138" s="319">
        <v>1.4697</v>
      </c>
      <c r="AK138" s="319">
        <v>7.9000000000000001E-2</v>
      </c>
      <c r="AL138" s="319">
        <v>0.2802</v>
      </c>
      <c r="AM138" s="319">
        <v>2.8899999999999999E-2</v>
      </c>
      <c r="AN138" s="319">
        <v>4.7000000000000002E-3</v>
      </c>
      <c r="AO138" s="319">
        <v>0.28989999999999999</v>
      </c>
      <c r="AP138" s="319">
        <v>1.1551</v>
      </c>
      <c r="AQ138" s="319">
        <v>0</v>
      </c>
      <c r="AR138" s="319">
        <v>0.40229999999999999</v>
      </c>
      <c r="AS138" s="319">
        <v>0.55110000000000003</v>
      </c>
      <c r="AT138" s="331">
        <v>0.2316</v>
      </c>
      <c r="AU138" s="336">
        <v>8.4473999999999982</v>
      </c>
      <c r="AV138" s="329">
        <v>11.572399999999996</v>
      </c>
      <c r="AW138" s="337">
        <v>4.8633999999999986</v>
      </c>
      <c r="AX138" s="334"/>
      <c r="AY138" s="323">
        <v>6.6519999999999984</v>
      </c>
      <c r="AZ138" s="323">
        <v>10.101899999999999</v>
      </c>
      <c r="BA138" s="323">
        <v>4.0840999999999985</v>
      </c>
      <c r="BB138" s="319"/>
      <c r="BC138" s="321">
        <f t="shared" si="12"/>
        <v>1.2699037883343356</v>
      </c>
      <c r="BD138" s="321">
        <f t="shared" si="13"/>
        <v>1.1455666755758815</v>
      </c>
      <c r="BE138" s="321">
        <f t="shared" si="14"/>
        <v>1.1908131534487403</v>
      </c>
      <c r="BG138" s="22">
        <f t="shared" si="15"/>
        <v>-1.8318679906315083E-15</v>
      </c>
      <c r="BH138" s="22">
        <f t="shared" si="16"/>
        <v>-4.0245584642661925E-15</v>
      </c>
      <c r="BI138" s="22">
        <f t="shared" si="17"/>
        <v>-1.3600232051658168E-15</v>
      </c>
    </row>
    <row r="139" spans="2:61" x14ac:dyDescent="0.25">
      <c r="B139" s="312">
        <v>132</v>
      </c>
      <c r="C139" s="312" t="s">
        <v>724</v>
      </c>
      <c r="D139" s="312"/>
      <c r="E139" s="312">
        <v>9</v>
      </c>
      <c r="F139" s="312">
        <v>3</v>
      </c>
      <c r="G139" s="313" t="s">
        <v>224</v>
      </c>
      <c r="H139" s="313"/>
      <c r="I139" s="313">
        <v>5940.55</v>
      </c>
      <c r="J139" s="312">
        <v>422.36000000000058</v>
      </c>
      <c r="K139" s="312">
        <v>5518.19</v>
      </c>
      <c r="L139" s="312">
        <v>0</v>
      </c>
      <c r="M139" s="317"/>
      <c r="N139" s="319">
        <v>0.13220000000000001</v>
      </c>
      <c r="O139" s="319">
        <v>9.7299999999999998E-2</v>
      </c>
      <c r="P139" s="319">
        <v>0.29299999999999998</v>
      </c>
      <c r="Q139" s="319">
        <v>6.5199999999999994E-2</v>
      </c>
      <c r="R139" s="319">
        <v>2.2200000000000001E-2</v>
      </c>
      <c r="S139" s="319">
        <v>0.27400000000000002</v>
      </c>
      <c r="T139" s="319">
        <v>0</v>
      </c>
      <c r="U139" s="319">
        <v>0.63149999999999995</v>
      </c>
      <c r="V139" s="319">
        <v>1.8632</v>
      </c>
      <c r="W139" s="319">
        <v>0</v>
      </c>
      <c r="X139" s="319">
        <v>0.1384</v>
      </c>
      <c r="Y139" s="319">
        <v>0</v>
      </c>
      <c r="Z139" s="319">
        <v>2.1616</v>
      </c>
      <c r="AA139" s="319">
        <v>0.17469999999999999</v>
      </c>
      <c r="AB139" s="319">
        <v>0.34899999999999998</v>
      </c>
      <c r="AC139" s="319">
        <v>0.1237</v>
      </c>
      <c r="AD139" s="319">
        <v>6.0999999999999999E-2</v>
      </c>
      <c r="AE139" s="319">
        <v>4.3200000000000002E-2</v>
      </c>
      <c r="AF139" s="319">
        <v>0.11119999999999999</v>
      </c>
      <c r="AG139" s="319">
        <v>2.75E-2</v>
      </c>
      <c r="AH139" s="319">
        <v>0</v>
      </c>
      <c r="AI139" s="319">
        <v>1.1494</v>
      </c>
      <c r="AJ139" s="319">
        <v>1.4412</v>
      </c>
      <c r="AK139" s="319">
        <v>7.7600000000000002E-2</v>
      </c>
      <c r="AL139" s="319">
        <v>0.27139999999999997</v>
      </c>
      <c r="AM139" s="319">
        <v>3.0200000000000001E-2</v>
      </c>
      <c r="AN139" s="319">
        <v>4.8999999999999998E-3</v>
      </c>
      <c r="AO139" s="319">
        <v>0.52969999999999995</v>
      </c>
      <c r="AP139" s="319">
        <v>0.61899999999999999</v>
      </c>
      <c r="AQ139" s="319">
        <v>0</v>
      </c>
      <c r="AR139" s="319">
        <v>0.41049999999999998</v>
      </c>
      <c r="AS139" s="319">
        <v>0.53459999999999996</v>
      </c>
      <c r="AT139" s="331">
        <v>0.2409</v>
      </c>
      <c r="AU139" s="336">
        <v>8.6206000000000014</v>
      </c>
      <c r="AV139" s="329">
        <v>11.226899999999999</v>
      </c>
      <c r="AW139" s="337">
        <v>5.0593000000000004</v>
      </c>
      <c r="AX139" s="334"/>
      <c r="AY139" s="323">
        <v>6.9833000000000016</v>
      </c>
      <c r="AZ139" s="323">
        <v>9.8840000000000003</v>
      </c>
      <c r="BA139" s="323">
        <v>4.1315000000000008</v>
      </c>
      <c r="BB139" s="319"/>
      <c r="BC139" s="321">
        <f t="shared" si="12"/>
        <v>1.234459353027938</v>
      </c>
      <c r="BD139" s="321">
        <f t="shared" si="13"/>
        <v>1.1358660461351677</v>
      </c>
      <c r="BE139" s="321">
        <f t="shared" si="14"/>
        <v>1.2245673484206703</v>
      </c>
      <c r="BG139" s="22">
        <f t="shared" si="15"/>
        <v>1.9984014443252818E-15</v>
      </c>
      <c r="BH139" s="22">
        <f t="shared" si="16"/>
        <v>-3.6082248300317588E-16</v>
      </c>
      <c r="BI139" s="22">
        <f t="shared" si="17"/>
        <v>0</v>
      </c>
    </row>
    <row r="140" spans="2:61" x14ac:dyDescent="0.25">
      <c r="B140" s="312">
        <v>133</v>
      </c>
      <c r="C140" s="312" t="s">
        <v>726</v>
      </c>
      <c r="D140" s="312"/>
      <c r="E140" s="312">
        <v>5</v>
      </c>
      <c r="F140" s="312">
        <v>4</v>
      </c>
      <c r="G140" s="313" t="s">
        <v>118</v>
      </c>
      <c r="H140" s="313"/>
      <c r="I140" s="313">
        <v>2743.8</v>
      </c>
      <c r="J140" s="312">
        <v>2743.8</v>
      </c>
      <c r="K140" s="312">
        <v>0</v>
      </c>
      <c r="L140" s="312">
        <v>0</v>
      </c>
      <c r="M140" s="317"/>
      <c r="N140" s="319">
        <v>0.1673</v>
      </c>
      <c r="O140" s="319">
        <v>9.2799999999999994E-2</v>
      </c>
      <c r="P140" s="319">
        <v>0.32440000000000002</v>
      </c>
      <c r="Q140" s="319">
        <v>7.3999999999999996E-2</v>
      </c>
      <c r="R140" s="319">
        <v>3.1300000000000001E-2</v>
      </c>
      <c r="S140" s="319">
        <v>0.50129999999999997</v>
      </c>
      <c r="T140" s="319">
        <v>0</v>
      </c>
      <c r="U140" s="319">
        <v>0.63149999999999995</v>
      </c>
      <c r="V140" s="319">
        <v>0</v>
      </c>
      <c r="W140" s="319">
        <v>0</v>
      </c>
      <c r="X140" s="319">
        <v>0.1729</v>
      </c>
      <c r="Y140" s="319">
        <v>0</v>
      </c>
      <c r="Z140" s="319">
        <v>1.8543000000000001</v>
      </c>
      <c r="AA140" s="319">
        <v>0.2218</v>
      </c>
      <c r="AB140" s="319">
        <v>0.3291</v>
      </c>
      <c r="AC140" s="319">
        <v>8.7599999999999997E-2</v>
      </c>
      <c r="AD140" s="319">
        <v>0.1013</v>
      </c>
      <c r="AE140" s="319">
        <v>6.0900000000000003E-2</v>
      </c>
      <c r="AF140" s="319">
        <v>0.17280000000000001</v>
      </c>
      <c r="AG140" s="319">
        <v>3.3700000000000001E-2</v>
      </c>
      <c r="AH140" s="319">
        <v>0</v>
      </c>
      <c r="AI140" s="319">
        <v>3.125</v>
      </c>
      <c r="AJ140" s="319">
        <v>1.1395999999999999</v>
      </c>
      <c r="AK140" s="319">
        <v>8.7499999999999994E-2</v>
      </c>
      <c r="AL140" s="319">
        <v>0.35539999999999999</v>
      </c>
      <c r="AM140" s="319">
        <v>5.1499999999999997E-2</v>
      </c>
      <c r="AN140" s="319">
        <v>8.3999999999999995E-3</v>
      </c>
      <c r="AO140" s="319">
        <v>0.4037</v>
      </c>
      <c r="AP140" s="319">
        <v>0</v>
      </c>
      <c r="AQ140" s="319">
        <v>0</v>
      </c>
      <c r="AR140" s="319">
        <v>0.50139999999999996</v>
      </c>
      <c r="AS140" s="319">
        <v>0.50139999999999996</v>
      </c>
      <c r="AT140" s="331">
        <v>0.25019999999999998</v>
      </c>
      <c r="AU140" s="336">
        <v>10.529500000000002</v>
      </c>
      <c r="AV140" s="329">
        <v>10.529500000000002</v>
      </c>
      <c r="AW140" s="337">
        <v>5.2546000000000017</v>
      </c>
      <c r="AX140" s="334"/>
      <c r="AY140" s="323">
        <v>8.2914999999999992</v>
      </c>
      <c r="AZ140" s="323">
        <v>8.2914999999999992</v>
      </c>
      <c r="BA140" s="323">
        <v>4.7485999999999997</v>
      </c>
      <c r="BB140" s="319"/>
      <c r="BC140" s="321">
        <f t="shared" si="12"/>
        <v>1.2699149731652901</v>
      </c>
      <c r="BD140" s="321">
        <f t="shared" si="13"/>
        <v>1.2699149731652901</v>
      </c>
      <c r="BE140" s="321">
        <f t="shared" si="14"/>
        <v>1.1065577222760397</v>
      </c>
      <c r="BG140" s="22">
        <f t="shared" si="15"/>
        <v>0</v>
      </c>
      <c r="BH140" s="22">
        <f t="shared" si="16"/>
        <v>9.9920072216264089E-16</v>
      </c>
      <c r="BI140" s="22">
        <f t="shared" si="17"/>
        <v>1.8873791418627661E-15</v>
      </c>
    </row>
    <row r="141" spans="2:61" x14ac:dyDescent="0.25">
      <c r="B141" s="312">
        <v>134</v>
      </c>
      <c r="C141" s="312" t="s">
        <v>728</v>
      </c>
      <c r="D141" s="312"/>
      <c r="E141" s="312">
        <v>5</v>
      </c>
      <c r="F141" s="312">
        <v>4</v>
      </c>
      <c r="G141" s="313" t="s">
        <v>119</v>
      </c>
      <c r="H141" s="313"/>
      <c r="I141" s="313">
        <v>2758.8</v>
      </c>
      <c r="J141" s="312">
        <v>2758.8</v>
      </c>
      <c r="K141" s="312">
        <v>0</v>
      </c>
      <c r="L141" s="312">
        <v>0</v>
      </c>
      <c r="M141" s="317"/>
      <c r="N141" s="319">
        <v>0.16650000000000001</v>
      </c>
      <c r="O141" s="319">
        <v>9.2299999999999993E-2</v>
      </c>
      <c r="P141" s="319">
        <v>0.32469999999999999</v>
      </c>
      <c r="Q141" s="319">
        <v>7.4300000000000005E-2</v>
      </c>
      <c r="R141" s="319">
        <v>2.9000000000000001E-2</v>
      </c>
      <c r="S141" s="319">
        <v>0.49859999999999999</v>
      </c>
      <c r="T141" s="319">
        <v>0</v>
      </c>
      <c r="U141" s="319">
        <v>0.63149999999999995</v>
      </c>
      <c r="V141" s="319">
        <v>0</v>
      </c>
      <c r="W141" s="319">
        <v>0</v>
      </c>
      <c r="X141" s="319">
        <v>0.17199999999999999</v>
      </c>
      <c r="Y141" s="319">
        <v>0</v>
      </c>
      <c r="Z141" s="319">
        <v>1.3815</v>
      </c>
      <c r="AA141" s="319">
        <v>0.2208</v>
      </c>
      <c r="AB141" s="319">
        <v>0.32740000000000002</v>
      </c>
      <c r="AC141" s="319">
        <v>8.8099999999999998E-2</v>
      </c>
      <c r="AD141" s="319">
        <v>0.1037</v>
      </c>
      <c r="AE141" s="319">
        <v>5.6300000000000003E-2</v>
      </c>
      <c r="AF141" s="319">
        <v>0.1719</v>
      </c>
      <c r="AG141" s="319">
        <v>3.3599999999999998E-2</v>
      </c>
      <c r="AH141" s="319">
        <v>0</v>
      </c>
      <c r="AI141" s="319">
        <v>3.2749999999999999</v>
      </c>
      <c r="AJ141" s="319">
        <v>1.1584000000000001</v>
      </c>
      <c r="AK141" s="319">
        <v>8.8499999999999995E-2</v>
      </c>
      <c r="AL141" s="319">
        <v>0.63580000000000003</v>
      </c>
      <c r="AM141" s="319">
        <v>5.1499999999999997E-2</v>
      </c>
      <c r="AN141" s="319">
        <v>8.3999999999999995E-3</v>
      </c>
      <c r="AO141" s="319">
        <v>0.439</v>
      </c>
      <c r="AP141" s="319">
        <v>0</v>
      </c>
      <c r="AQ141" s="319">
        <v>0</v>
      </c>
      <c r="AR141" s="319">
        <v>0.50139999999999996</v>
      </c>
      <c r="AS141" s="319">
        <v>0.50139999999999996</v>
      </c>
      <c r="AT141" s="331">
        <v>0.22600000000000001</v>
      </c>
      <c r="AU141" s="336">
        <v>10.530200000000001</v>
      </c>
      <c r="AV141" s="329">
        <v>10.530200000000001</v>
      </c>
      <c r="AW141" s="337">
        <v>4.7465999999999999</v>
      </c>
      <c r="AX141" s="334"/>
      <c r="AY141" s="323">
        <v>8.2920000000000016</v>
      </c>
      <c r="AZ141" s="323">
        <v>8.2920000000000016</v>
      </c>
      <c r="BA141" s="323">
        <v>4.2364000000000006</v>
      </c>
      <c r="BB141" s="319"/>
      <c r="BC141" s="321">
        <f t="shared" si="12"/>
        <v>1.2699228171731789</v>
      </c>
      <c r="BD141" s="321">
        <f t="shared" si="13"/>
        <v>1.2699228171731789</v>
      </c>
      <c r="BE141" s="321">
        <f t="shared" si="14"/>
        <v>1.1204324426399772</v>
      </c>
      <c r="BG141" s="22">
        <f t="shared" si="15"/>
        <v>3.8857805861880479E-15</v>
      </c>
      <c r="BH141" s="22">
        <f t="shared" si="16"/>
        <v>0</v>
      </c>
      <c r="BI141" s="22">
        <f t="shared" si="17"/>
        <v>6.9388939039072284E-16</v>
      </c>
    </row>
    <row r="142" spans="2:61" x14ac:dyDescent="0.25">
      <c r="B142" s="312">
        <v>135</v>
      </c>
      <c r="C142" s="312" t="s">
        <v>730</v>
      </c>
      <c r="D142" s="312"/>
      <c r="E142" s="312">
        <v>5</v>
      </c>
      <c r="F142" s="312">
        <v>8</v>
      </c>
      <c r="G142" s="313" t="s">
        <v>120</v>
      </c>
      <c r="H142" s="313"/>
      <c r="I142" s="313">
        <v>5857</v>
      </c>
      <c r="J142" s="312">
        <v>5841.86</v>
      </c>
      <c r="K142" s="312">
        <v>0</v>
      </c>
      <c r="L142" s="312">
        <v>15.14</v>
      </c>
      <c r="M142" s="317"/>
      <c r="N142" s="319">
        <v>0.15310000000000001</v>
      </c>
      <c r="O142" s="319">
        <v>9.2899999999999996E-2</v>
      </c>
      <c r="P142" s="319">
        <v>0.33289999999999997</v>
      </c>
      <c r="Q142" s="319">
        <v>7.4499999999999997E-2</v>
      </c>
      <c r="R142" s="319">
        <v>3.7499999999999999E-2</v>
      </c>
      <c r="S142" s="319">
        <v>0.7127</v>
      </c>
      <c r="T142" s="319">
        <v>0</v>
      </c>
      <c r="U142" s="319">
        <v>0.63149999999999995</v>
      </c>
      <c r="V142" s="319">
        <v>0</v>
      </c>
      <c r="W142" s="319">
        <v>0</v>
      </c>
      <c r="X142" s="319">
        <v>0.16070000000000001</v>
      </c>
      <c r="Y142" s="319">
        <v>0</v>
      </c>
      <c r="Z142" s="319">
        <v>2.23</v>
      </c>
      <c r="AA142" s="319">
        <v>0.20319999999999999</v>
      </c>
      <c r="AB142" s="319">
        <v>0.30969999999999998</v>
      </c>
      <c r="AC142" s="319">
        <v>9.11E-2</v>
      </c>
      <c r="AD142" s="319">
        <v>9.6299999999999997E-2</v>
      </c>
      <c r="AE142" s="319">
        <v>7.2999999999999995E-2</v>
      </c>
      <c r="AF142" s="319">
        <v>0.27389999999999998</v>
      </c>
      <c r="AG142" s="319">
        <v>3.2599999999999997E-2</v>
      </c>
      <c r="AH142" s="319">
        <v>0</v>
      </c>
      <c r="AI142" s="319">
        <v>2.1309</v>
      </c>
      <c r="AJ142" s="319">
        <v>1.0883</v>
      </c>
      <c r="AK142" s="319">
        <v>9.1200000000000003E-2</v>
      </c>
      <c r="AL142" s="319">
        <v>0.35460000000000003</v>
      </c>
      <c r="AM142" s="319">
        <v>5.16E-2</v>
      </c>
      <c r="AN142" s="319">
        <v>8.3999999999999995E-3</v>
      </c>
      <c r="AO142" s="319">
        <v>0.28170000000000001</v>
      </c>
      <c r="AP142" s="319">
        <v>0</v>
      </c>
      <c r="AQ142" s="319">
        <v>0</v>
      </c>
      <c r="AR142" s="319">
        <v>0.47560000000000002</v>
      </c>
      <c r="AS142" s="319">
        <v>0.47560000000000002</v>
      </c>
      <c r="AT142" s="331">
        <v>0.2828</v>
      </c>
      <c r="AU142" s="336">
        <v>9.9879000000000033</v>
      </c>
      <c r="AV142" s="329">
        <v>9.9879000000000033</v>
      </c>
      <c r="AW142" s="337">
        <v>5.9396000000000022</v>
      </c>
      <c r="AX142" s="334"/>
      <c r="AY142" s="323">
        <v>7.8648999999999996</v>
      </c>
      <c r="AZ142" s="323">
        <v>7.8648999999999996</v>
      </c>
      <c r="BA142" s="323">
        <v>5.0134999999999987</v>
      </c>
      <c r="BB142" s="319"/>
      <c r="BC142" s="321">
        <f t="shared" si="12"/>
        <v>1.2699335020152835</v>
      </c>
      <c r="BD142" s="321">
        <f t="shared" si="13"/>
        <v>1.2699335020152835</v>
      </c>
      <c r="BE142" s="321">
        <f t="shared" si="14"/>
        <v>1.1847212526179323</v>
      </c>
      <c r="BG142" s="22">
        <f t="shared" si="15"/>
        <v>1.27675647831893E-15</v>
      </c>
      <c r="BH142" s="22">
        <f t="shared" si="16"/>
        <v>0</v>
      </c>
      <c r="BI142" s="22">
        <f t="shared" si="17"/>
        <v>1.7763568394002505E-15</v>
      </c>
    </row>
    <row r="143" spans="2:61" x14ac:dyDescent="0.25">
      <c r="B143" s="312">
        <v>136</v>
      </c>
      <c r="C143" s="312" t="s">
        <v>732</v>
      </c>
      <c r="D143" s="312"/>
      <c r="E143" s="312">
        <v>5</v>
      </c>
      <c r="F143" s="312">
        <v>6</v>
      </c>
      <c r="G143" s="313" t="s">
        <v>121</v>
      </c>
      <c r="H143" s="313"/>
      <c r="I143" s="313">
        <v>4509.8</v>
      </c>
      <c r="J143" s="312">
        <v>4448.3</v>
      </c>
      <c r="K143" s="312">
        <v>0</v>
      </c>
      <c r="L143" s="312">
        <v>61.5</v>
      </c>
      <c r="M143" s="317"/>
      <c r="N143" s="319">
        <v>0.15390000000000001</v>
      </c>
      <c r="O143" s="319">
        <v>0.1021</v>
      </c>
      <c r="P143" s="319">
        <v>0.3337</v>
      </c>
      <c r="Q143" s="319">
        <v>7.4700000000000003E-2</v>
      </c>
      <c r="R143" s="319">
        <v>0</v>
      </c>
      <c r="S143" s="319">
        <v>0.59399999999999997</v>
      </c>
      <c r="T143" s="319">
        <v>0</v>
      </c>
      <c r="U143" s="319">
        <v>0.63149999999999995</v>
      </c>
      <c r="V143" s="319">
        <v>0</v>
      </c>
      <c r="W143" s="319">
        <v>0</v>
      </c>
      <c r="X143" s="319">
        <v>0.16830000000000001</v>
      </c>
      <c r="Y143" s="319">
        <v>0</v>
      </c>
      <c r="Z143" s="319">
        <v>1.0736000000000001</v>
      </c>
      <c r="AA143" s="319">
        <v>0.2051</v>
      </c>
      <c r="AB143" s="319">
        <v>0.36199999999999999</v>
      </c>
      <c r="AC143" s="319">
        <v>9.0499999999999997E-2</v>
      </c>
      <c r="AD143" s="319">
        <v>9.9599999999999994E-2</v>
      </c>
      <c r="AE143" s="319">
        <v>0</v>
      </c>
      <c r="AF143" s="319">
        <v>0.2157</v>
      </c>
      <c r="AG143" s="319">
        <v>3.3300000000000003E-2</v>
      </c>
      <c r="AH143" s="319">
        <v>0</v>
      </c>
      <c r="AI143" s="319">
        <v>2.6497999999999999</v>
      </c>
      <c r="AJ143" s="319">
        <v>1.1890000000000001</v>
      </c>
      <c r="AK143" s="319">
        <v>0.104</v>
      </c>
      <c r="AL143" s="319">
        <v>0.47799999999999998</v>
      </c>
      <c r="AM143" s="319">
        <v>5.0799999999999998E-2</v>
      </c>
      <c r="AN143" s="319">
        <v>8.2000000000000007E-3</v>
      </c>
      <c r="AO143" s="319">
        <v>0.37</v>
      </c>
      <c r="AP143" s="319">
        <v>0</v>
      </c>
      <c r="AQ143" s="319">
        <v>0</v>
      </c>
      <c r="AR143" s="319">
        <v>0.44940000000000002</v>
      </c>
      <c r="AS143" s="319">
        <v>0.44940000000000002</v>
      </c>
      <c r="AT143" s="331">
        <v>0.21510000000000001</v>
      </c>
      <c r="AU143" s="336">
        <v>9.4372000000000007</v>
      </c>
      <c r="AV143" s="329">
        <v>9.4372000000000007</v>
      </c>
      <c r="AW143" s="337">
        <v>4.5161000000000007</v>
      </c>
      <c r="AX143" s="334"/>
      <c r="AY143" s="323">
        <v>7.4313000000000011</v>
      </c>
      <c r="AZ143" s="323">
        <v>7.4313000000000011</v>
      </c>
      <c r="BA143" s="323">
        <v>3.9356000000000009</v>
      </c>
      <c r="BB143" s="319"/>
      <c r="BC143" s="321">
        <f t="shared" si="12"/>
        <v>1.2699258541574152</v>
      </c>
      <c r="BD143" s="321">
        <f t="shared" si="13"/>
        <v>1.2699258541574152</v>
      </c>
      <c r="BE143" s="321">
        <f t="shared" si="14"/>
        <v>1.1474997459091369</v>
      </c>
      <c r="BG143" s="22">
        <f t="shared" si="15"/>
        <v>1.6653345369377348E-15</v>
      </c>
      <c r="BH143" s="22">
        <f t="shared" si="16"/>
        <v>4.4408920985006262E-16</v>
      </c>
      <c r="BI143" s="22">
        <f t="shared" si="17"/>
        <v>1.3322676295501878E-15</v>
      </c>
    </row>
    <row r="144" spans="2:61" x14ac:dyDescent="0.25">
      <c r="B144" s="312">
        <v>137</v>
      </c>
      <c r="C144" s="312" t="s">
        <v>734</v>
      </c>
      <c r="D144" s="312"/>
      <c r="E144" s="312">
        <v>5</v>
      </c>
      <c r="F144" s="312">
        <v>4</v>
      </c>
      <c r="G144" s="313" t="s">
        <v>122</v>
      </c>
      <c r="H144" s="313"/>
      <c r="I144" s="313">
        <v>2756.7</v>
      </c>
      <c r="J144" s="312">
        <v>2756.7</v>
      </c>
      <c r="K144" s="312">
        <v>0</v>
      </c>
      <c r="L144" s="312">
        <v>0</v>
      </c>
      <c r="M144" s="317"/>
      <c r="N144" s="319">
        <v>0.16669999999999999</v>
      </c>
      <c r="O144" s="319">
        <v>9.2399999999999996E-2</v>
      </c>
      <c r="P144" s="319">
        <v>0.32450000000000001</v>
      </c>
      <c r="Q144" s="319">
        <v>7.4200000000000002E-2</v>
      </c>
      <c r="R144" s="319">
        <v>2.9000000000000001E-2</v>
      </c>
      <c r="S144" s="319">
        <v>0.499</v>
      </c>
      <c r="T144" s="319">
        <v>0</v>
      </c>
      <c r="U144" s="319">
        <v>0.63149999999999995</v>
      </c>
      <c r="V144" s="319">
        <v>0</v>
      </c>
      <c r="W144" s="319">
        <v>0</v>
      </c>
      <c r="X144" s="319">
        <v>0.1721</v>
      </c>
      <c r="Y144" s="319">
        <v>0</v>
      </c>
      <c r="Z144" s="319">
        <v>1.6919999999999999</v>
      </c>
      <c r="AA144" s="319">
        <v>0.221</v>
      </c>
      <c r="AB144" s="319">
        <v>0.32769999999999999</v>
      </c>
      <c r="AC144" s="319">
        <v>8.7999999999999995E-2</v>
      </c>
      <c r="AD144" s="319">
        <v>0.1032</v>
      </c>
      <c r="AE144" s="319">
        <v>5.6399999999999999E-2</v>
      </c>
      <c r="AF144" s="319">
        <v>0.17199999999999999</v>
      </c>
      <c r="AG144" s="319">
        <v>3.3599999999999998E-2</v>
      </c>
      <c r="AH144" s="319">
        <v>0</v>
      </c>
      <c r="AI144" s="319">
        <v>2.5146000000000002</v>
      </c>
      <c r="AJ144" s="319">
        <v>1.1267</v>
      </c>
      <c r="AK144" s="319">
        <v>8.8300000000000003E-2</v>
      </c>
      <c r="AL144" s="319">
        <v>0.88390000000000002</v>
      </c>
      <c r="AM144" s="319">
        <v>5.11E-2</v>
      </c>
      <c r="AN144" s="319">
        <v>8.3000000000000001E-3</v>
      </c>
      <c r="AO144" s="319">
        <v>0.25530000000000003</v>
      </c>
      <c r="AP144" s="319">
        <v>0</v>
      </c>
      <c r="AQ144" s="319">
        <v>0</v>
      </c>
      <c r="AR144" s="319">
        <v>0.48060000000000003</v>
      </c>
      <c r="AS144" s="319">
        <v>0.48060000000000003</v>
      </c>
      <c r="AT144" s="331">
        <v>0.24160000000000001</v>
      </c>
      <c r="AU144" s="336">
        <v>10.092100000000002</v>
      </c>
      <c r="AV144" s="329">
        <v>10.092100000000002</v>
      </c>
      <c r="AW144" s="337">
        <v>5.0726000000000013</v>
      </c>
      <c r="AX144" s="334"/>
      <c r="AY144" s="323">
        <v>7.9469000000000003</v>
      </c>
      <c r="AZ144" s="323">
        <v>7.9469000000000003</v>
      </c>
      <c r="BA144" s="323">
        <v>4.3937999999999997</v>
      </c>
      <c r="BB144" s="319"/>
      <c r="BC144" s="321">
        <f t="shared" si="12"/>
        <v>1.2699417382878861</v>
      </c>
      <c r="BD144" s="321">
        <f t="shared" si="13"/>
        <v>1.2699417382878861</v>
      </c>
      <c r="BE144" s="321">
        <f t="shared" si="14"/>
        <v>1.1544904183167195</v>
      </c>
      <c r="BG144" s="22">
        <f t="shared" si="15"/>
        <v>1.7208456881689926E-15</v>
      </c>
      <c r="BH144" s="22">
        <f t="shared" si="16"/>
        <v>1.0269562977782698E-15</v>
      </c>
      <c r="BI144" s="22">
        <f t="shared" si="17"/>
        <v>1.0269562977782698E-15</v>
      </c>
    </row>
    <row r="145" spans="2:61" x14ac:dyDescent="0.25">
      <c r="B145" s="312">
        <v>138</v>
      </c>
      <c r="C145" s="312" t="s">
        <v>736</v>
      </c>
      <c r="D145" s="312"/>
      <c r="E145" s="312">
        <v>5</v>
      </c>
      <c r="F145" s="312">
        <v>2</v>
      </c>
      <c r="G145" s="313" t="s">
        <v>123</v>
      </c>
      <c r="H145" s="313"/>
      <c r="I145" s="313">
        <v>3206.5</v>
      </c>
      <c r="J145" s="312">
        <v>3206.5</v>
      </c>
      <c r="K145" s="312">
        <v>0</v>
      </c>
      <c r="L145" s="312">
        <v>0</v>
      </c>
      <c r="M145" s="317"/>
      <c r="N145" s="319">
        <v>0.14330000000000001</v>
      </c>
      <c r="O145" s="319">
        <v>0.1051</v>
      </c>
      <c r="P145" s="319">
        <v>0.3281</v>
      </c>
      <c r="Q145" s="319">
        <v>7.3200000000000001E-2</v>
      </c>
      <c r="R145" s="319">
        <v>1.2500000000000001E-2</v>
      </c>
      <c r="S145" s="319">
        <v>0.17050000000000001</v>
      </c>
      <c r="T145" s="319">
        <v>0</v>
      </c>
      <c r="U145" s="319">
        <v>0.63149999999999995</v>
      </c>
      <c r="V145" s="319">
        <v>0</v>
      </c>
      <c r="W145" s="319">
        <v>0</v>
      </c>
      <c r="X145" s="319">
        <v>0.1973</v>
      </c>
      <c r="Y145" s="319">
        <v>0</v>
      </c>
      <c r="Z145" s="319">
        <v>1.4831000000000001</v>
      </c>
      <c r="AA145" s="319">
        <v>0.2419</v>
      </c>
      <c r="AB145" s="319">
        <v>0.33350000000000002</v>
      </c>
      <c r="AC145" s="319">
        <v>8.6499999999999994E-2</v>
      </c>
      <c r="AD145" s="319">
        <v>9.0399999999999994E-2</v>
      </c>
      <c r="AE145" s="319">
        <v>2.4199999999999999E-2</v>
      </c>
      <c r="AF145" s="319">
        <v>9.7000000000000003E-2</v>
      </c>
      <c r="AG145" s="319">
        <v>3.2199999999999999E-2</v>
      </c>
      <c r="AH145" s="319">
        <v>0</v>
      </c>
      <c r="AI145" s="319">
        <v>3.5874000000000001</v>
      </c>
      <c r="AJ145" s="319">
        <v>1.3654999999999999</v>
      </c>
      <c r="AK145" s="319">
        <v>0.107</v>
      </c>
      <c r="AL145" s="319">
        <v>0.37509999999999999</v>
      </c>
      <c r="AM145" s="319">
        <v>5.9200000000000003E-2</v>
      </c>
      <c r="AN145" s="319">
        <v>9.5999999999999992E-3</v>
      </c>
      <c r="AO145" s="319">
        <v>1.2105999999999999</v>
      </c>
      <c r="AP145" s="319">
        <v>0</v>
      </c>
      <c r="AQ145" s="319">
        <v>0</v>
      </c>
      <c r="AR145" s="319">
        <v>0.53820000000000001</v>
      </c>
      <c r="AS145" s="319">
        <v>0.53820000000000001</v>
      </c>
      <c r="AT145" s="331">
        <v>0.21129999999999999</v>
      </c>
      <c r="AU145" s="336">
        <v>11.302899999999999</v>
      </c>
      <c r="AV145" s="329">
        <v>11.302899999999999</v>
      </c>
      <c r="AW145" s="337">
        <v>4.4374000000000002</v>
      </c>
      <c r="AX145" s="334"/>
      <c r="AY145" s="323">
        <v>8.900500000000001</v>
      </c>
      <c r="AZ145" s="323">
        <v>8.900500000000001</v>
      </c>
      <c r="BA145" s="323">
        <v>3.7586000000000013</v>
      </c>
      <c r="BB145" s="319"/>
      <c r="BC145" s="321">
        <f t="shared" si="12"/>
        <v>1.2699174203696419</v>
      </c>
      <c r="BD145" s="321">
        <f t="shared" si="13"/>
        <v>1.2699174203696419</v>
      </c>
      <c r="BE145" s="321">
        <f t="shared" si="14"/>
        <v>1.1805991592614269</v>
      </c>
      <c r="BG145" s="22">
        <f t="shared" si="15"/>
        <v>-1.7763568394002505E-15</v>
      </c>
      <c r="BH145" s="22">
        <f t="shared" si="16"/>
        <v>4.4408920985006262E-16</v>
      </c>
      <c r="BI145" s="22">
        <f t="shared" si="17"/>
        <v>1.3322676295501878E-15</v>
      </c>
    </row>
    <row r="146" spans="2:61" x14ac:dyDescent="0.25">
      <c r="B146" s="312">
        <v>139</v>
      </c>
      <c r="C146" s="312" t="s">
        <v>738</v>
      </c>
      <c r="D146" s="312"/>
      <c r="E146" s="312">
        <v>9</v>
      </c>
      <c r="F146" s="312">
        <v>6</v>
      </c>
      <c r="G146" s="313" t="s">
        <v>225</v>
      </c>
      <c r="H146" s="313"/>
      <c r="I146" s="313">
        <v>11088.2</v>
      </c>
      <c r="J146" s="312">
        <v>1169.5</v>
      </c>
      <c r="K146" s="312">
        <v>9918.7000000000007</v>
      </c>
      <c r="L146" s="312">
        <v>0</v>
      </c>
      <c r="M146" s="317"/>
      <c r="N146" s="319">
        <v>0.17280000000000001</v>
      </c>
      <c r="O146" s="319">
        <v>9.7900000000000001E-2</v>
      </c>
      <c r="P146" s="319">
        <v>0.29330000000000001</v>
      </c>
      <c r="Q146" s="319">
        <v>6.6799999999999998E-2</v>
      </c>
      <c r="R146" s="319">
        <v>1.8700000000000001E-2</v>
      </c>
      <c r="S146" s="319">
        <v>0.36299999999999999</v>
      </c>
      <c r="T146" s="319">
        <v>0</v>
      </c>
      <c r="U146" s="319">
        <v>0.63149999999999995</v>
      </c>
      <c r="V146" s="319">
        <v>1.8783000000000001</v>
      </c>
      <c r="W146" s="319">
        <v>3.6200000000000003E-2</v>
      </c>
      <c r="X146" s="319">
        <v>0.15190000000000001</v>
      </c>
      <c r="Y146" s="319">
        <v>0</v>
      </c>
      <c r="Z146" s="319">
        <v>2.2715000000000001</v>
      </c>
      <c r="AA146" s="319">
        <v>0.22439999999999999</v>
      </c>
      <c r="AB146" s="319">
        <v>0.35120000000000001</v>
      </c>
      <c r="AC146" s="319">
        <v>0.13400000000000001</v>
      </c>
      <c r="AD146" s="319">
        <v>8.6900000000000005E-2</v>
      </c>
      <c r="AE146" s="319">
        <v>3.6400000000000002E-2</v>
      </c>
      <c r="AF146" s="319">
        <v>0.16070000000000001</v>
      </c>
      <c r="AG146" s="319">
        <v>2.98E-2</v>
      </c>
      <c r="AH146" s="319">
        <v>0</v>
      </c>
      <c r="AI146" s="319">
        <v>1.6336999999999999</v>
      </c>
      <c r="AJ146" s="319">
        <v>1.6485000000000001</v>
      </c>
      <c r="AK146" s="319">
        <v>7.51E-2</v>
      </c>
      <c r="AL146" s="319">
        <v>0.2833</v>
      </c>
      <c r="AM146" s="319">
        <v>3.04E-2</v>
      </c>
      <c r="AN146" s="319">
        <v>4.8999999999999998E-3</v>
      </c>
      <c r="AO146" s="319">
        <v>0.23810000000000001</v>
      </c>
      <c r="AP146" s="319">
        <v>0.37569999999999998</v>
      </c>
      <c r="AQ146" s="319">
        <v>0</v>
      </c>
      <c r="AR146" s="319">
        <v>0.45019999999999999</v>
      </c>
      <c r="AS146" s="319">
        <v>0.56479999999999997</v>
      </c>
      <c r="AT146" s="331">
        <v>0.2601</v>
      </c>
      <c r="AU146" s="336">
        <v>9.4550000000000018</v>
      </c>
      <c r="AV146" s="329">
        <v>11.8598</v>
      </c>
      <c r="AW146" s="337">
        <v>5.4613000000000014</v>
      </c>
      <c r="AX146" s="334"/>
      <c r="AY146" s="323">
        <v>7.4452999999999996</v>
      </c>
      <c r="AZ146" s="323">
        <v>10.218399999999999</v>
      </c>
      <c r="BA146" s="323">
        <v>4.6952999999999996</v>
      </c>
      <c r="BB146" s="319"/>
      <c r="BC146" s="321">
        <f t="shared" si="12"/>
        <v>1.2699286798382876</v>
      </c>
      <c r="BD146" s="321">
        <f t="shared" si="13"/>
        <v>1.1606318014561967</v>
      </c>
      <c r="BE146" s="321">
        <f t="shared" si="14"/>
        <v>1.1631418652695253</v>
      </c>
      <c r="BG146" s="22">
        <f t="shared" si="15"/>
        <v>-7.2164496600635175E-16</v>
      </c>
      <c r="BH146" s="22">
        <f t="shared" si="16"/>
        <v>-2.2759572004815709E-15</v>
      </c>
      <c r="BI146" s="22">
        <f t="shared" si="17"/>
        <v>0</v>
      </c>
    </row>
    <row r="147" spans="2:61" x14ac:dyDescent="0.25">
      <c r="B147" s="312">
        <v>140</v>
      </c>
      <c r="C147" s="312" t="s">
        <v>740</v>
      </c>
      <c r="D147" s="312"/>
      <c r="E147" s="312">
        <v>9</v>
      </c>
      <c r="F147" s="312">
        <v>1</v>
      </c>
      <c r="G147" s="313" t="s">
        <v>226</v>
      </c>
      <c r="H147" s="313"/>
      <c r="I147" s="313">
        <v>6348.8</v>
      </c>
      <c r="J147" s="312">
        <v>437.40000000000055</v>
      </c>
      <c r="K147" s="312">
        <v>5911.4</v>
      </c>
      <c r="L147" s="312">
        <v>0</v>
      </c>
      <c r="M147" s="317"/>
      <c r="N147" s="319">
        <v>9.06E-2</v>
      </c>
      <c r="O147" s="319">
        <v>4.1200000000000001E-2</v>
      </c>
      <c r="P147" s="319">
        <v>0.29239999999999999</v>
      </c>
      <c r="Q147" s="319">
        <v>6.6900000000000001E-2</v>
      </c>
      <c r="R147" s="319">
        <v>2.2700000000000001E-2</v>
      </c>
      <c r="S147" s="319">
        <v>0.20119999999999999</v>
      </c>
      <c r="T147" s="319">
        <v>0</v>
      </c>
      <c r="U147" s="319">
        <v>0.63149999999999995</v>
      </c>
      <c r="V147" s="319">
        <v>1.1595</v>
      </c>
      <c r="W147" s="319">
        <v>0</v>
      </c>
      <c r="X147" s="319">
        <v>0.1196</v>
      </c>
      <c r="Y147" s="319">
        <v>0</v>
      </c>
      <c r="Z147" s="319">
        <v>1.9736</v>
      </c>
      <c r="AA147" s="319">
        <v>0.13009999999999999</v>
      </c>
      <c r="AB147" s="319">
        <v>0.14849999999999999</v>
      </c>
      <c r="AC147" s="319">
        <v>0.129</v>
      </c>
      <c r="AD147" s="319">
        <v>7.7100000000000002E-2</v>
      </c>
      <c r="AE147" s="319">
        <v>4.41E-2</v>
      </c>
      <c r="AF147" s="319">
        <v>4.3299999999999998E-2</v>
      </c>
      <c r="AG147" s="319">
        <v>0</v>
      </c>
      <c r="AH147" s="319">
        <v>0</v>
      </c>
      <c r="AI147" s="319">
        <v>1.865</v>
      </c>
      <c r="AJ147" s="319">
        <v>1.2023999999999999</v>
      </c>
      <c r="AK147" s="319">
        <v>9.1600000000000001E-2</v>
      </c>
      <c r="AL147" s="319">
        <v>0.3543</v>
      </c>
      <c r="AM147" s="319">
        <v>3.9600000000000003E-2</v>
      </c>
      <c r="AN147" s="319">
        <v>6.4000000000000003E-3</v>
      </c>
      <c r="AO147" s="319">
        <v>0.128</v>
      </c>
      <c r="AP147" s="319">
        <v>0.63039999999999996</v>
      </c>
      <c r="AQ147" s="319">
        <v>0</v>
      </c>
      <c r="AR147" s="319">
        <v>0.38500000000000001</v>
      </c>
      <c r="AS147" s="319">
        <v>0.47449999999999998</v>
      </c>
      <c r="AT147" s="331">
        <v>0.20749999999999999</v>
      </c>
      <c r="AU147" s="336">
        <v>8.0841000000000012</v>
      </c>
      <c r="AV147" s="329">
        <v>9.9635000000000016</v>
      </c>
      <c r="AW147" s="337">
        <v>4.3568999999999996</v>
      </c>
      <c r="AX147" s="334"/>
      <c r="AY147" s="323">
        <v>6.4487000000000014</v>
      </c>
      <c r="AZ147" s="323">
        <v>8.4695000000000018</v>
      </c>
      <c r="BA147" s="323">
        <v>3.9486000000000012</v>
      </c>
      <c r="BB147" s="319"/>
      <c r="BC147" s="321">
        <f t="shared" si="12"/>
        <v>1.2536015010777366</v>
      </c>
      <c r="BD147" s="321">
        <f t="shared" si="13"/>
        <v>1.1763976621996575</v>
      </c>
      <c r="BE147" s="321">
        <f t="shared" si="14"/>
        <v>1.1034037380337329</v>
      </c>
      <c r="BG147" s="22">
        <f t="shared" si="15"/>
        <v>0</v>
      </c>
      <c r="BH147" s="22">
        <f t="shared" si="16"/>
        <v>2.4980018054066022E-16</v>
      </c>
      <c r="BI147" s="22">
        <f t="shared" si="17"/>
        <v>2.4980018054066022E-16</v>
      </c>
    </row>
    <row r="148" spans="2:61" x14ac:dyDescent="0.25">
      <c r="B148" s="312">
        <v>141</v>
      </c>
      <c r="C148" s="312" t="s">
        <v>742</v>
      </c>
      <c r="D148" s="312"/>
      <c r="E148" s="312">
        <v>2</v>
      </c>
      <c r="F148" s="312">
        <v>1</v>
      </c>
      <c r="G148" s="313" t="s">
        <v>15</v>
      </c>
      <c r="H148" s="313"/>
      <c r="I148" s="313">
        <v>389.9</v>
      </c>
      <c r="J148" s="312">
        <v>389.9</v>
      </c>
      <c r="K148" s="312">
        <v>0</v>
      </c>
      <c r="L148" s="312">
        <v>0</v>
      </c>
      <c r="M148" s="317"/>
      <c r="N148" s="319">
        <v>0.2145</v>
      </c>
      <c r="O148" s="319">
        <v>0.1147</v>
      </c>
      <c r="P148" s="319">
        <v>0</v>
      </c>
      <c r="Q148" s="319">
        <v>0</v>
      </c>
      <c r="R148" s="319">
        <v>0</v>
      </c>
      <c r="S148" s="319">
        <v>0.37340000000000001</v>
      </c>
      <c r="T148" s="319">
        <v>0</v>
      </c>
      <c r="U148" s="319">
        <v>0.61070000000000002</v>
      </c>
      <c r="V148" s="319">
        <v>0</v>
      </c>
      <c r="W148" s="319">
        <v>0</v>
      </c>
      <c r="X148" s="319">
        <v>0.32450000000000001</v>
      </c>
      <c r="Y148" s="319">
        <v>0</v>
      </c>
      <c r="Z148" s="319">
        <v>1.5828</v>
      </c>
      <c r="AA148" s="319">
        <v>0.23860000000000001</v>
      </c>
      <c r="AB148" s="319">
        <v>0.35370000000000001</v>
      </c>
      <c r="AC148" s="319">
        <v>0</v>
      </c>
      <c r="AD148" s="319">
        <v>0</v>
      </c>
      <c r="AE148" s="319">
        <v>0</v>
      </c>
      <c r="AF148" s="319">
        <v>6.4799999999999996E-2</v>
      </c>
      <c r="AG148" s="319">
        <v>3.5200000000000002E-2</v>
      </c>
      <c r="AH148" s="319">
        <v>0</v>
      </c>
      <c r="AI148" s="319">
        <v>2.3853</v>
      </c>
      <c r="AJ148" s="319">
        <v>1.4748000000000001</v>
      </c>
      <c r="AK148" s="319">
        <v>0</v>
      </c>
      <c r="AL148" s="319">
        <v>0.36830000000000002</v>
      </c>
      <c r="AM148" s="319">
        <v>0</v>
      </c>
      <c r="AN148" s="319">
        <v>0</v>
      </c>
      <c r="AO148" s="319">
        <v>6.6400000000000001E-2</v>
      </c>
      <c r="AP148" s="319">
        <v>0</v>
      </c>
      <c r="AQ148" s="319">
        <v>0</v>
      </c>
      <c r="AR148" s="319">
        <v>0.41039999999999999</v>
      </c>
      <c r="AS148" s="319">
        <v>0.41039999999999999</v>
      </c>
      <c r="AT148" s="331">
        <v>0.1956</v>
      </c>
      <c r="AU148" s="336">
        <v>8.6180999999999983</v>
      </c>
      <c r="AV148" s="329">
        <v>8.6180999999999983</v>
      </c>
      <c r="AW148" s="337">
        <v>4.1084999999999994</v>
      </c>
      <c r="AX148" s="334"/>
      <c r="AY148" s="323">
        <v>6.7862</v>
      </c>
      <c r="AZ148" s="323">
        <v>6.7862</v>
      </c>
      <c r="BA148" s="323">
        <v>3.6857000000000006</v>
      </c>
      <c r="BB148" s="319"/>
      <c r="BC148" s="321">
        <f t="shared" si="12"/>
        <v>1.2699448881553739</v>
      </c>
      <c r="BD148" s="321">
        <f t="shared" si="13"/>
        <v>1.2699448881553739</v>
      </c>
      <c r="BE148" s="321">
        <f t="shared" si="14"/>
        <v>1.1147136229210186</v>
      </c>
      <c r="BG148" s="22">
        <f t="shared" si="15"/>
        <v>0</v>
      </c>
      <c r="BH148" s="22">
        <f t="shared" si="16"/>
        <v>-3.3306690738754696E-16</v>
      </c>
      <c r="BI148" s="22">
        <f t="shared" si="17"/>
        <v>-3.3306690738754696E-16</v>
      </c>
    </row>
    <row r="149" spans="2:61" x14ac:dyDescent="0.25">
      <c r="B149" s="312">
        <v>142</v>
      </c>
      <c r="C149" s="312" t="s">
        <v>744</v>
      </c>
      <c r="D149" s="312"/>
      <c r="E149" s="312">
        <v>2</v>
      </c>
      <c r="F149" s="312">
        <v>1</v>
      </c>
      <c r="G149" s="313" t="s">
        <v>16</v>
      </c>
      <c r="H149" s="313"/>
      <c r="I149" s="313">
        <v>358.9</v>
      </c>
      <c r="J149" s="312">
        <v>358.9</v>
      </c>
      <c r="K149" s="312">
        <v>0</v>
      </c>
      <c r="L149" s="312">
        <v>0</v>
      </c>
      <c r="M149" s="317"/>
      <c r="N149" s="319">
        <v>0.23300000000000001</v>
      </c>
      <c r="O149" s="319">
        <v>0.12470000000000001</v>
      </c>
      <c r="P149" s="319">
        <v>0</v>
      </c>
      <c r="Q149" s="319">
        <v>0</v>
      </c>
      <c r="R149" s="319">
        <v>0</v>
      </c>
      <c r="S149" s="319">
        <v>0.35349999999999998</v>
      </c>
      <c r="T149" s="319">
        <v>0</v>
      </c>
      <c r="U149" s="319">
        <v>0.61070000000000002</v>
      </c>
      <c r="V149" s="319">
        <v>0</v>
      </c>
      <c r="W149" s="319">
        <v>0</v>
      </c>
      <c r="X149" s="319">
        <v>0.52880000000000005</v>
      </c>
      <c r="Y149" s="319">
        <v>0</v>
      </c>
      <c r="Z149" s="319">
        <v>1.4695</v>
      </c>
      <c r="AA149" s="319">
        <v>0.25919999999999999</v>
      </c>
      <c r="AB149" s="319">
        <v>0.1792</v>
      </c>
      <c r="AC149" s="319">
        <v>0</v>
      </c>
      <c r="AD149" s="319">
        <v>0</v>
      </c>
      <c r="AE149" s="319">
        <v>0</v>
      </c>
      <c r="AF149" s="319">
        <v>0.05</v>
      </c>
      <c r="AG149" s="319">
        <v>3.6999999999999998E-2</v>
      </c>
      <c r="AH149" s="319">
        <v>0</v>
      </c>
      <c r="AI149" s="319">
        <v>3.0400999999999998</v>
      </c>
      <c r="AJ149" s="319">
        <v>1.5806</v>
      </c>
      <c r="AK149" s="319">
        <v>0.1103</v>
      </c>
      <c r="AL149" s="319">
        <v>0.51400000000000001</v>
      </c>
      <c r="AM149" s="319">
        <v>0</v>
      </c>
      <c r="AN149" s="319">
        <v>0</v>
      </c>
      <c r="AO149" s="319">
        <v>7.2099999999999997E-2</v>
      </c>
      <c r="AP149" s="319">
        <v>0</v>
      </c>
      <c r="AQ149" s="319">
        <v>0</v>
      </c>
      <c r="AR149" s="319">
        <v>0.45810000000000001</v>
      </c>
      <c r="AS149" s="319">
        <v>0.45810000000000001</v>
      </c>
      <c r="AT149" s="331">
        <v>0.1978</v>
      </c>
      <c r="AU149" s="336">
        <v>9.6208000000000009</v>
      </c>
      <c r="AV149" s="329">
        <v>9.6208000000000009</v>
      </c>
      <c r="AW149" s="337">
        <v>4.1537000000000006</v>
      </c>
      <c r="AX149" s="334"/>
      <c r="AY149" s="323">
        <v>7.5759000000000007</v>
      </c>
      <c r="AZ149" s="323">
        <v>7.5759000000000007</v>
      </c>
      <c r="BA149" s="323">
        <v>3.938600000000001</v>
      </c>
      <c r="BB149" s="319"/>
      <c r="BC149" s="321">
        <f t="shared" si="12"/>
        <v>1.2699217254715611</v>
      </c>
      <c r="BD149" s="321">
        <f t="shared" si="13"/>
        <v>1.2699217254715611</v>
      </c>
      <c r="BE149" s="321">
        <f t="shared" si="14"/>
        <v>1.0546133143756664</v>
      </c>
      <c r="BG149" s="22">
        <f t="shared" si="15"/>
        <v>0</v>
      </c>
      <c r="BH149" s="22">
        <f t="shared" si="16"/>
        <v>7.2164496600635175E-16</v>
      </c>
      <c r="BI149" s="22">
        <f t="shared" si="17"/>
        <v>1.1657341758564144E-15</v>
      </c>
    </row>
    <row r="150" spans="2:61" x14ac:dyDescent="0.25">
      <c r="B150" s="312">
        <v>143</v>
      </c>
      <c r="C150" s="312" t="s">
        <v>746</v>
      </c>
      <c r="D150" s="312"/>
      <c r="E150" s="312">
        <v>1</v>
      </c>
      <c r="F150" s="312">
        <v>0</v>
      </c>
      <c r="G150" s="313" t="s">
        <v>5</v>
      </c>
      <c r="H150" s="313"/>
      <c r="I150" s="313">
        <v>63.200000000000017</v>
      </c>
      <c r="J150" s="312">
        <v>63.200000000000017</v>
      </c>
      <c r="K150" s="312">
        <v>0</v>
      </c>
      <c r="L150" s="312">
        <v>0</v>
      </c>
      <c r="M150" s="317"/>
      <c r="N150" s="319">
        <v>0</v>
      </c>
      <c r="O150" s="319">
        <v>0</v>
      </c>
      <c r="P150" s="319">
        <v>0</v>
      </c>
      <c r="Q150" s="319">
        <v>0</v>
      </c>
      <c r="R150" s="319">
        <v>0</v>
      </c>
      <c r="S150" s="319">
        <v>0</v>
      </c>
      <c r="T150" s="319">
        <v>0</v>
      </c>
      <c r="U150" s="319">
        <v>0</v>
      </c>
      <c r="V150" s="319">
        <v>0</v>
      </c>
      <c r="W150" s="319">
        <v>0</v>
      </c>
      <c r="X150" s="319">
        <v>1.1261000000000001</v>
      </c>
      <c r="Y150" s="319">
        <v>0</v>
      </c>
      <c r="Z150" s="319">
        <v>1.0224</v>
      </c>
      <c r="AA150" s="319">
        <v>0</v>
      </c>
      <c r="AB150" s="319">
        <v>0</v>
      </c>
      <c r="AC150" s="319">
        <v>0</v>
      </c>
      <c r="AD150" s="319">
        <v>0</v>
      </c>
      <c r="AE150" s="319">
        <v>0</v>
      </c>
      <c r="AF150" s="319">
        <v>0</v>
      </c>
      <c r="AG150" s="319">
        <v>0</v>
      </c>
      <c r="AH150" s="319">
        <v>0</v>
      </c>
      <c r="AI150" s="319">
        <v>0</v>
      </c>
      <c r="AJ150" s="319">
        <v>0</v>
      </c>
      <c r="AK150" s="319">
        <v>0</v>
      </c>
      <c r="AL150" s="319">
        <v>0</v>
      </c>
      <c r="AM150" s="319">
        <v>0</v>
      </c>
      <c r="AN150" s="319">
        <v>0</v>
      </c>
      <c r="AO150" s="319">
        <v>0</v>
      </c>
      <c r="AP150" s="319">
        <v>0</v>
      </c>
      <c r="AQ150" s="319">
        <v>0</v>
      </c>
      <c r="AR150" s="319">
        <v>0.1074</v>
      </c>
      <c r="AS150" s="319">
        <v>0.1074</v>
      </c>
      <c r="AT150" s="331">
        <v>0.1074</v>
      </c>
      <c r="AU150" s="336">
        <v>2.2559000000000005</v>
      </c>
      <c r="AV150" s="329">
        <v>2.2559000000000005</v>
      </c>
      <c r="AW150" s="337">
        <v>2.2559000000000005</v>
      </c>
      <c r="AX150" s="334"/>
      <c r="AY150" s="323">
        <v>1.7764</v>
      </c>
      <c r="AZ150" s="323">
        <v>1.7764</v>
      </c>
      <c r="BA150" s="323">
        <v>1.7764</v>
      </c>
      <c r="BB150" s="319"/>
      <c r="BC150" s="321">
        <f t="shared" si="12"/>
        <v>1.2699279441567217</v>
      </c>
      <c r="BD150" s="321">
        <f t="shared" si="13"/>
        <v>1.2699279441567217</v>
      </c>
      <c r="BE150" s="321">
        <f t="shared" si="14"/>
        <v>1.2699279441567217</v>
      </c>
      <c r="BG150" s="22">
        <f t="shared" si="15"/>
        <v>3.8857805861880479E-16</v>
      </c>
      <c r="BH150" s="22">
        <f t="shared" si="16"/>
        <v>2.2204460492503131E-16</v>
      </c>
      <c r="BI150" s="22">
        <f t="shared" si="17"/>
        <v>2.2204460492503131E-16</v>
      </c>
    </row>
    <row r="151" spans="2:61" x14ac:dyDescent="0.25">
      <c r="B151" s="312">
        <v>144</v>
      </c>
      <c r="C151" s="312" t="s">
        <v>748</v>
      </c>
      <c r="D151" s="312"/>
      <c r="E151" s="312">
        <v>2</v>
      </c>
      <c r="F151" s="312">
        <v>3</v>
      </c>
      <c r="G151" s="313" t="s">
        <v>17</v>
      </c>
      <c r="H151" s="313"/>
      <c r="I151" s="313">
        <v>934.3</v>
      </c>
      <c r="J151" s="312">
        <v>934.3</v>
      </c>
      <c r="K151" s="312">
        <v>0</v>
      </c>
      <c r="L151" s="312">
        <v>0</v>
      </c>
      <c r="M151" s="317"/>
      <c r="N151" s="319">
        <v>0.15559999999999999</v>
      </c>
      <c r="O151" s="319">
        <v>9.8400000000000001E-2</v>
      </c>
      <c r="P151" s="319">
        <v>0.31380000000000002</v>
      </c>
      <c r="Q151" s="319">
        <v>7.3499999999999996E-2</v>
      </c>
      <c r="R151" s="319">
        <v>0</v>
      </c>
      <c r="S151" s="319">
        <v>0.57140000000000002</v>
      </c>
      <c r="T151" s="319">
        <v>0</v>
      </c>
      <c r="U151" s="319">
        <v>0.63149999999999995</v>
      </c>
      <c r="V151" s="319">
        <v>0</v>
      </c>
      <c r="W151" s="319">
        <v>0</v>
      </c>
      <c r="X151" s="319">
        <v>0.13539999999999999</v>
      </c>
      <c r="Y151" s="319">
        <v>0</v>
      </c>
      <c r="Z151" s="319">
        <v>1.3184</v>
      </c>
      <c r="AA151" s="319">
        <v>0.20219999999999999</v>
      </c>
      <c r="AB151" s="319">
        <v>0.29520000000000002</v>
      </c>
      <c r="AC151" s="319">
        <v>7.3300000000000004E-2</v>
      </c>
      <c r="AD151" s="319">
        <v>9.7600000000000006E-2</v>
      </c>
      <c r="AE151" s="319">
        <v>0</v>
      </c>
      <c r="AF151" s="319">
        <v>0.14369999999999999</v>
      </c>
      <c r="AG151" s="319">
        <v>4.41E-2</v>
      </c>
      <c r="AH151" s="319">
        <v>0</v>
      </c>
      <c r="AI151" s="319">
        <v>3.1244000000000001</v>
      </c>
      <c r="AJ151" s="319">
        <v>1.1714</v>
      </c>
      <c r="AK151" s="319">
        <v>0.12230000000000001</v>
      </c>
      <c r="AL151" s="319">
        <v>0.81879999999999997</v>
      </c>
      <c r="AM151" s="319">
        <v>0.17269999999999999</v>
      </c>
      <c r="AN151" s="319">
        <v>2.8000000000000001E-2</v>
      </c>
      <c r="AO151" s="319">
        <v>0.46529999999999999</v>
      </c>
      <c r="AP151" s="319">
        <v>0</v>
      </c>
      <c r="AQ151" s="319">
        <v>0</v>
      </c>
      <c r="AR151" s="319">
        <v>0.50290000000000001</v>
      </c>
      <c r="AS151" s="319">
        <v>0.50290000000000001</v>
      </c>
      <c r="AT151" s="331">
        <v>0.22389999999999999</v>
      </c>
      <c r="AU151" s="336">
        <v>10.559900000000001</v>
      </c>
      <c r="AV151" s="329">
        <v>10.559900000000001</v>
      </c>
      <c r="AW151" s="337">
        <v>4.7010000000000023</v>
      </c>
      <c r="AX151" s="334"/>
      <c r="AY151" s="323">
        <v>8.3153000000000024</v>
      </c>
      <c r="AZ151" s="323">
        <v>8.3153000000000024</v>
      </c>
      <c r="BA151" s="323">
        <v>4.1523000000000012</v>
      </c>
      <c r="BB151" s="319"/>
      <c r="BC151" s="321">
        <f t="shared" si="12"/>
        <v>1.2699361418108785</v>
      </c>
      <c r="BD151" s="321">
        <f t="shared" si="13"/>
        <v>1.2699361418108785</v>
      </c>
      <c r="BE151" s="321">
        <f t="shared" si="14"/>
        <v>1.1321436312405175</v>
      </c>
      <c r="BG151" s="22">
        <f t="shared" si="15"/>
        <v>0</v>
      </c>
      <c r="BH151" s="22">
        <f t="shared" si="16"/>
        <v>1.4155343563970746E-15</v>
      </c>
      <c r="BI151" s="22">
        <f t="shared" si="17"/>
        <v>2.3037127760971998E-15</v>
      </c>
    </row>
    <row r="152" spans="2:61" x14ac:dyDescent="0.25">
      <c r="B152" s="312">
        <v>145</v>
      </c>
      <c r="C152" s="312" t="s">
        <v>750</v>
      </c>
      <c r="D152" s="312"/>
      <c r="E152" s="312">
        <v>2</v>
      </c>
      <c r="F152" s="312">
        <v>4</v>
      </c>
      <c r="G152" s="313" t="s">
        <v>18</v>
      </c>
      <c r="H152" s="313"/>
      <c r="I152" s="313">
        <v>1034.5999999999999</v>
      </c>
      <c r="J152" s="312">
        <v>1034.5999999999999</v>
      </c>
      <c r="K152" s="312">
        <v>0</v>
      </c>
      <c r="L152" s="312">
        <v>0</v>
      </c>
      <c r="M152" s="317"/>
      <c r="N152" s="319">
        <v>0.1406</v>
      </c>
      <c r="O152" s="319">
        <v>7.7399999999999997E-2</v>
      </c>
      <c r="P152" s="319">
        <v>0.33710000000000001</v>
      </c>
      <c r="Q152" s="319">
        <v>7.3800000000000004E-2</v>
      </c>
      <c r="R152" s="319">
        <v>0</v>
      </c>
      <c r="S152" s="319">
        <v>0.73770000000000002</v>
      </c>
      <c r="T152" s="319">
        <v>0</v>
      </c>
      <c r="U152" s="319">
        <v>0.63149999999999995</v>
      </c>
      <c r="V152" s="319">
        <v>0</v>
      </c>
      <c r="W152" s="319">
        <v>0</v>
      </c>
      <c r="X152" s="319">
        <v>0.12230000000000001</v>
      </c>
      <c r="Y152" s="319">
        <v>0</v>
      </c>
      <c r="Z152" s="319">
        <v>1.4959</v>
      </c>
      <c r="AA152" s="319">
        <v>0.1641</v>
      </c>
      <c r="AB152" s="319">
        <v>0.27450000000000002</v>
      </c>
      <c r="AC152" s="319">
        <v>7.7200000000000005E-2</v>
      </c>
      <c r="AD152" s="319">
        <v>0.104</v>
      </c>
      <c r="AE152" s="319">
        <v>0</v>
      </c>
      <c r="AF152" s="319">
        <v>0.1852</v>
      </c>
      <c r="AG152" s="319">
        <v>4.3700000000000003E-2</v>
      </c>
      <c r="AH152" s="319">
        <v>0</v>
      </c>
      <c r="AI152" s="319">
        <v>2.5657000000000001</v>
      </c>
      <c r="AJ152" s="319">
        <v>1.3654999999999999</v>
      </c>
      <c r="AK152" s="319">
        <v>6.9400000000000003E-2</v>
      </c>
      <c r="AL152" s="319">
        <v>1.3845000000000001</v>
      </c>
      <c r="AM152" s="319">
        <v>9.8000000000000004E-2</v>
      </c>
      <c r="AN152" s="319">
        <v>1.5900000000000001E-2</v>
      </c>
      <c r="AO152" s="319">
        <v>0.16009999999999999</v>
      </c>
      <c r="AP152" s="319">
        <v>0</v>
      </c>
      <c r="AQ152" s="319">
        <v>0</v>
      </c>
      <c r="AR152" s="319">
        <v>0.50619999999999998</v>
      </c>
      <c r="AS152" s="319">
        <v>0.50619999999999998</v>
      </c>
      <c r="AT152" s="331">
        <v>0.2324</v>
      </c>
      <c r="AU152" s="336">
        <v>10.630300000000002</v>
      </c>
      <c r="AV152" s="329">
        <v>10.630300000000002</v>
      </c>
      <c r="AW152" s="337">
        <v>4.8807000000000027</v>
      </c>
      <c r="AX152" s="334"/>
      <c r="AY152" s="323">
        <v>8.3706999999999994</v>
      </c>
      <c r="AZ152" s="323">
        <v>8.3706999999999994</v>
      </c>
      <c r="BA152" s="323">
        <v>4.3135000000000003</v>
      </c>
      <c r="BB152" s="319"/>
      <c r="BC152" s="321">
        <f t="shared" si="12"/>
        <v>1.269941581946552</v>
      </c>
      <c r="BD152" s="321">
        <f t="shared" si="13"/>
        <v>1.269941581946552</v>
      </c>
      <c r="BE152" s="321">
        <f t="shared" si="14"/>
        <v>1.13149414628492</v>
      </c>
      <c r="BG152" s="22">
        <f t="shared" si="15"/>
        <v>1.1102230246251565E-15</v>
      </c>
      <c r="BH152" s="22">
        <f t="shared" si="16"/>
        <v>9.1593399531575415E-16</v>
      </c>
      <c r="BI152" s="22">
        <f t="shared" si="17"/>
        <v>1.8041124150158794E-15</v>
      </c>
    </row>
    <row r="153" spans="2:61" x14ac:dyDescent="0.25">
      <c r="B153" s="312">
        <v>146</v>
      </c>
      <c r="C153" s="312" t="s">
        <v>752</v>
      </c>
      <c r="D153" s="312"/>
      <c r="E153" s="312">
        <v>3</v>
      </c>
      <c r="F153" s="312">
        <v>5</v>
      </c>
      <c r="G153" s="313" t="s">
        <v>36</v>
      </c>
      <c r="H153" s="313"/>
      <c r="I153" s="313">
        <v>1916.6</v>
      </c>
      <c r="J153" s="312">
        <v>1916.6</v>
      </c>
      <c r="K153" s="312">
        <v>0</v>
      </c>
      <c r="L153" s="312">
        <v>0</v>
      </c>
      <c r="M153" s="317"/>
      <c r="N153" s="319">
        <v>0.1888</v>
      </c>
      <c r="O153" s="319">
        <v>0.1113</v>
      </c>
      <c r="P153" s="319">
        <v>0</v>
      </c>
      <c r="Q153" s="319">
        <v>0</v>
      </c>
      <c r="R153" s="319">
        <v>0</v>
      </c>
      <c r="S153" s="319">
        <v>0.7399</v>
      </c>
      <c r="T153" s="319">
        <v>0</v>
      </c>
      <c r="U153" s="319">
        <v>0.61070000000000002</v>
      </c>
      <c r="V153" s="319">
        <v>0</v>
      </c>
      <c r="W153" s="319">
        <v>0</v>
      </c>
      <c r="X153" s="319">
        <v>0.37130000000000002</v>
      </c>
      <c r="Y153" s="319">
        <v>0</v>
      </c>
      <c r="Z153" s="319">
        <v>2.2181000000000002</v>
      </c>
      <c r="AA153" s="319">
        <v>0.24790000000000001</v>
      </c>
      <c r="AB153" s="319">
        <v>0.39479999999999998</v>
      </c>
      <c r="AC153" s="319">
        <v>0</v>
      </c>
      <c r="AD153" s="319">
        <v>0</v>
      </c>
      <c r="AE153" s="319">
        <v>0</v>
      </c>
      <c r="AF153" s="319">
        <v>0.29849999999999999</v>
      </c>
      <c r="AG153" s="319">
        <v>3.39E-2</v>
      </c>
      <c r="AH153" s="319">
        <v>0</v>
      </c>
      <c r="AI153" s="319">
        <v>1.9443999999999999</v>
      </c>
      <c r="AJ153" s="319">
        <v>1.6437999999999999</v>
      </c>
      <c r="AK153" s="319">
        <v>5.6800000000000003E-2</v>
      </c>
      <c r="AL153" s="319">
        <v>0.65259999999999996</v>
      </c>
      <c r="AM153" s="319">
        <v>0.1143</v>
      </c>
      <c r="AN153" s="319">
        <v>1.8499999999999999E-2</v>
      </c>
      <c r="AO153" s="319">
        <v>0.3241</v>
      </c>
      <c r="AP153" s="319">
        <v>0</v>
      </c>
      <c r="AQ153" s="319">
        <v>0</v>
      </c>
      <c r="AR153" s="319">
        <v>0.4985</v>
      </c>
      <c r="AS153" s="319">
        <v>0.4985</v>
      </c>
      <c r="AT153" s="331">
        <v>0.2702</v>
      </c>
      <c r="AU153" s="336">
        <v>10.4682</v>
      </c>
      <c r="AV153" s="329">
        <v>10.4682</v>
      </c>
      <c r="AW153" s="337">
        <v>5.6750000000000007</v>
      </c>
      <c r="AX153" s="334"/>
      <c r="AY153" s="323">
        <v>8.2431000000000001</v>
      </c>
      <c r="AZ153" s="323">
        <v>8.2431000000000001</v>
      </c>
      <c r="BA153" s="323">
        <v>4.5401999999999996</v>
      </c>
      <c r="BB153" s="319"/>
      <c r="BC153" s="321">
        <f t="shared" si="12"/>
        <v>1.2699348546056701</v>
      </c>
      <c r="BD153" s="321">
        <f t="shared" si="13"/>
        <v>1.2699348546056701</v>
      </c>
      <c r="BE153" s="321">
        <f t="shared" si="14"/>
        <v>1.2499449363464168</v>
      </c>
      <c r="BG153" s="22">
        <f t="shared" si="15"/>
        <v>4.4408920985006262E-16</v>
      </c>
      <c r="BH153" s="22">
        <f t="shared" si="16"/>
        <v>0</v>
      </c>
      <c r="BI153" s="22">
        <f t="shared" si="17"/>
        <v>0</v>
      </c>
    </row>
    <row r="154" spans="2:61" x14ac:dyDescent="0.25">
      <c r="B154" s="312">
        <v>147</v>
      </c>
      <c r="C154" s="312" t="s">
        <v>755</v>
      </c>
      <c r="D154" s="312"/>
      <c r="E154" s="312">
        <v>3</v>
      </c>
      <c r="F154" s="312">
        <v>10</v>
      </c>
      <c r="G154" s="313" t="s">
        <v>38</v>
      </c>
      <c r="H154" s="313"/>
      <c r="I154" s="313">
        <v>3951.4</v>
      </c>
      <c r="J154" s="312">
        <v>3869.8</v>
      </c>
      <c r="K154" s="312">
        <v>0</v>
      </c>
      <c r="L154" s="312">
        <v>81.599999999999994</v>
      </c>
      <c r="M154" s="317"/>
      <c r="N154" s="319">
        <v>0.18310000000000001</v>
      </c>
      <c r="O154" s="319">
        <v>0.1062</v>
      </c>
      <c r="P154" s="319">
        <v>0</v>
      </c>
      <c r="Q154" s="319">
        <v>0</v>
      </c>
      <c r="R154" s="319">
        <v>0</v>
      </c>
      <c r="S154" s="319">
        <v>0.5</v>
      </c>
      <c r="T154" s="319">
        <v>0</v>
      </c>
      <c r="U154" s="319">
        <v>0.61070000000000002</v>
      </c>
      <c r="V154" s="319">
        <v>0</v>
      </c>
      <c r="W154" s="319">
        <v>0</v>
      </c>
      <c r="X154" s="319">
        <v>0.36020000000000002</v>
      </c>
      <c r="Y154" s="319">
        <v>0</v>
      </c>
      <c r="Z154" s="319">
        <v>1.7619</v>
      </c>
      <c r="AA154" s="319">
        <v>0.23200000000000001</v>
      </c>
      <c r="AB154" s="319">
        <v>0.3765</v>
      </c>
      <c r="AC154" s="319">
        <v>0</v>
      </c>
      <c r="AD154" s="319">
        <v>0</v>
      </c>
      <c r="AE154" s="319">
        <v>0</v>
      </c>
      <c r="AF154" s="319">
        <v>0.2006</v>
      </c>
      <c r="AG154" s="319">
        <v>3.3599999999999998E-2</v>
      </c>
      <c r="AH154" s="319">
        <v>0</v>
      </c>
      <c r="AI154" s="319">
        <v>3.1417000000000002</v>
      </c>
      <c r="AJ154" s="319">
        <v>1.367</v>
      </c>
      <c r="AK154" s="319">
        <v>6.0999999999999999E-2</v>
      </c>
      <c r="AL154" s="319">
        <v>0.75319999999999998</v>
      </c>
      <c r="AM154" s="319">
        <v>0.1135</v>
      </c>
      <c r="AN154" s="319">
        <v>1.84E-2</v>
      </c>
      <c r="AO154" s="319">
        <v>0.64200000000000002</v>
      </c>
      <c r="AP154" s="319">
        <v>0</v>
      </c>
      <c r="AQ154" s="319">
        <v>0</v>
      </c>
      <c r="AR154" s="319">
        <v>0.52310000000000001</v>
      </c>
      <c r="AS154" s="319">
        <v>0.52310000000000001</v>
      </c>
      <c r="AT154" s="331">
        <v>0.22789999999999999</v>
      </c>
      <c r="AU154" s="336">
        <v>10.984699999999998</v>
      </c>
      <c r="AV154" s="329">
        <v>10.984699999999998</v>
      </c>
      <c r="AW154" s="337">
        <v>4.7855999999999996</v>
      </c>
      <c r="AX154" s="334"/>
      <c r="AY154" s="323">
        <v>8.6499000000000006</v>
      </c>
      <c r="AZ154" s="323">
        <v>8.6499000000000006</v>
      </c>
      <c r="BA154" s="323">
        <v>4.2771000000000008</v>
      </c>
      <c r="BB154" s="319"/>
      <c r="BC154" s="321">
        <f t="shared" si="12"/>
        <v>1.2699221956323192</v>
      </c>
      <c r="BD154" s="321">
        <f t="shared" si="13"/>
        <v>1.2699221956323192</v>
      </c>
      <c r="BE154" s="321">
        <f t="shared" si="14"/>
        <v>1.1188889668233146</v>
      </c>
      <c r="BG154" s="22">
        <f t="shared" si="15"/>
        <v>0</v>
      </c>
      <c r="BH154" s="22">
        <f t="shared" si="16"/>
        <v>0</v>
      </c>
      <c r="BI154" s="22">
        <f t="shared" si="17"/>
        <v>0</v>
      </c>
    </row>
    <row r="155" spans="2:61" x14ac:dyDescent="0.25">
      <c r="B155" s="312">
        <v>148</v>
      </c>
      <c r="C155" s="312" t="s">
        <v>758</v>
      </c>
      <c r="D155" s="312"/>
      <c r="E155" s="312">
        <v>2</v>
      </c>
      <c r="F155" s="312">
        <v>3</v>
      </c>
      <c r="G155" s="313" t="s">
        <v>20</v>
      </c>
      <c r="H155" s="313"/>
      <c r="I155" s="313">
        <v>931.6</v>
      </c>
      <c r="J155" s="312">
        <v>931.6</v>
      </c>
      <c r="K155" s="312">
        <v>0</v>
      </c>
      <c r="L155" s="312">
        <v>0</v>
      </c>
      <c r="M155" s="317"/>
      <c r="N155" s="319">
        <v>0.15609999999999999</v>
      </c>
      <c r="O155" s="319">
        <v>9.8699999999999996E-2</v>
      </c>
      <c r="P155" s="319">
        <v>0.3226</v>
      </c>
      <c r="Q155" s="319">
        <v>7.2800000000000004E-2</v>
      </c>
      <c r="R155" s="319">
        <v>0</v>
      </c>
      <c r="S155" s="319">
        <v>0.58540000000000003</v>
      </c>
      <c r="T155" s="319">
        <v>0</v>
      </c>
      <c r="U155" s="319">
        <v>0.63149999999999995</v>
      </c>
      <c r="V155" s="319">
        <v>0</v>
      </c>
      <c r="W155" s="319">
        <v>0</v>
      </c>
      <c r="X155" s="319">
        <v>0.1358</v>
      </c>
      <c r="Y155" s="319">
        <v>0</v>
      </c>
      <c r="Z155" s="319">
        <v>1.1880999999999999</v>
      </c>
      <c r="AA155" s="319">
        <v>0.20280000000000001</v>
      </c>
      <c r="AB155" s="319">
        <v>0.29360000000000003</v>
      </c>
      <c r="AC155" s="319">
        <v>8.3699999999999997E-2</v>
      </c>
      <c r="AD155" s="319">
        <v>0.1042</v>
      </c>
      <c r="AE155" s="319">
        <v>0</v>
      </c>
      <c r="AF155" s="319">
        <v>0.14410000000000001</v>
      </c>
      <c r="AG155" s="319">
        <v>4.4200000000000003E-2</v>
      </c>
      <c r="AH155" s="319">
        <v>0</v>
      </c>
      <c r="AI155" s="319">
        <v>3.1238000000000001</v>
      </c>
      <c r="AJ155" s="319">
        <v>1.2036</v>
      </c>
      <c r="AK155" s="319">
        <v>5.67E-2</v>
      </c>
      <c r="AL155" s="319">
        <v>1.1073</v>
      </c>
      <c r="AM155" s="319">
        <v>8.0100000000000005E-2</v>
      </c>
      <c r="AN155" s="319">
        <v>1.2999999999999999E-2</v>
      </c>
      <c r="AO155" s="319">
        <v>0.25</v>
      </c>
      <c r="AP155" s="319">
        <v>0</v>
      </c>
      <c r="AQ155" s="319">
        <v>0</v>
      </c>
      <c r="AR155" s="319">
        <v>0.49490000000000001</v>
      </c>
      <c r="AS155" s="319">
        <v>0.49490000000000001</v>
      </c>
      <c r="AT155" s="331">
        <v>0.2107</v>
      </c>
      <c r="AU155" s="336">
        <v>10.392999999999999</v>
      </c>
      <c r="AV155" s="329">
        <v>10.392999999999999</v>
      </c>
      <c r="AW155" s="337">
        <v>4.4240999999999993</v>
      </c>
      <c r="AX155" s="334"/>
      <c r="AY155" s="323">
        <v>8.1839999999999993</v>
      </c>
      <c r="AZ155" s="323">
        <v>8.1839999999999993</v>
      </c>
      <c r="BA155" s="323">
        <v>4.0405999999999995</v>
      </c>
      <c r="BB155" s="319"/>
      <c r="BC155" s="321">
        <f t="shared" si="12"/>
        <v>1.2699169110459432</v>
      </c>
      <c r="BD155" s="321">
        <f t="shared" si="13"/>
        <v>1.2699169110459432</v>
      </c>
      <c r="BE155" s="321">
        <f t="shared" si="14"/>
        <v>1.094911646785131</v>
      </c>
      <c r="BG155" s="22">
        <f t="shared" si="15"/>
        <v>6.6613381477509392E-16</v>
      </c>
      <c r="BH155" s="22">
        <f t="shared" si="16"/>
        <v>4.7184478546569153E-16</v>
      </c>
      <c r="BI155" s="22">
        <f t="shared" si="17"/>
        <v>-4.163336342344337E-16</v>
      </c>
    </row>
    <row r="156" spans="2:61" x14ac:dyDescent="0.25">
      <c r="B156" s="312">
        <v>149</v>
      </c>
      <c r="C156" s="312" t="s">
        <v>760</v>
      </c>
      <c r="D156" s="312"/>
      <c r="E156" s="312">
        <v>3</v>
      </c>
      <c r="F156" s="312">
        <v>4</v>
      </c>
      <c r="G156" s="313" t="s">
        <v>39</v>
      </c>
      <c r="H156" s="313"/>
      <c r="I156" s="313">
        <v>1469.4</v>
      </c>
      <c r="J156" s="312">
        <v>1469.4</v>
      </c>
      <c r="K156" s="312">
        <v>0</v>
      </c>
      <c r="L156" s="312">
        <v>0</v>
      </c>
      <c r="M156" s="317"/>
      <c r="N156" s="319">
        <v>0.21920000000000001</v>
      </c>
      <c r="O156" s="319">
        <v>0.1166</v>
      </c>
      <c r="P156" s="319">
        <v>0.32890000000000003</v>
      </c>
      <c r="Q156" s="319">
        <v>7.5899999999999995E-2</v>
      </c>
      <c r="R156" s="319">
        <v>0</v>
      </c>
      <c r="S156" s="319">
        <v>0.57850000000000001</v>
      </c>
      <c r="T156" s="319">
        <v>0</v>
      </c>
      <c r="U156" s="319">
        <v>0.63149999999999995</v>
      </c>
      <c r="V156" s="319">
        <v>0</v>
      </c>
      <c r="W156" s="319">
        <v>0</v>
      </c>
      <c r="X156" s="319">
        <v>0.12920000000000001</v>
      </c>
      <c r="Y156" s="319">
        <v>0</v>
      </c>
      <c r="Z156" s="319">
        <v>1.8987000000000001</v>
      </c>
      <c r="AA156" s="319">
        <v>0.21690000000000001</v>
      </c>
      <c r="AB156" s="319">
        <v>0.41360000000000002</v>
      </c>
      <c r="AC156" s="319">
        <v>8.5400000000000004E-2</v>
      </c>
      <c r="AD156" s="319">
        <v>8.48E-2</v>
      </c>
      <c r="AE156" s="319">
        <v>0</v>
      </c>
      <c r="AF156" s="319">
        <v>0.14360000000000001</v>
      </c>
      <c r="AG156" s="319">
        <v>3.4299999999999997E-2</v>
      </c>
      <c r="AH156" s="319">
        <v>0</v>
      </c>
      <c r="AI156" s="319">
        <v>1.915</v>
      </c>
      <c r="AJ156" s="319">
        <v>1.4985999999999999</v>
      </c>
      <c r="AK156" s="319">
        <v>5.62E-2</v>
      </c>
      <c r="AL156" s="319">
        <v>1.0610999999999999</v>
      </c>
      <c r="AM156" s="319">
        <v>0.11550000000000001</v>
      </c>
      <c r="AN156" s="319">
        <v>1.8700000000000001E-2</v>
      </c>
      <c r="AO156" s="319">
        <v>0.33460000000000001</v>
      </c>
      <c r="AP156" s="319">
        <v>0</v>
      </c>
      <c r="AQ156" s="319">
        <v>0</v>
      </c>
      <c r="AR156" s="319">
        <v>0.49780000000000002</v>
      </c>
      <c r="AS156" s="319">
        <v>0.49780000000000002</v>
      </c>
      <c r="AT156" s="331">
        <v>0.25740000000000002</v>
      </c>
      <c r="AU156" s="336">
        <v>10.454600000000003</v>
      </c>
      <c r="AV156" s="329">
        <v>10.454600000000003</v>
      </c>
      <c r="AW156" s="337">
        <v>5.4049000000000031</v>
      </c>
      <c r="AX156" s="334"/>
      <c r="AY156" s="323">
        <v>8.2324999999999982</v>
      </c>
      <c r="AZ156" s="323">
        <v>8.2324999999999982</v>
      </c>
      <c r="BA156" s="323">
        <v>4.5035999999999996</v>
      </c>
      <c r="BB156" s="319"/>
      <c r="BC156" s="321">
        <f t="shared" si="12"/>
        <v>1.2699180078955365</v>
      </c>
      <c r="BD156" s="321">
        <f t="shared" si="13"/>
        <v>1.2699180078955365</v>
      </c>
      <c r="BE156" s="321">
        <f t="shared" si="14"/>
        <v>1.2001287858602014</v>
      </c>
      <c r="BG156" s="22">
        <f t="shared" si="15"/>
        <v>6.6613381477509392E-16</v>
      </c>
      <c r="BH156" s="22">
        <f t="shared" si="16"/>
        <v>1.4988010832439613E-15</v>
      </c>
      <c r="BI156" s="22">
        <f t="shared" si="17"/>
        <v>4.163336342344337E-15</v>
      </c>
    </row>
    <row r="157" spans="2:61" x14ac:dyDescent="0.25">
      <c r="B157" s="312">
        <v>150</v>
      </c>
      <c r="C157" s="312" t="s">
        <v>762</v>
      </c>
      <c r="D157" s="312"/>
      <c r="E157" s="312">
        <v>2</v>
      </c>
      <c r="F157" s="312">
        <v>2</v>
      </c>
      <c r="G157" s="313" t="s">
        <v>21</v>
      </c>
      <c r="H157" s="313"/>
      <c r="I157" s="313">
        <v>1056.5999999999999</v>
      </c>
      <c r="J157" s="312">
        <v>1056.5999999999999</v>
      </c>
      <c r="K157" s="312">
        <v>0</v>
      </c>
      <c r="L157" s="312">
        <v>0</v>
      </c>
      <c r="M157" s="317"/>
      <c r="N157" s="319">
        <v>0.2147</v>
      </c>
      <c r="O157" s="319">
        <v>0.13919999999999999</v>
      </c>
      <c r="P157" s="319">
        <v>0.31909999999999999</v>
      </c>
      <c r="Q157" s="319">
        <v>7.6899999999999996E-2</v>
      </c>
      <c r="R157" s="319">
        <v>0</v>
      </c>
      <c r="S157" s="319">
        <v>0.47749999999999998</v>
      </c>
      <c r="T157" s="319">
        <v>0</v>
      </c>
      <c r="U157" s="319">
        <v>0.63149999999999995</v>
      </c>
      <c r="V157" s="319">
        <v>0</v>
      </c>
      <c r="W157" s="319">
        <v>0</v>
      </c>
      <c r="X157" s="319">
        <v>0.1946</v>
      </c>
      <c r="Y157" s="319">
        <v>0</v>
      </c>
      <c r="Z157" s="319">
        <v>1.5429999999999999</v>
      </c>
      <c r="AA157" s="319">
        <v>0.25180000000000002</v>
      </c>
      <c r="AB157" s="319">
        <v>0.42909999999999998</v>
      </c>
      <c r="AC157" s="319">
        <v>8.5900000000000004E-2</v>
      </c>
      <c r="AD157" s="319">
        <v>0.11210000000000001</v>
      </c>
      <c r="AE157" s="319">
        <v>0</v>
      </c>
      <c r="AF157" s="319">
        <v>6.5199999999999994E-2</v>
      </c>
      <c r="AG157" s="319">
        <v>3.73E-2</v>
      </c>
      <c r="AH157" s="319">
        <v>0</v>
      </c>
      <c r="AI157" s="319">
        <v>2.2717999999999998</v>
      </c>
      <c r="AJ157" s="319">
        <v>2.4013</v>
      </c>
      <c r="AK157" s="319">
        <v>0</v>
      </c>
      <c r="AL157" s="319">
        <v>0.73809999999999998</v>
      </c>
      <c r="AM157" s="319">
        <v>0</v>
      </c>
      <c r="AN157" s="319">
        <v>0</v>
      </c>
      <c r="AO157" s="319">
        <v>0.63190000000000002</v>
      </c>
      <c r="AP157" s="319">
        <v>0</v>
      </c>
      <c r="AQ157" s="319">
        <v>0</v>
      </c>
      <c r="AR157" s="319">
        <v>0.53110000000000002</v>
      </c>
      <c r="AS157" s="319">
        <v>0.53110000000000002</v>
      </c>
      <c r="AT157" s="331">
        <v>0.22889999999999999</v>
      </c>
      <c r="AU157" s="336">
        <v>11.152099999999999</v>
      </c>
      <c r="AV157" s="329">
        <v>11.152099999999999</v>
      </c>
      <c r="AW157" s="337">
        <v>4.8068</v>
      </c>
      <c r="AX157" s="334"/>
      <c r="AY157" s="323">
        <v>8.7817000000000025</v>
      </c>
      <c r="AZ157" s="323">
        <v>8.7817000000000025</v>
      </c>
      <c r="BA157" s="323">
        <v>4.1326000000000018</v>
      </c>
      <c r="BB157" s="319"/>
      <c r="BC157" s="321">
        <f t="shared" si="12"/>
        <v>1.2699249575822444</v>
      </c>
      <c r="BD157" s="321">
        <f t="shared" si="13"/>
        <v>1.2699249575822444</v>
      </c>
      <c r="BE157" s="321">
        <f t="shared" si="14"/>
        <v>1.1631418477471804</v>
      </c>
      <c r="BG157" s="22">
        <f t="shared" si="15"/>
        <v>0</v>
      </c>
      <c r="BH157" s="22">
        <f t="shared" si="16"/>
        <v>0</v>
      </c>
      <c r="BI157" s="22">
        <f t="shared" si="17"/>
        <v>0</v>
      </c>
    </row>
    <row r="158" spans="2:61" x14ac:dyDescent="0.25">
      <c r="B158" s="312">
        <v>151</v>
      </c>
      <c r="C158" s="312" t="s">
        <v>764</v>
      </c>
      <c r="D158" s="312"/>
      <c r="E158" s="312">
        <v>2</v>
      </c>
      <c r="F158" s="312">
        <v>4</v>
      </c>
      <c r="G158" s="313" t="s">
        <v>22</v>
      </c>
      <c r="H158" s="313"/>
      <c r="I158" s="313">
        <v>935.9</v>
      </c>
      <c r="J158" s="312">
        <v>935.9</v>
      </c>
      <c r="K158" s="312">
        <v>0</v>
      </c>
      <c r="L158" s="312">
        <v>0</v>
      </c>
      <c r="M158" s="317"/>
      <c r="N158" s="319">
        <v>0.15540000000000001</v>
      </c>
      <c r="O158" s="319">
        <v>8.5599999999999996E-2</v>
      </c>
      <c r="P158" s="319">
        <v>0.32469999999999999</v>
      </c>
      <c r="Q158" s="319">
        <v>6.3600000000000004E-2</v>
      </c>
      <c r="R158" s="319">
        <v>0</v>
      </c>
      <c r="S158" s="319">
        <v>0.71579999999999999</v>
      </c>
      <c r="T158" s="319">
        <v>0</v>
      </c>
      <c r="U158" s="319">
        <v>0.63149999999999995</v>
      </c>
      <c r="V158" s="319">
        <v>0</v>
      </c>
      <c r="W158" s="319">
        <v>0</v>
      </c>
      <c r="X158" s="319">
        <v>0.13519999999999999</v>
      </c>
      <c r="Y158" s="319">
        <v>0</v>
      </c>
      <c r="Z158" s="319">
        <v>1.0494000000000001</v>
      </c>
      <c r="AA158" s="319">
        <v>0.20180000000000001</v>
      </c>
      <c r="AB158" s="319">
        <v>0.18190000000000001</v>
      </c>
      <c r="AC158" s="319">
        <v>9.3799999999999994E-2</v>
      </c>
      <c r="AD158" s="319">
        <v>4.1300000000000003E-2</v>
      </c>
      <c r="AE158" s="319">
        <v>0</v>
      </c>
      <c r="AF158" s="319">
        <v>0.1133</v>
      </c>
      <c r="AG158" s="319">
        <v>4.4299999999999999E-2</v>
      </c>
      <c r="AH158" s="319">
        <v>0</v>
      </c>
      <c r="AI158" s="319">
        <v>2.8249</v>
      </c>
      <c r="AJ158" s="319">
        <v>1.6173</v>
      </c>
      <c r="AK158" s="319">
        <v>8.09E-2</v>
      </c>
      <c r="AL158" s="319">
        <v>1.361</v>
      </c>
      <c r="AM158" s="319">
        <v>0.1142</v>
      </c>
      <c r="AN158" s="319">
        <v>1.8499999999999999E-2</v>
      </c>
      <c r="AO158" s="319">
        <v>0.56410000000000005</v>
      </c>
      <c r="AP158" s="319">
        <v>0</v>
      </c>
      <c r="AQ158" s="319">
        <v>0</v>
      </c>
      <c r="AR158" s="319">
        <v>0.52090000000000003</v>
      </c>
      <c r="AS158" s="319">
        <v>0.52090000000000003</v>
      </c>
      <c r="AT158" s="331">
        <v>0.2026</v>
      </c>
      <c r="AU158" s="336">
        <v>10.939399999999999</v>
      </c>
      <c r="AV158" s="329">
        <v>10.939399999999999</v>
      </c>
      <c r="AW158" s="337">
        <v>4.2538</v>
      </c>
      <c r="AX158" s="334"/>
      <c r="AY158" s="323">
        <v>8.6141999999999985</v>
      </c>
      <c r="AZ158" s="323">
        <v>8.6141999999999985</v>
      </c>
      <c r="BA158" s="323">
        <v>3.9757999999999991</v>
      </c>
      <c r="BB158" s="319"/>
      <c r="BC158" s="321">
        <f t="shared" si="12"/>
        <v>1.2699264005943676</v>
      </c>
      <c r="BD158" s="321">
        <f t="shared" si="13"/>
        <v>1.2699264005943676</v>
      </c>
      <c r="BE158" s="321">
        <f t="shared" si="14"/>
        <v>1.0699230343578654</v>
      </c>
      <c r="BG158" s="22">
        <f t="shared" si="15"/>
        <v>2.55351295663786E-15</v>
      </c>
      <c r="BH158" s="22">
        <f t="shared" si="16"/>
        <v>-2.4980018054066022E-16</v>
      </c>
      <c r="BI158" s="22">
        <f t="shared" si="17"/>
        <v>-1.1379786002407855E-15</v>
      </c>
    </row>
    <row r="159" spans="2:61" x14ac:dyDescent="0.25">
      <c r="B159" s="312">
        <v>152</v>
      </c>
      <c r="C159" s="312" t="s">
        <v>766</v>
      </c>
      <c r="D159" s="312"/>
      <c r="E159" s="312">
        <v>4</v>
      </c>
      <c r="F159" s="312">
        <v>7</v>
      </c>
      <c r="G159" s="313" t="s">
        <v>46</v>
      </c>
      <c r="H159" s="313"/>
      <c r="I159" s="313">
        <v>4541.8</v>
      </c>
      <c r="J159" s="312">
        <v>4541.8</v>
      </c>
      <c r="K159" s="312">
        <v>0</v>
      </c>
      <c r="L159" s="312">
        <v>0</v>
      </c>
      <c r="M159" s="317"/>
      <c r="N159" s="319">
        <v>0.1946</v>
      </c>
      <c r="O159" s="319">
        <v>0.1026</v>
      </c>
      <c r="P159" s="319">
        <v>0.32829999999999998</v>
      </c>
      <c r="Q159" s="319">
        <v>7.5300000000000006E-2</v>
      </c>
      <c r="R159" s="319">
        <v>0</v>
      </c>
      <c r="S159" s="319">
        <v>0.6835</v>
      </c>
      <c r="T159" s="319">
        <v>0</v>
      </c>
      <c r="U159" s="319">
        <v>0.63149999999999995</v>
      </c>
      <c r="V159" s="319">
        <v>0</v>
      </c>
      <c r="W159" s="319">
        <v>0</v>
      </c>
      <c r="X159" s="319">
        <v>0.12540000000000001</v>
      </c>
      <c r="Y159" s="319">
        <v>0</v>
      </c>
      <c r="Z159" s="319">
        <v>1.4207000000000001</v>
      </c>
      <c r="AA159" s="319">
        <v>0.27760000000000001</v>
      </c>
      <c r="AB159" s="319">
        <v>0.36370000000000002</v>
      </c>
      <c r="AC159" s="319">
        <v>8.5699999999999998E-2</v>
      </c>
      <c r="AD159" s="319">
        <v>0.10489999999999999</v>
      </c>
      <c r="AE159" s="319">
        <v>0</v>
      </c>
      <c r="AF159" s="319">
        <v>0.27739999999999998</v>
      </c>
      <c r="AG159" s="319">
        <v>2.75E-2</v>
      </c>
      <c r="AH159" s="319">
        <v>0</v>
      </c>
      <c r="AI159" s="319">
        <v>1.6094999999999999</v>
      </c>
      <c r="AJ159" s="319">
        <v>1.0814999999999999</v>
      </c>
      <c r="AK159" s="319">
        <v>5.4699999999999999E-2</v>
      </c>
      <c r="AL159" s="319">
        <v>0.53190000000000004</v>
      </c>
      <c r="AM159" s="319">
        <v>7.7299999999999994E-2</v>
      </c>
      <c r="AN159" s="319">
        <v>1.2500000000000001E-2</v>
      </c>
      <c r="AO159" s="319">
        <v>0.26669999999999999</v>
      </c>
      <c r="AP159" s="319">
        <v>0</v>
      </c>
      <c r="AQ159" s="319">
        <v>0</v>
      </c>
      <c r="AR159" s="319">
        <v>0.41660000000000003</v>
      </c>
      <c r="AS159" s="319">
        <v>0.41660000000000003</v>
      </c>
      <c r="AT159" s="331">
        <v>0.2422</v>
      </c>
      <c r="AU159" s="336">
        <v>8.7493999999999996</v>
      </c>
      <c r="AV159" s="329">
        <v>8.7493999999999996</v>
      </c>
      <c r="AW159" s="337">
        <v>5.085399999999999</v>
      </c>
      <c r="AX159" s="334"/>
      <c r="AY159" s="323">
        <v>6.8900000000000006</v>
      </c>
      <c r="AZ159" s="323">
        <v>6.8900000000000006</v>
      </c>
      <c r="BA159" s="323">
        <v>4.2546999999999997</v>
      </c>
      <c r="BB159" s="319"/>
      <c r="BC159" s="321">
        <f t="shared" si="12"/>
        <v>1.2698693759071116</v>
      </c>
      <c r="BD159" s="321">
        <f t="shared" si="13"/>
        <v>1.2698693759071116</v>
      </c>
      <c r="BE159" s="321">
        <f t="shared" si="14"/>
        <v>1.1952429078430911</v>
      </c>
      <c r="BG159" s="22">
        <f t="shared" si="15"/>
        <v>-5.5511151231257827E-16</v>
      </c>
      <c r="BH159" s="22">
        <f t="shared" si="16"/>
        <v>-1.2490009027033011E-15</v>
      </c>
      <c r="BI159" s="22">
        <f t="shared" si="17"/>
        <v>-2.1371793224034263E-15</v>
      </c>
    </row>
    <row r="160" spans="2:61" x14ac:dyDescent="0.25">
      <c r="B160" s="312">
        <v>153</v>
      </c>
      <c r="C160" s="312" t="s">
        <v>768</v>
      </c>
      <c r="D160" s="312"/>
      <c r="E160" s="312">
        <v>2</v>
      </c>
      <c r="F160" s="312">
        <v>2</v>
      </c>
      <c r="G160" s="313" t="s">
        <v>23</v>
      </c>
      <c r="H160" s="313"/>
      <c r="I160" s="313">
        <v>1071.8</v>
      </c>
      <c r="J160" s="312">
        <v>1071.8</v>
      </c>
      <c r="K160" s="312">
        <v>0</v>
      </c>
      <c r="L160" s="312">
        <v>0</v>
      </c>
      <c r="M160" s="317"/>
      <c r="N160" s="319">
        <v>0.2117</v>
      </c>
      <c r="O160" s="319">
        <v>0.13719999999999999</v>
      </c>
      <c r="P160" s="319">
        <v>0.31490000000000001</v>
      </c>
      <c r="Q160" s="319">
        <v>7.1800000000000003E-2</v>
      </c>
      <c r="R160" s="319">
        <v>0</v>
      </c>
      <c r="S160" s="319">
        <v>0.4708</v>
      </c>
      <c r="T160" s="319">
        <v>0</v>
      </c>
      <c r="U160" s="319">
        <v>0.63149999999999995</v>
      </c>
      <c r="V160" s="319">
        <v>0</v>
      </c>
      <c r="W160" s="319">
        <v>0</v>
      </c>
      <c r="X160" s="319">
        <v>0.14760000000000001</v>
      </c>
      <c r="Y160" s="319">
        <v>0</v>
      </c>
      <c r="Z160" s="319">
        <v>0.9073</v>
      </c>
      <c r="AA160" s="319">
        <v>0.24829999999999999</v>
      </c>
      <c r="AB160" s="319">
        <v>0.33050000000000002</v>
      </c>
      <c r="AC160" s="319">
        <v>6.8599999999999994E-2</v>
      </c>
      <c r="AD160" s="319">
        <v>7.8899999999999998E-2</v>
      </c>
      <c r="AE160" s="319">
        <v>0</v>
      </c>
      <c r="AF160" s="319">
        <v>4.1700000000000001E-2</v>
      </c>
      <c r="AG160" s="319">
        <v>0</v>
      </c>
      <c r="AH160" s="319">
        <v>0</v>
      </c>
      <c r="AI160" s="319">
        <v>3.3744000000000001</v>
      </c>
      <c r="AJ160" s="319">
        <v>2.3065000000000002</v>
      </c>
      <c r="AK160" s="319">
        <v>0</v>
      </c>
      <c r="AL160" s="319">
        <v>0.73509999999999998</v>
      </c>
      <c r="AM160" s="319">
        <v>0</v>
      </c>
      <c r="AN160" s="319">
        <v>0</v>
      </c>
      <c r="AO160" s="319">
        <v>0.47810000000000002</v>
      </c>
      <c r="AP160" s="319">
        <v>0</v>
      </c>
      <c r="AQ160" s="319">
        <v>0</v>
      </c>
      <c r="AR160" s="319">
        <v>0.52769999999999995</v>
      </c>
      <c r="AS160" s="319">
        <v>0.52769999999999995</v>
      </c>
      <c r="AT160" s="331">
        <v>0.183</v>
      </c>
      <c r="AU160" s="336">
        <v>11.082599999999998</v>
      </c>
      <c r="AV160" s="329">
        <v>11.082599999999998</v>
      </c>
      <c r="AW160" s="337">
        <v>3.8437999999999994</v>
      </c>
      <c r="AX160" s="334"/>
      <c r="AY160" s="323">
        <v>8.7268999999999988</v>
      </c>
      <c r="AZ160" s="323">
        <v>8.7268999999999988</v>
      </c>
      <c r="BA160" s="323">
        <v>3.4773999999999985</v>
      </c>
      <c r="BB160" s="319"/>
      <c r="BC160" s="321">
        <f t="shared" si="12"/>
        <v>1.2699354868280832</v>
      </c>
      <c r="BD160" s="321">
        <f t="shared" si="13"/>
        <v>1.2699354868280832</v>
      </c>
      <c r="BE160" s="321">
        <f t="shared" si="14"/>
        <v>1.1053660781043311</v>
      </c>
      <c r="BG160" s="22">
        <f t="shared" si="15"/>
        <v>-2.3314683517128287E-15</v>
      </c>
      <c r="BH160" s="22">
        <f t="shared" si="16"/>
        <v>0</v>
      </c>
      <c r="BI160" s="22">
        <f t="shared" si="17"/>
        <v>0</v>
      </c>
    </row>
    <row r="161" spans="2:61" x14ac:dyDescent="0.25">
      <c r="B161" s="312">
        <v>154</v>
      </c>
      <c r="C161" s="312" t="s">
        <v>770</v>
      </c>
      <c r="D161" s="312"/>
      <c r="E161" s="312">
        <v>3</v>
      </c>
      <c r="F161" s="312">
        <v>4</v>
      </c>
      <c r="G161" s="313" t="s">
        <v>40</v>
      </c>
      <c r="H161" s="313"/>
      <c r="I161" s="313">
        <v>1611.5</v>
      </c>
      <c r="J161" s="312">
        <v>1611.5</v>
      </c>
      <c r="K161" s="312">
        <v>0</v>
      </c>
      <c r="L161" s="312">
        <v>0</v>
      </c>
      <c r="M161" s="317"/>
      <c r="N161" s="319">
        <v>0.19989999999999999</v>
      </c>
      <c r="O161" s="319">
        <v>0.11459999999999999</v>
      </c>
      <c r="P161" s="319">
        <v>0.33910000000000001</v>
      </c>
      <c r="Q161" s="319">
        <v>7.46E-2</v>
      </c>
      <c r="R161" s="319">
        <v>0</v>
      </c>
      <c r="S161" s="319">
        <v>0.53700000000000003</v>
      </c>
      <c r="T161" s="319">
        <v>0</v>
      </c>
      <c r="U161" s="319">
        <v>0.63149999999999995</v>
      </c>
      <c r="V161" s="319">
        <v>0</v>
      </c>
      <c r="W161" s="319">
        <v>0</v>
      </c>
      <c r="X161" s="319">
        <v>0.1178</v>
      </c>
      <c r="Y161" s="319">
        <v>0</v>
      </c>
      <c r="Z161" s="319">
        <v>1.9066000000000001</v>
      </c>
      <c r="AA161" s="319">
        <v>0.2356</v>
      </c>
      <c r="AB161" s="319">
        <v>0.40639999999999998</v>
      </c>
      <c r="AC161" s="319">
        <v>8.48E-2</v>
      </c>
      <c r="AD161" s="319">
        <v>6.6699999999999995E-2</v>
      </c>
      <c r="AE161" s="319">
        <v>0</v>
      </c>
      <c r="AF161" s="319">
        <v>0.13370000000000001</v>
      </c>
      <c r="AG161" s="319">
        <v>3.3099999999999997E-2</v>
      </c>
      <c r="AH161" s="319">
        <v>0</v>
      </c>
      <c r="AI161" s="319">
        <v>1.7967</v>
      </c>
      <c r="AJ161" s="319">
        <v>1.6372</v>
      </c>
      <c r="AK161" s="319">
        <v>5.9200000000000003E-2</v>
      </c>
      <c r="AL161" s="319">
        <v>1.002</v>
      </c>
      <c r="AM161" s="319">
        <v>0.11360000000000001</v>
      </c>
      <c r="AN161" s="319">
        <v>1.84E-2</v>
      </c>
      <c r="AO161" s="319">
        <v>0.33400000000000002</v>
      </c>
      <c r="AP161" s="319">
        <v>0</v>
      </c>
      <c r="AQ161" s="319">
        <v>0</v>
      </c>
      <c r="AR161" s="319">
        <v>0.49209999999999998</v>
      </c>
      <c r="AS161" s="319">
        <v>0.49209999999999998</v>
      </c>
      <c r="AT161" s="331">
        <v>0.25359999999999999</v>
      </c>
      <c r="AU161" s="336">
        <v>10.334600000000002</v>
      </c>
      <c r="AV161" s="329">
        <v>10.334600000000002</v>
      </c>
      <c r="AW161" s="337">
        <v>5.3262000000000009</v>
      </c>
      <c r="AX161" s="334"/>
      <c r="AY161" s="323">
        <v>8.1381000000000014</v>
      </c>
      <c r="AZ161" s="323">
        <v>8.1381000000000014</v>
      </c>
      <c r="BA161" s="323">
        <v>4.5372000000000012</v>
      </c>
      <c r="BB161" s="319"/>
      <c r="BC161" s="321">
        <f t="shared" si="12"/>
        <v>1.2699032943807522</v>
      </c>
      <c r="BD161" s="321">
        <f t="shared" si="13"/>
        <v>1.2699032943807522</v>
      </c>
      <c r="BE161" s="321">
        <f t="shared" si="14"/>
        <v>1.17389579476329</v>
      </c>
      <c r="BG161" s="22">
        <f t="shared" si="15"/>
        <v>1.7208456881689926E-15</v>
      </c>
      <c r="BH161" s="22">
        <f t="shared" si="16"/>
        <v>9.7144514654701197E-16</v>
      </c>
      <c r="BI161" s="22">
        <f t="shared" si="17"/>
        <v>1.8596235662471372E-15</v>
      </c>
    </row>
    <row r="162" spans="2:61" x14ac:dyDescent="0.25">
      <c r="B162" s="312">
        <v>155</v>
      </c>
      <c r="C162" s="312" t="s">
        <v>772</v>
      </c>
      <c r="D162" s="312"/>
      <c r="E162" s="312">
        <v>2</v>
      </c>
      <c r="F162" s="312">
        <v>3</v>
      </c>
      <c r="G162" s="313" t="s">
        <v>24</v>
      </c>
      <c r="H162" s="313"/>
      <c r="I162" s="313">
        <v>787.7</v>
      </c>
      <c r="J162" s="312">
        <v>787.7</v>
      </c>
      <c r="K162" s="312">
        <v>0</v>
      </c>
      <c r="L162" s="312">
        <v>0</v>
      </c>
      <c r="M162" s="317"/>
      <c r="N162" s="319">
        <v>0.18459999999999999</v>
      </c>
      <c r="O162" s="319">
        <v>0.1167</v>
      </c>
      <c r="P162" s="319">
        <v>0.3372</v>
      </c>
      <c r="Q162" s="319">
        <v>7.2599999999999998E-2</v>
      </c>
      <c r="R162" s="319">
        <v>0</v>
      </c>
      <c r="S162" s="319">
        <v>0.62050000000000005</v>
      </c>
      <c r="T162" s="319">
        <v>0</v>
      </c>
      <c r="U162" s="319">
        <v>0.63149999999999995</v>
      </c>
      <c r="V162" s="319">
        <v>0</v>
      </c>
      <c r="W162" s="319">
        <v>0</v>
      </c>
      <c r="X162" s="319">
        <v>0.16059999999999999</v>
      </c>
      <c r="Y162" s="319">
        <v>0</v>
      </c>
      <c r="Z162" s="319">
        <v>1.2257</v>
      </c>
      <c r="AA162" s="319">
        <v>0.23980000000000001</v>
      </c>
      <c r="AB162" s="319">
        <v>0.30449999999999999</v>
      </c>
      <c r="AC162" s="319">
        <v>8.3699999999999997E-2</v>
      </c>
      <c r="AD162" s="319">
        <v>0.1241</v>
      </c>
      <c r="AE162" s="319">
        <v>0</v>
      </c>
      <c r="AF162" s="319">
        <v>0.1484</v>
      </c>
      <c r="AG162" s="319">
        <v>4.3099999999999999E-2</v>
      </c>
      <c r="AH162" s="319">
        <v>0</v>
      </c>
      <c r="AI162" s="319">
        <v>2.6859999999999999</v>
      </c>
      <c r="AJ162" s="319">
        <v>1.5328999999999999</v>
      </c>
      <c r="AK162" s="319">
        <v>7.9600000000000004E-2</v>
      </c>
      <c r="AL162" s="319">
        <v>1.1194999999999999</v>
      </c>
      <c r="AM162" s="319">
        <v>0.11749999999999999</v>
      </c>
      <c r="AN162" s="319">
        <v>1.9099999999999999E-2</v>
      </c>
      <c r="AO162" s="319">
        <v>0.31540000000000001</v>
      </c>
      <c r="AP162" s="319">
        <v>0</v>
      </c>
      <c r="AQ162" s="319">
        <v>0</v>
      </c>
      <c r="AR162" s="319">
        <v>0.50819999999999999</v>
      </c>
      <c r="AS162" s="319">
        <v>0.50819999999999999</v>
      </c>
      <c r="AT162" s="331">
        <v>0.22550000000000001</v>
      </c>
      <c r="AU162" s="336">
        <v>10.671199999999999</v>
      </c>
      <c r="AV162" s="329">
        <v>10.671199999999999</v>
      </c>
      <c r="AW162" s="337">
        <v>4.7346999999999984</v>
      </c>
      <c r="AX162" s="334"/>
      <c r="AY162" s="323">
        <v>8.4029000000000007</v>
      </c>
      <c r="AZ162" s="323">
        <v>8.4029000000000007</v>
      </c>
      <c r="BA162" s="323">
        <v>4.2957000000000001</v>
      </c>
      <c r="BB162" s="319"/>
      <c r="BC162" s="321">
        <f t="shared" si="12"/>
        <v>1.2699425198443393</v>
      </c>
      <c r="BD162" s="321">
        <f t="shared" si="13"/>
        <v>1.2699425198443393</v>
      </c>
      <c r="BE162" s="321">
        <f t="shared" si="14"/>
        <v>1.1021952184742878</v>
      </c>
      <c r="BG162" s="22">
        <f t="shared" si="15"/>
        <v>1.7763568394002505E-15</v>
      </c>
      <c r="BH162" s="22">
        <f t="shared" si="16"/>
        <v>3.0531133177191805E-16</v>
      </c>
      <c r="BI162" s="22">
        <f t="shared" si="17"/>
        <v>-5.8286708792820718E-16</v>
      </c>
    </row>
    <row r="163" spans="2:61" x14ac:dyDescent="0.25">
      <c r="B163" s="312">
        <v>156</v>
      </c>
      <c r="C163" s="312" t="s">
        <v>774</v>
      </c>
      <c r="D163" s="312"/>
      <c r="E163" s="312">
        <v>3</v>
      </c>
      <c r="F163" s="312">
        <v>3</v>
      </c>
      <c r="G163" s="313" t="s">
        <v>41</v>
      </c>
      <c r="H163" s="313"/>
      <c r="I163" s="313">
        <v>1399.2</v>
      </c>
      <c r="J163" s="312">
        <v>1399.2</v>
      </c>
      <c r="K163" s="312">
        <v>0</v>
      </c>
      <c r="L163" s="312">
        <v>0</v>
      </c>
      <c r="M163" s="317"/>
      <c r="N163" s="319">
        <v>0.23019999999999999</v>
      </c>
      <c r="O163" s="319">
        <v>0.1158</v>
      </c>
      <c r="P163" s="319">
        <v>0.32550000000000001</v>
      </c>
      <c r="Q163" s="319">
        <v>7.7100000000000002E-2</v>
      </c>
      <c r="R163" s="319">
        <v>0</v>
      </c>
      <c r="S163" s="319">
        <v>0.46110000000000001</v>
      </c>
      <c r="T163" s="319">
        <v>0</v>
      </c>
      <c r="U163" s="319">
        <v>0.63149999999999995</v>
      </c>
      <c r="V163" s="319">
        <v>0</v>
      </c>
      <c r="W163" s="319">
        <v>0</v>
      </c>
      <c r="X163" s="319">
        <v>0.1356</v>
      </c>
      <c r="Y163" s="319">
        <v>0</v>
      </c>
      <c r="Z163" s="319">
        <v>1.4544999999999999</v>
      </c>
      <c r="AA163" s="319">
        <v>0.24030000000000001</v>
      </c>
      <c r="AB163" s="319">
        <v>0.4108</v>
      </c>
      <c r="AC163" s="319">
        <v>8.4199999999999997E-2</v>
      </c>
      <c r="AD163" s="319">
        <v>0.1012</v>
      </c>
      <c r="AE163" s="319">
        <v>0</v>
      </c>
      <c r="AF163" s="319">
        <v>0.1149</v>
      </c>
      <c r="AG163" s="319">
        <v>3.4099999999999998E-2</v>
      </c>
      <c r="AH163" s="319">
        <v>0</v>
      </c>
      <c r="AI163" s="319">
        <v>2.5104000000000002</v>
      </c>
      <c r="AJ163" s="319">
        <v>1.3066</v>
      </c>
      <c r="AK163" s="319">
        <v>5.8500000000000003E-2</v>
      </c>
      <c r="AL163" s="319">
        <v>0.7944</v>
      </c>
      <c r="AM163" s="319">
        <v>0.11260000000000001</v>
      </c>
      <c r="AN163" s="319">
        <v>1.83E-2</v>
      </c>
      <c r="AO163" s="319">
        <v>0.185</v>
      </c>
      <c r="AP163" s="319">
        <v>0</v>
      </c>
      <c r="AQ163" s="319">
        <v>0</v>
      </c>
      <c r="AR163" s="319">
        <v>0.47010000000000002</v>
      </c>
      <c r="AS163" s="319">
        <v>0.47010000000000002</v>
      </c>
      <c r="AT163" s="331">
        <v>0.2303</v>
      </c>
      <c r="AU163" s="336">
        <v>9.8727</v>
      </c>
      <c r="AV163" s="329">
        <v>9.8727</v>
      </c>
      <c r="AW163" s="337">
        <v>4.8364999999999991</v>
      </c>
      <c r="AX163" s="334"/>
      <c r="AY163" s="323">
        <v>7.7743000000000002</v>
      </c>
      <c r="AZ163" s="323">
        <v>7.7743000000000002</v>
      </c>
      <c r="BA163" s="323">
        <v>4.3350000000000009</v>
      </c>
      <c r="BB163" s="319"/>
      <c r="BC163" s="321">
        <f t="shared" si="12"/>
        <v>1.2699149762679598</v>
      </c>
      <c r="BD163" s="321">
        <f t="shared" si="13"/>
        <v>1.2699149762679598</v>
      </c>
      <c r="BE163" s="321">
        <f t="shared" si="14"/>
        <v>1.1156862745098035</v>
      </c>
      <c r="BG163" s="22">
        <f t="shared" si="15"/>
        <v>4.4408920985006262E-16</v>
      </c>
      <c r="BH163" s="22">
        <f t="shared" si="16"/>
        <v>-9.1593399531575415E-16</v>
      </c>
      <c r="BI163" s="22">
        <f t="shared" si="17"/>
        <v>-9.1593399531575415E-16</v>
      </c>
    </row>
    <row r="164" spans="2:61" x14ac:dyDescent="0.25">
      <c r="B164" s="312">
        <v>157</v>
      </c>
      <c r="C164" s="312" t="s">
        <v>777</v>
      </c>
      <c r="D164" s="312"/>
      <c r="E164" s="312">
        <v>3</v>
      </c>
      <c r="F164" s="312">
        <v>2</v>
      </c>
      <c r="G164" s="313" t="s">
        <v>43</v>
      </c>
      <c r="H164" s="313"/>
      <c r="I164" s="313">
        <v>711.7</v>
      </c>
      <c r="J164" s="312">
        <v>711.7</v>
      </c>
      <c r="K164" s="312">
        <v>0</v>
      </c>
      <c r="L164" s="312">
        <v>0</v>
      </c>
      <c r="M164" s="317"/>
      <c r="N164" s="319">
        <v>0.2263</v>
      </c>
      <c r="O164" s="319">
        <v>9.06E-2</v>
      </c>
      <c r="P164" s="319">
        <v>0.33639999999999998</v>
      </c>
      <c r="Q164" s="319">
        <v>7.8100000000000003E-2</v>
      </c>
      <c r="R164" s="319">
        <v>0</v>
      </c>
      <c r="S164" s="319">
        <v>0.60799999999999998</v>
      </c>
      <c r="T164" s="319">
        <v>0</v>
      </c>
      <c r="U164" s="319">
        <v>0.63149999999999995</v>
      </c>
      <c r="V164" s="319">
        <v>0</v>
      </c>
      <c r="W164" s="319">
        <v>0</v>
      </c>
      <c r="X164" s="319">
        <v>0.1333</v>
      </c>
      <c r="Y164" s="319">
        <v>0</v>
      </c>
      <c r="Z164" s="319">
        <v>1.59</v>
      </c>
      <c r="AA164" s="319">
        <v>0.25390000000000001</v>
      </c>
      <c r="AB164" s="319">
        <v>0.32129999999999997</v>
      </c>
      <c r="AC164" s="319">
        <v>8.2799999999999999E-2</v>
      </c>
      <c r="AD164" s="319">
        <v>0.10489999999999999</v>
      </c>
      <c r="AE164" s="319">
        <v>0</v>
      </c>
      <c r="AF164" s="319">
        <v>9.0399999999999994E-2</v>
      </c>
      <c r="AG164" s="319">
        <v>3.2599999999999997E-2</v>
      </c>
      <c r="AH164" s="319">
        <v>0</v>
      </c>
      <c r="AI164" s="319">
        <v>2.0360999999999998</v>
      </c>
      <c r="AJ164" s="319">
        <v>1.8149999999999999</v>
      </c>
      <c r="AK164" s="319">
        <v>6.5100000000000005E-2</v>
      </c>
      <c r="AL164" s="319">
        <v>0.69099999999999995</v>
      </c>
      <c r="AM164" s="319">
        <v>9.1999999999999998E-2</v>
      </c>
      <c r="AN164" s="319">
        <v>1.49E-2</v>
      </c>
      <c r="AO164" s="319">
        <v>0.4073</v>
      </c>
      <c r="AP164" s="319">
        <v>0</v>
      </c>
      <c r="AQ164" s="319">
        <v>0</v>
      </c>
      <c r="AR164" s="319">
        <v>0.48509999999999998</v>
      </c>
      <c r="AS164" s="319">
        <v>0.48509999999999998</v>
      </c>
      <c r="AT164" s="331">
        <v>0.23760000000000001</v>
      </c>
      <c r="AU164" s="336">
        <v>10.186599999999999</v>
      </c>
      <c r="AV164" s="329">
        <v>10.186599999999999</v>
      </c>
      <c r="AW164" s="337">
        <v>4.9897</v>
      </c>
      <c r="AX164" s="334"/>
      <c r="AY164" s="323">
        <v>8.0213999999999999</v>
      </c>
      <c r="AZ164" s="323">
        <v>8.0213999999999999</v>
      </c>
      <c r="BA164" s="323">
        <v>4.0381999999999998</v>
      </c>
      <c r="BB164" s="319"/>
      <c r="BC164" s="321">
        <f t="shared" si="12"/>
        <v>1.2699279427531351</v>
      </c>
      <c r="BD164" s="321">
        <f t="shared" si="13"/>
        <v>1.2699279427531351</v>
      </c>
      <c r="BE164" s="321">
        <f t="shared" si="14"/>
        <v>1.2356247833193008</v>
      </c>
      <c r="BG164" s="22">
        <f t="shared" si="15"/>
        <v>-8.8817841970012523E-16</v>
      </c>
      <c r="BH164" s="22">
        <f t="shared" si="16"/>
        <v>6.6613381477509392E-16</v>
      </c>
      <c r="BI164" s="22">
        <f t="shared" si="17"/>
        <v>1.5543122344752192E-15</v>
      </c>
    </row>
    <row r="165" spans="2:61" x14ac:dyDescent="0.25">
      <c r="B165" s="312">
        <v>158</v>
      </c>
      <c r="C165" s="312" t="s">
        <v>779</v>
      </c>
      <c r="D165" s="312"/>
      <c r="E165" s="312">
        <v>2</v>
      </c>
      <c r="F165" s="312">
        <v>3</v>
      </c>
      <c r="G165" s="313" t="s">
        <v>25</v>
      </c>
      <c r="H165" s="313"/>
      <c r="I165" s="313">
        <v>929.4</v>
      </c>
      <c r="J165" s="312">
        <v>929.4</v>
      </c>
      <c r="K165" s="312">
        <v>0</v>
      </c>
      <c r="L165" s="312">
        <v>0</v>
      </c>
      <c r="M165" s="317"/>
      <c r="N165" s="319">
        <v>0.1565</v>
      </c>
      <c r="O165" s="319">
        <v>9.8900000000000002E-2</v>
      </c>
      <c r="P165" s="319">
        <v>0.34139999999999998</v>
      </c>
      <c r="Q165" s="319">
        <v>7.1400000000000005E-2</v>
      </c>
      <c r="R165" s="319">
        <v>0</v>
      </c>
      <c r="S165" s="319">
        <v>0.58679999999999999</v>
      </c>
      <c r="T165" s="319">
        <v>0</v>
      </c>
      <c r="U165" s="319">
        <v>0.63149999999999995</v>
      </c>
      <c r="V165" s="319">
        <v>0</v>
      </c>
      <c r="W165" s="319">
        <v>0</v>
      </c>
      <c r="X165" s="319">
        <v>0.1361</v>
      </c>
      <c r="Y165" s="319">
        <v>0</v>
      </c>
      <c r="Z165" s="319">
        <v>0.93330000000000002</v>
      </c>
      <c r="AA165" s="319">
        <v>0.20319999999999999</v>
      </c>
      <c r="AB165" s="319">
        <v>0.33300000000000002</v>
      </c>
      <c r="AC165" s="319">
        <v>8.2199999999999995E-2</v>
      </c>
      <c r="AD165" s="319">
        <v>0.12859999999999999</v>
      </c>
      <c r="AE165" s="319">
        <v>0</v>
      </c>
      <c r="AF165" s="319">
        <v>0.1444</v>
      </c>
      <c r="AG165" s="319">
        <v>4.4200000000000003E-2</v>
      </c>
      <c r="AH165" s="319">
        <v>0</v>
      </c>
      <c r="AI165" s="319">
        <v>3.52</v>
      </c>
      <c r="AJ165" s="319">
        <v>1.194</v>
      </c>
      <c r="AK165" s="319">
        <v>5.7000000000000002E-2</v>
      </c>
      <c r="AL165" s="319">
        <v>1.1385000000000001</v>
      </c>
      <c r="AM165" s="319">
        <v>8.0600000000000005E-2</v>
      </c>
      <c r="AN165" s="319">
        <v>1.3100000000000001E-2</v>
      </c>
      <c r="AO165" s="319">
        <v>0.27839999999999998</v>
      </c>
      <c r="AP165" s="319">
        <v>0</v>
      </c>
      <c r="AQ165" s="319">
        <v>0</v>
      </c>
      <c r="AR165" s="319">
        <v>0.50870000000000004</v>
      </c>
      <c r="AS165" s="319">
        <v>0.50870000000000004</v>
      </c>
      <c r="AT165" s="331">
        <v>0.2021</v>
      </c>
      <c r="AU165" s="336">
        <v>10.681799999999999</v>
      </c>
      <c r="AV165" s="329">
        <v>10.681799999999999</v>
      </c>
      <c r="AW165" s="337">
        <v>4.2442999999999991</v>
      </c>
      <c r="AX165" s="334"/>
      <c r="AY165" s="323">
        <v>8.4112999999999989</v>
      </c>
      <c r="AZ165" s="323">
        <v>8.4112999999999989</v>
      </c>
      <c r="BA165" s="323">
        <v>3.9702999999999999</v>
      </c>
      <c r="BB165" s="319"/>
      <c r="BC165" s="321">
        <f t="shared" si="12"/>
        <v>1.2699344928845719</v>
      </c>
      <c r="BD165" s="321">
        <f t="shared" si="13"/>
        <v>1.2699344928845719</v>
      </c>
      <c r="BE165" s="321">
        <f t="shared" si="14"/>
        <v>1.0690124171976927</v>
      </c>
      <c r="BG165" s="22">
        <f t="shared" si="15"/>
        <v>-3.3306690738754696E-15</v>
      </c>
      <c r="BH165" s="22">
        <f t="shared" si="16"/>
        <v>-5.2735593669694936E-16</v>
      </c>
      <c r="BI165" s="22">
        <f t="shared" si="17"/>
        <v>0</v>
      </c>
    </row>
    <row r="166" spans="2:61" x14ac:dyDescent="0.25">
      <c r="B166" s="312">
        <v>159</v>
      </c>
      <c r="C166" s="312" t="s">
        <v>408</v>
      </c>
      <c r="D166" s="312"/>
      <c r="E166" s="312">
        <v>3</v>
      </c>
      <c r="F166" s="312">
        <v>4</v>
      </c>
      <c r="G166" s="313" t="s">
        <v>781</v>
      </c>
      <c r="H166" s="313"/>
      <c r="I166" s="313">
        <v>1571.9</v>
      </c>
      <c r="J166" s="312">
        <v>1571.9</v>
      </c>
      <c r="K166" s="312">
        <v>0</v>
      </c>
      <c r="L166" s="312">
        <v>0</v>
      </c>
      <c r="M166" s="317"/>
      <c r="N166" s="319">
        <v>0.2049</v>
      </c>
      <c r="O166" s="319">
        <v>0.1477</v>
      </c>
      <c r="P166" s="319">
        <v>0.33579999999999999</v>
      </c>
      <c r="Q166" s="319">
        <v>7.7700000000000005E-2</v>
      </c>
      <c r="R166" s="319">
        <v>0</v>
      </c>
      <c r="S166" s="319">
        <v>0.55059999999999998</v>
      </c>
      <c r="T166" s="319">
        <v>0</v>
      </c>
      <c r="U166" s="319">
        <v>0.63149999999999995</v>
      </c>
      <c r="V166" s="319">
        <v>0</v>
      </c>
      <c r="W166" s="319">
        <v>0</v>
      </c>
      <c r="X166" s="319">
        <v>0.1207</v>
      </c>
      <c r="Y166" s="319">
        <v>0</v>
      </c>
      <c r="Z166" s="319">
        <v>2.1825999999999999</v>
      </c>
      <c r="AA166" s="319">
        <v>0.29110000000000003</v>
      </c>
      <c r="AB166" s="319">
        <v>0.52370000000000005</v>
      </c>
      <c r="AC166" s="319">
        <v>8.6199999999999999E-2</v>
      </c>
      <c r="AD166" s="319">
        <v>9.0200000000000002E-2</v>
      </c>
      <c r="AE166" s="319">
        <v>0</v>
      </c>
      <c r="AF166" s="319">
        <v>0.24410000000000001</v>
      </c>
      <c r="AG166" s="319">
        <v>3.3300000000000003E-2</v>
      </c>
      <c r="AH166" s="319">
        <v>0</v>
      </c>
      <c r="AI166" s="319">
        <v>1.2083999999999999</v>
      </c>
      <c r="AJ166" s="319">
        <v>1.5170999999999999</v>
      </c>
      <c r="AK166" s="319">
        <v>8.1100000000000005E-2</v>
      </c>
      <c r="AL166" s="319">
        <v>0.9718</v>
      </c>
      <c r="AM166" s="319">
        <v>9.5500000000000002E-2</v>
      </c>
      <c r="AN166" s="319">
        <v>1.55E-2</v>
      </c>
      <c r="AO166" s="319">
        <v>0.22059999999999999</v>
      </c>
      <c r="AP166" s="319">
        <v>0</v>
      </c>
      <c r="AQ166" s="319">
        <v>0</v>
      </c>
      <c r="AR166" s="319">
        <v>0.48149999999999998</v>
      </c>
      <c r="AS166" s="319">
        <v>0.48149999999999998</v>
      </c>
      <c r="AT166" s="331">
        <v>0.28560000000000002</v>
      </c>
      <c r="AU166" s="336">
        <v>10.111599999999997</v>
      </c>
      <c r="AV166" s="329">
        <v>10.111599999999997</v>
      </c>
      <c r="AW166" s="337">
        <v>5.9977999999999971</v>
      </c>
      <c r="AX166" s="334"/>
      <c r="AY166" s="323">
        <v>8.0213000000000001</v>
      </c>
      <c r="AZ166" s="323">
        <v>8.0213000000000001</v>
      </c>
      <c r="BA166" s="323">
        <v>4.7679</v>
      </c>
      <c r="BB166" s="319"/>
      <c r="BC166" s="321">
        <f t="shared" si="12"/>
        <v>1.260593669355341</v>
      </c>
      <c r="BD166" s="321">
        <f t="shared" si="13"/>
        <v>1.260593669355341</v>
      </c>
      <c r="BE166" s="321">
        <f t="shared" si="14"/>
        <v>1.2579542356173572</v>
      </c>
      <c r="BG166" s="22">
        <f t="shared" si="15"/>
        <v>-3.6082248300317588E-15</v>
      </c>
      <c r="BH166" s="22">
        <f t="shared" si="16"/>
        <v>-6.3837823915946501E-16</v>
      </c>
      <c r="BI166" s="22">
        <f t="shared" si="17"/>
        <v>-3.3029134982598407E-15</v>
      </c>
    </row>
    <row r="167" spans="2:61" x14ac:dyDescent="0.25">
      <c r="B167" s="312">
        <v>160</v>
      </c>
      <c r="C167" s="312" t="s">
        <v>783</v>
      </c>
      <c r="D167" s="312"/>
      <c r="E167" s="312">
        <v>2</v>
      </c>
      <c r="F167" s="312">
        <v>3</v>
      </c>
      <c r="G167" s="313" t="s">
        <v>26</v>
      </c>
      <c r="H167" s="313"/>
      <c r="I167" s="313">
        <v>846.7</v>
      </c>
      <c r="J167" s="312">
        <v>846.7</v>
      </c>
      <c r="K167" s="312">
        <v>0</v>
      </c>
      <c r="L167" s="312">
        <v>0</v>
      </c>
      <c r="M167" s="317"/>
      <c r="N167" s="319">
        <v>0.17169999999999999</v>
      </c>
      <c r="O167" s="319">
        <v>0.1086</v>
      </c>
      <c r="P167" s="319">
        <v>0.33929999999999999</v>
      </c>
      <c r="Q167" s="319">
        <v>0</v>
      </c>
      <c r="R167" s="319">
        <v>0</v>
      </c>
      <c r="S167" s="319">
        <v>0.64410000000000001</v>
      </c>
      <c r="T167" s="319">
        <v>0</v>
      </c>
      <c r="U167" s="319">
        <v>0.62080000000000002</v>
      </c>
      <c r="V167" s="319">
        <v>0</v>
      </c>
      <c r="W167" s="319">
        <v>0</v>
      </c>
      <c r="X167" s="319">
        <v>0.44829999999999998</v>
      </c>
      <c r="Y167" s="319">
        <v>0</v>
      </c>
      <c r="Z167" s="319">
        <v>1.4353</v>
      </c>
      <c r="AA167" s="319">
        <v>0.22309999999999999</v>
      </c>
      <c r="AB167" s="319">
        <v>0.33460000000000001</v>
      </c>
      <c r="AC167" s="319">
        <v>7.6600000000000001E-2</v>
      </c>
      <c r="AD167" s="319">
        <v>0</v>
      </c>
      <c r="AE167" s="319">
        <v>0</v>
      </c>
      <c r="AF167" s="319">
        <v>0.1492</v>
      </c>
      <c r="AG167" s="319">
        <v>4.4400000000000002E-2</v>
      </c>
      <c r="AH167" s="319">
        <v>0</v>
      </c>
      <c r="AI167" s="319">
        <v>2.8959000000000001</v>
      </c>
      <c r="AJ167" s="319">
        <v>1.3995</v>
      </c>
      <c r="AK167" s="319">
        <v>9.0999999999999998E-2</v>
      </c>
      <c r="AL167" s="319">
        <v>0.98729999999999996</v>
      </c>
      <c r="AM167" s="319">
        <v>0.1709</v>
      </c>
      <c r="AN167" s="319">
        <v>2.7699999999999999E-2</v>
      </c>
      <c r="AO167" s="319">
        <v>0.34229999999999999</v>
      </c>
      <c r="AP167" s="319">
        <v>0</v>
      </c>
      <c r="AQ167" s="319">
        <v>0</v>
      </c>
      <c r="AR167" s="319">
        <v>0.52549999999999997</v>
      </c>
      <c r="AS167" s="319">
        <v>0.52549999999999997</v>
      </c>
      <c r="AT167" s="331">
        <v>0.24429999999999999</v>
      </c>
      <c r="AU167" s="336">
        <v>11.036099999999998</v>
      </c>
      <c r="AV167" s="329">
        <v>11.036099999999998</v>
      </c>
      <c r="AW167" s="337">
        <v>5.1298999999999992</v>
      </c>
      <c r="AX167" s="334"/>
      <c r="AY167" s="323">
        <v>8.6904000000000003</v>
      </c>
      <c r="AZ167" s="323">
        <v>8.6904000000000003</v>
      </c>
      <c r="BA167" s="323">
        <v>4.4356</v>
      </c>
      <c r="BB167" s="319"/>
      <c r="BC167" s="321">
        <f t="shared" si="12"/>
        <v>1.2699185307925984</v>
      </c>
      <c r="BD167" s="321">
        <f t="shared" si="13"/>
        <v>1.2699185307925984</v>
      </c>
      <c r="BE167" s="321">
        <f t="shared" si="14"/>
        <v>1.1565289926954638</v>
      </c>
      <c r="BG167" s="22">
        <f t="shared" si="15"/>
        <v>-1.4432899320127035E-15</v>
      </c>
      <c r="BH167" s="22">
        <f t="shared" si="16"/>
        <v>0</v>
      </c>
      <c r="BI167" s="22">
        <f t="shared" si="17"/>
        <v>-1.9428902930940239E-15</v>
      </c>
    </row>
    <row r="168" spans="2:61" x14ac:dyDescent="0.25">
      <c r="B168" s="312">
        <v>161</v>
      </c>
      <c r="C168" s="312" t="s">
        <v>785</v>
      </c>
      <c r="D168" s="312"/>
      <c r="E168" s="312">
        <v>2</v>
      </c>
      <c r="F168" s="312">
        <v>3</v>
      </c>
      <c r="G168" s="313" t="s">
        <v>27</v>
      </c>
      <c r="H168" s="313"/>
      <c r="I168" s="313">
        <v>929.1</v>
      </c>
      <c r="J168" s="312">
        <v>929.1</v>
      </c>
      <c r="K168" s="312">
        <v>0</v>
      </c>
      <c r="L168" s="312">
        <v>0</v>
      </c>
      <c r="M168" s="317"/>
      <c r="N168" s="319">
        <v>0.1565</v>
      </c>
      <c r="O168" s="319">
        <v>9.9000000000000005E-2</v>
      </c>
      <c r="P168" s="319">
        <v>0.34250000000000003</v>
      </c>
      <c r="Q168" s="319">
        <v>7.1900000000000006E-2</v>
      </c>
      <c r="R168" s="319">
        <v>0</v>
      </c>
      <c r="S168" s="319">
        <v>0.58699999999999997</v>
      </c>
      <c r="T168" s="319">
        <v>0</v>
      </c>
      <c r="U168" s="319">
        <v>0.63149999999999995</v>
      </c>
      <c r="V168" s="319">
        <v>0</v>
      </c>
      <c r="W168" s="319">
        <v>0</v>
      </c>
      <c r="X168" s="319">
        <v>0.13619999999999999</v>
      </c>
      <c r="Y168" s="319">
        <v>0</v>
      </c>
      <c r="Z168" s="319">
        <v>0.99450000000000005</v>
      </c>
      <c r="AA168" s="319">
        <v>0.20330000000000001</v>
      </c>
      <c r="AB168" s="319">
        <v>0.45069999999999999</v>
      </c>
      <c r="AC168" s="319">
        <v>8.2799999999999999E-2</v>
      </c>
      <c r="AD168" s="319">
        <v>0.13689999999999999</v>
      </c>
      <c r="AE168" s="319">
        <v>0</v>
      </c>
      <c r="AF168" s="319">
        <v>0.14280000000000001</v>
      </c>
      <c r="AG168" s="319">
        <v>4.3700000000000003E-2</v>
      </c>
      <c r="AH168" s="319">
        <v>0</v>
      </c>
      <c r="AI168" s="319">
        <v>3.0139</v>
      </c>
      <c r="AJ168" s="319">
        <v>1.1149</v>
      </c>
      <c r="AK168" s="319">
        <v>0.11020000000000001</v>
      </c>
      <c r="AL168" s="319">
        <v>0.9546</v>
      </c>
      <c r="AM168" s="319">
        <v>0.16769999999999999</v>
      </c>
      <c r="AN168" s="319">
        <v>2.7199999999999998E-2</v>
      </c>
      <c r="AO168" s="319">
        <v>0.59050000000000002</v>
      </c>
      <c r="AP168" s="319">
        <v>0</v>
      </c>
      <c r="AQ168" s="319">
        <v>0</v>
      </c>
      <c r="AR168" s="319">
        <v>0.50290000000000001</v>
      </c>
      <c r="AS168" s="319">
        <v>0.50290000000000001</v>
      </c>
      <c r="AT168" s="331">
        <v>0.21920000000000001</v>
      </c>
      <c r="AU168" s="336">
        <v>10.561200000000001</v>
      </c>
      <c r="AV168" s="329">
        <v>10.561200000000001</v>
      </c>
      <c r="AW168" s="337">
        <v>4.603600000000001</v>
      </c>
      <c r="AX168" s="334"/>
      <c r="AY168" s="323">
        <v>8.3164000000000016</v>
      </c>
      <c r="AZ168" s="323">
        <v>8.3164000000000016</v>
      </c>
      <c r="BA168" s="323">
        <v>4.3224</v>
      </c>
      <c r="BB168" s="319"/>
      <c r="BC168" s="321">
        <f t="shared" si="12"/>
        <v>1.269924486556683</v>
      </c>
      <c r="BD168" s="321">
        <f t="shared" si="13"/>
        <v>1.269924486556683</v>
      </c>
      <c r="BE168" s="321">
        <f t="shared" si="14"/>
        <v>1.0650564501203037</v>
      </c>
      <c r="BG168" s="22">
        <f t="shared" si="15"/>
        <v>1.4432899320127035E-15</v>
      </c>
      <c r="BH168" s="22">
        <f t="shared" si="16"/>
        <v>0</v>
      </c>
      <c r="BI168" s="22">
        <f t="shared" si="17"/>
        <v>1.7208456881689926E-15</v>
      </c>
    </row>
    <row r="169" spans="2:61" x14ac:dyDescent="0.25">
      <c r="B169" s="312">
        <v>162</v>
      </c>
      <c r="C169" s="312" t="s">
        <v>787</v>
      </c>
      <c r="D169" s="312"/>
      <c r="E169" s="312">
        <v>3</v>
      </c>
      <c r="F169" s="312">
        <v>4</v>
      </c>
      <c r="G169" s="313" t="s">
        <v>44</v>
      </c>
      <c r="H169" s="313"/>
      <c r="I169" s="313">
        <v>1383.5</v>
      </c>
      <c r="J169" s="312">
        <v>1383.5</v>
      </c>
      <c r="K169" s="312">
        <v>0</v>
      </c>
      <c r="L169" s="312">
        <v>0</v>
      </c>
      <c r="M169" s="317"/>
      <c r="N169" s="319">
        <v>0.23280000000000001</v>
      </c>
      <c r="O169" s="319">
        <v>9.5299999999999996E-2</v>
      </c>
      <c r="P169" s="319">
        <v>0.33460000000000001</v>
      </c>
      <c r="Q169" s="319">
        <v>7.9100000000000004E-2</v>
      </c>
      <c r="R169" s="319">
        <v>0</v>
      </c>
      <c r="S169" s="319">
        <v>0.62549999999999994</v>
      </c>
      <c r="T169" s="319">
        <v>0</v>
      </c>
      <c r="U169" s="319">
        <v>0.63149999999999995</v>
      </c>
      <c r="V169" s="319">
        <v>0</v>
      </c>
      <c r="W169" s="319">
        <v>0</v>
      </c>
      <c r="X169" s="319">
        <v>0.13719999999999999</v>
      </c>
      <c r="Y169" s="319">
        <v>0</v>
      </c>
      <c r="Z169" s="319">
        <v>0.75439999999999996</v>
      </c>
      <c r="AA169" s="319">
        <v>0.16239999999999999</v>
      </c>
      <c r="AB169" s="319">
        <v>0.33810000000000001</v>
      </c>
      <c r="AC169" s="319">
        <v>8.8499999999999995E-2</v>
      </c>
      <c r="AD169" s="319">
        <v>0.12</v>
      </c>
      <c r="AE169" s="319">
        <v>0</v>
      </c>
      <c r="AF169" s="319">
        <v>0.14749999999999999</v>
      </c>
      <c r="AG169" s="319">
        <v>3.4599999999999999E-2</v>
      </c>
      <c r="AH169" s="319">
        <v>0</v>
      </c>
      <c r="AI169" s="319">
        <v>2.3689</v>
      </c>
      <c r="AJ169" s="319">
        <v>1.5412999999999999</v>
      </c>
      <c r="AK169" s="319">
        <v>5.8299999999999998E-2</v>
      </c>
      <c r="AL169" s="319">
        <v>0.85370000000000001</v>
      </c>
      <c r="AM169" s="319">
        <v>8.2299999999999998E-2</v>
      </c>
      <c r="AN169" s="319">
        <v>1.34E-2</v>
      </c>
      <c r="AO169" s="319">
        <v>1.2569999999999999</v>
      </c>
      <c r="AP169" s="319">
        <v>0</v>
      </c>
      <c r="AQ169" s="319">
        <v>0</v>
      </c>
      <c r="AR169" s="319">
        <v>0.49780000000000002</v>
      </c>
      <c r="AS169" s="319">
        <v>0.49780000000000002</v>
      </c>
      <c r="AT169" s="331">
        <v>0.1968</v>
      </c>
      <c r="AU169" s="336">
        <v>10.4542</v>
      </c>
      <c r="AV169" s="329">
        <v>10.4542</v>
      </c>
      <c r="AW169" s="337">
        <v>4.1323000000000008</v>
      </c>
      <c r="AX169" s="334"/>
      <c r="AY169" s="323">
        <v>8.2320999999999991</v>
      </c>
      <c r="AZ169" s="323">
        <v>8.2320999999999991</v>
      </c>
      <c r="BA169" s="323">
        <v>3.9705999999999992</v>
      </c>
      <c r="BB169" s="319"/>
      <c r="BC169" s="321">
        <f t="shared" si="12"/>
        <v>1.2699311232856745</v>
      </c>
      <c r="BD169" s="321">
        <f t="shared" si="13"/>
        <v>1.2699311232856745</v>
      </c>
      <c r="BE169" s="321">
        <f t="shared" si="14"/>
        <v>1.0407243237797819</v>
      </c>
      <c r="BG169" s="22">
        <f t="shared" si="15"/>
        <v>1.1102230246251565E-15</v>
      </c>
      <c r="BH169" s="22">
        <f t="shared" si="16"/>
        <v>7.2164496600635175E-16</v>
      </c>
      <c r="BI169" s="22">
        <f t="shared" si="17"/>
        <v>1.1657341758564144E-15</v>
      </c>
    </row>
    <row r="170" spans="2:61" x14ac:dyDescent="0.25">
      <c r="B170" s="312">
        <v>163</v>
      </c>
      <c r="C170" s="312" t="s">
        <v>407</v>
      </c>
      <c r="D170" s="312"/>
      <c r="E170" s="312">
        <v>2</v>
      </c>
      <c r="F170" s="312">
        <v>3</v>
      </c>
      <c r="G170" s="313" t="s">
        <v>789</v>
      </c>
      <c r="H170" s="313"/>
      <c r="I170" s="313">
        <v>952.6</v>
      </c>
      <c r="J170" s="312">
        <v>952.6</v>
      </c>
      <c r="K170" s="312">
        <v>0</v>
      </c>
      <c r="L170" s="312">
        <v>0</v>
      </c>
      <c r="M170" s="317"/>
      <c r="N170" s="319">
        <v>0.1527</v>
      </c>
      <c r="O170" s="319">
        <v>9.6500000000000002E-2</v>
      </c>
      <c r="P170" s="319">
        <v>0</v>
      </c>
      <c r="Q170" s="319">
        <v>0</v>
      </c>
      <c r="R170" s="319">
        <v>0</v>
      </c>
      <c r="S170" s="319">
        <v>0.57250000000000001</v>
      </c>
      <c r="T170" s="319">
        <v>0</v>
      </c>
      <c r="U170" s="319">
        <v>0.61070000000000002</v>
      </c>
      <c r="V170" s="319">
        <v>0</v>
      </c>
      <c r="W170" s="319">
        <v>0</v>
      </c>
      <c r="X170" s="319">
        <v>0.39839999999999998</v>
      </c>
      <c r="Y170" s="319">
        <v>0</v>
      </c>
      <c r="Z170" s="319">
        <v>1.8055000000000001</v>
      </c>
      <c r="AA170" s="319">
        <v>0.1983</v>
      </c>
      <c r="AB170" s="319">
        <v>0.44269999999999998</v>
      </c>
      <c r="AC170" s="319">
        <v>0</v>
      </c>
      <c r="AD170" s="319">
        <v>0</v>
      </c>
      <c r="AE170" s="319">
        <v>0</v>
      </c>
      <c r="AF170" s="319">
        <v>0.1409</v>
      </c>
      <c r="AG170" s="319">
        <v>4.3499999999999997E-2</v>
      </c>
      <c r="AH170" s="319">
        <v>0</v>
      </c>
      <c r="AI170" s="319">
        <v>2.5406</v>
      </c>
      <c r="AJ170" s="319">
        <v>1.2033</v>
      </c>
      <c r="AK170" s="319">
        <v>8.14E-2</v>
      </c>
      <c r="AL170" s="319">
        <v>1.2708999999999999</v>
      </c>
      <c r="AM170" s="319">
        <v>0.16450000000000001</v>
      </c>
      <c r="AN170" s="319">
        <v>2.6700000000000002E-2</v>
      </c>
      <c r="AO170" s="319">
        <v>0.58679999999999999</v>
      </c>
      <c r="AP170" s="319">
        <v>0</v>
      </c>
      <c r="AQ170" s="319">
        <v>0</v>
      </c>
      <c r="AR170" s="319">
        <v>0.51680000000000004</v>
      </c>
      <c r="AS170" s="319">
        <v>0.51680000000000004</v>
      </c>
      <c r="AT170" s="331">
        <v>0.23669999999999999</v>
      </c>
      <c r="AU170" s="336">
        <v>10.8527</v>
      </c>
      <c r="AV170" s="329">
        <v>10.8527</v>
      </c>
      <c r="AW170" s="337">
        <v>4.971000000000001</v>
      </c>
      <c r="AX170" s="334"/>
      <c r="AY170" s="323">
        <v>8.5460000000000012</v>
      </c>
      <c r="AZ170" s="323">
        <v>8.5460000000000012</v>
      </c>
      <c r="BA170" s="323">
        <v>4.2552000000000003</v>
      </c>
      <c r="BB170" s="319"/>
      <c r="BC170" s="321">
        <f t="shared" si="12"/>
        <v>1.2699157500585068</v>
      </c>
      <c r="BD170" s="321">
        <f t="shared" si="13"/>
        <v>1.2699157500585068</v>
      </c>
      <c r="BE170" s="321">
        <f t="shared" si="14"/>
        <v>1.1682177100958828</v>
      </c>
      <c r="BG170" s="22">
        <f t="shared" si="15"/>
        <v>0</v>
      </c>
      <c r="BH170" s="22">
        <f t="shared" si="16"/>
        <v>3.0531133177191805E-16</v>
      </c>
      <c r="BI170" s="22">
        <f t="shared" si="17"/>
        <v>3.0531133177191805E-16</v>
      </c>
    </row>
    <row r="171" spans="2:61" x14ac:dyDescent="0.25">
      <c r="B171" s="312">
        <v>164</v>
      </c>
      <c r="C171" s="312" t="s">
        <v>791</v>
      </c>
      <c r="D171" s="312"/>
      <c r="E171" s="312">
        <v>2</v>
      </c>
      <c r="F171" s="312">
        <v>3</v>
      </c>
      <c r="G171" s="313" t="s">
        <v>28</v>
      </c>
      <c r="H171" s="313"/>
      <c r="I171" s="313">
        <v>947.2</v>
      </c>
      <c r="J171" s="312">
        <v>947.2</v>
      </c>
      <c r="K171" s="312">
        <v>0</v>
      </c>
      <c r="L171" s="312">
        <v>0</v>
      </c>
      <c r="M171" s="317"/>
      <c r="N171" s="319">
        <v>0.1535</v>
      </c>
      <c r="O171" s="319">
        <v>9.7100000000000006E-2</v>
      </c>
      <c r="P171" s="319">
        <v>0.34429999999999999</v>
      </c>
      <c r="Q171" s="319">
        <v>7.1800000000000003E-2</v>
      </c>
      <c r="R171" s="319">
        <v>0</v>
      </c>
      <c r="S171" s="319">
        <v>0.57579999999999998</v>
      </c>
      <c r="T171" s="319">
        <v>0</v>
      </c>
      <c r="U171" s="319">
        <v>0.63149999999999995</v>
      </c>
      <c r="V171" s="319">
        <v>0</v>
      </c>
      <c r="W171" s="319">
        <v>0</v>
      </c>
      <c r="X171" s="319">
        <v>0.1336</v>
      </c>
      <c r="Y171" s="319">
        <v>0</v>
      </c>
      <c r="Z171" s="319">
        <v>1.2614000000000001</v>
      </c>
      <c r="AA171" s="319">
        <v>0.19939999999999999</v>
      </c>
      <c r="AB171" s="319">
        <v>0.44529999999999997</v>
      </c>
      <c r="AC171" s="319">
        <v>8.5999999999999993E-2</v>
      </c>
      <c r="AD171" s="319">
        <v>0.1361</v>
      </c>
      <c r="AE171" s="319">
        <v>0</v>
      </c>
      <c r="AF171" s="319">
        <v>0.14169999999999999</v>
      </c>
      <c r="AG171" s="319">
        <v>4.3700000000000003E-2</v>
      </c>
      <c r="AH171" s="319">
        <v>0</v>
      </c>
      <c r="AI171" s="319">
        <v>3.6667999999999998</v>
      </c>
      <c r="AJ171" s="319">
        <v>1.0891999999999999</v>
      </c>
      <c r="AK171" s="319">
        <v>8.1799999999999998E-2</v>
      </c>
      <c r="AL171" s="319">
        <v>0.91220000000000001</v>
      </c>
      <c r="AM171" s="319">
        <v>0.16550000000000001</v>
      </c>
      <c r="AN171" s="319">
        <v>2.69E-2</v>
      </c>
      <c r="AO171" s="319">
        <v>0.10929999999999999</v>
      </c>
      <c r="AP171" s="319">
        <v>0</v>
      </c>
      <c r="AQ171" s="319">
        <v>0</v>
      </c>
      <c r="AR171" s="319">
        <v>0.51859999999999995</v>
      </c>
      <c r="AS171" s="319">
        <v>0.51859999999999995</v>
      </c>
      <c r="AT171" s="331">
        <v>0.2298</v>
      </c>
      <c r="AU171" s="336">
        <v>10.891499999999997</v>
      </c>
      <c r="AV171" s="329">
        <v>10.891499999999997</v>
      </c>
      <c r="AW171" s="337">
        <v>4.8251999999999979</v>
      </c>
      <c r="AX171" s="334"/>
      <c r="AY171" s="323">
        <v>8.5766000000000009</v>
      </c>
      <c r="AZ171" s="323">
        <v>8.5766000000000009</v>
      </c>
      <c r="BA171" s="323">
        <v>4.3537000000000008</v>
      </c>
      <c r="BB171" s="319"/>
      <c r="BC171" s="321">
        <f t="shared" si="12"/>
        <v>1.2699088216775873</v>
      </c>
      <c r="BD171" s="321">
        <f t="shared" si="13"/>
        <v>1.2699088216775873</v>
      </c>
      <c r="BE171" s="321">
        <f t="shared" si="14"/>
        <v>1.1082986884718737</v>
      </c>
      <c r="BG171" s="22">
        <f t="shared" si="15"/>
        <v>-1.1102230246251565E-15</v>
      </c>
      <c r="BH171" s="22">
        <f t="shared" si="16"/>
        <v>-6.9388939039072284E-16</v>
      </c>
      <c r="BI171" s="22">
        <f t="shared" si="17"/>
        <v>-2.4702462297909733E-15</v>
      </c>
    </row>
    <row r="172" spans="2:61" x14ac:dyDescent="0.25">
      <c r="B172" s="312">
        <v>165</v>
      </c>
      <c r="C172" s="312" t="s">
        <v>793</v>
      </c>
      <c r="D172" s="312"/>
      <c r="E172" s="312">
        <v>2</v>
      </c>
      <c r="F172" s="312">
        <v>3</v>
      </c>
      <c r="G172" s="313" t="s">
        <v>29</v>
      </c>
      <c r="H172" s="313"/>
      <c r="I172" s="313">
        <v>792.2</v>
      </c>
      <c r="J172" s="312">
        <v>792.2</v>
      </c>
      <c r="K172" s="312">
        <v>0</v>
      </c>
      <c r="L172" s="312">
        <v>0</v>
      </c>
      <c r="M172" s="317"/>
      <c r="N172" s="319">
        <v>0.18360000000000001</v>
      </c>
      <c r="O172" s="319">
        <v>0.11609999999999999</v>
      </c>
      <c r="P172" s="319">
        <v>0</v>
      </c>
      <c r="Q172" s="319">
        <v>0</v>
      </c>
      <c r="R172" s="319">
        <v>0</v>
      </c>
      <c r="S172" s="319">
        <v>0.68840000000000001</v>
      </c>
      <c r="T172" s="319">
        <v>0</v>
      </c>
      <c r="U172" s="319">
        <v>0.61070000000000002</v>
      </c>
      <c r="V172" s="319">
        <v>0</v>
      </c>
      <c r="W172" s="319">
        <v>0</v>
      </c>
      <c r="X172" s="319">
        <v>0.47910000000000003</v>
      </c>
      <c r="Y172" s="319">
        <v>0</v>
      </c>
      <c r="Z172" s="319">
        <v>1.5162</v>
      </c>
      <c r="AA172" s="319">
        <v>0.20669999999999999</v>
      </c>
      <c r="AB172" s="319">
        <v>0.34449999999999997</v>
      </c>
      <c r="AC172" s="319">
        <v>0</v>
      </c>
      <c r="AD172" s="319">
        <v>0</v>
      </c>
      <c r="AE172" s="319">
        <v>0</v>
      </c>
      <c r="AF172" s="319">
        <v>0.13320000000000001</v>
      </c>
      <c r="AG172" s="319">
        <v>4.2900000000000001E-2</v>
      </c>
      <c r="AH172" s="319">
        <v>0</v>
      </c>
      <c r="AI172" s="319">
        <v>3.0587</v>
      </c>
      <c r="AJ172" s="319">
        <v>1.6586000000000001</v>
      </c>
      <c r="AK172" s="319">
        <v>0</v>
      </c>
      <c r="AL172" s="319">
        <v>1.0532999999999999</v>
      </c>
      <c r="AM172" s="319">
        <v>0</v>
      </c>
      <c r="AN172" s="319">
        <v>0</v>
      </c>
      <c r="AO172" s="319">
        <v>0.45079999999999998</v>
      </c>
      <c r="AP172" s="319">
        <v>0</v>
      </c>
      <c r="AQ172" s="319">
        <v>0</v>
      </c>
      <c r="AR172" s="319">
        <v>0.52710000000000001</v>
      </c>
      <c r="AS172" s="319">
        <v>0.52710000000000001</v>
      </c>
      <c r="AT172" s="331">
        <v>0.21609999999999999</v>
      </c>
      <c r="AU172" s="336">
        <v>11.069900000000001</v>
      </c>
      <c r="AV172" s="329">
        <v>11.069900000000001</v>
      </c>
      <c r="AW172" s="337">
        <v>4.5375000000000005</v>
      </c>
      <c r="AX172" s="334"/>
      <c r="AY172" s="323">
        <v>8.7170000000000005</v>
      </c>
      <c r="AZ172" s="323">
        <v>8.7170000000000005</v>
      </c>
      <c r="BA172" s="323">
        <v>4.1116000000000001</v>
      </c>
      <c r="BB172" s="319"/>
      <c r="BC172" s="321">
        <f t="shared" si="12"/>
        <v>1.2699208443271768</v>
      </c>
      <c r="BD172" s="321">
        <f t="shared" si="13"/>
        <v>1.2699208443271768</v>
      </c>
      <c r="BE172" s="321">
        <f t="shared" si="14"/>
        <v>1.1035849790835686</v>
      </c>
      <c r="BG172" s="22">
        <f t="shared" si="15"/>
        <v>1.1102230246251565E-15</v>
      </c>
      <c r="BH172" s="22">
        <f t="shared" si="16"/>
        <v>-4.7184478546569153E-16</v>
      </c>
      <c r="BI172" s="22">
        <f t="shared" si="17"/>
        <v>-4.7184478546569153E-16</v>
      </c>
    </row>
    <row r="173" spans="2:61" x14ac:dyDescent="0.25">
      <c r="B173" s="312">
        <v>166</v>
      </c>
      <c r="C173" s="312" t="s">
        <v>795</v>
      </c>
      <c r="D173" s="312"/>
      <c r="E173" s="312">
        <v>5</v>
      </c>
      <c r="F173" s="312">
        <v>6</v>
      </c>
      <c r="G173" s="313" t="s">
        <v>124</v>
      </c>
      <c r="H173" s="313"/>
      <c r="I173" s="313">
        <v>4607.3</v>
      </c>
      <c r="J173" s="312">
        <v>4607.3</v>
      </c>
      <c r="K173" s="312">
        <v>0</v>
      </c>
      <c r="L173" s="312">
        <v>0</v>
      </c>
      <c r="M173" s="317"/>
      <c r="N173" s="319">
        <v>0.159</v>
      </c>
      <c r="O173" s="319">
        <v>8.2100000000000006E-2</v>
      </c>
      <c r="P173" s="319">
        <v>0.33360000000000001</v>
      </c>
      <c r="Q173" s="319">
        <v>7.3999999999999996E-2</v>
      </c>
      <c r="R173" s="319">
        <v>3.9E-2</v>
      </c>
      <c r="S173" s="319">
        <v>0.57010000000000005</v>
      </c>
      <c r="T173" s="319">
        <v>0</v>
      </c>
      <c r="U173" s="319">
        <v>0.63149999999999995</v>
      </c>
      <c r="V173" s="319">
        <v>0</v>
      </c>
      <c r="W173" s="319">
        <v>0</v>
      </c>
      <c r="X173" s="319">
        <v>0.1545</v>
      </c>
      <c r="Y173" s="319">
        <v>0</v>
      </c>
      <c r="Z173" s="319">
        <v>2.1886999999999999</v>
      </c>
      <c r="AA173" s="319">
        <v>0.21079999999999999</v>
      </c>
      <c r="AB173" s="319">
        <v>0.2969</v>
      </c>
      <c r="AC173" s="319">
        <v>9.1399999999999995E-2</v>
      </c>
      <c r="AD173" s="319">
        <v>9.2499999999999999E-2</v>
      </c>
      <c r="AE173" s="319">
        <v>7.5899999999999995E-2</v>
      </c>
      <c r="AF173" s="319">
        <v>0.2142</v>
      </c>
      <c r="AG173" s="319">
        <v>3.1699999999999999E-2</v>
      </c>
      <c r="AH173" s="319">
        <v>0</v>
      </c>
      <c r="AI173" s="319">
        <v>2.2553000000000001</v>
      </c>
      <c r="AJ173" s="319">
        <v>1.0099</v>
      </c>
      <c r="AK173" s="319">
        <v>8.9800000000000005E-2</v>
      </c>
      <c r="AL173" s="319">
        <v>0.5696</v>
      </c>
      <c r="AM173" s="319">
        <v>5.67E-2</v>
      </c>
      <c r="AN173" s="319">
        <v>9.1999999999999998E-3</v>
      </c>
      <c r="AO173" s="319">
        <v>0.19769999999999999</v>
      </c>
      <c r="AP173" s="319">
        <v>0</v>
      </c>
      <c r="AQ173" s="319">
        <v>0</v>
      </c>
      <c r="AR173" s="319">
        <v>0.47170000000000001</v>
      </c>
      <c r="AS173" s="319">
        <v>0.47170000000000001</v>
      </c>
      <c r="AT173" s="331">
        <v>0.27010000000000001</v>
      </c>
      <c r="AU173" s="336">
        <v>9.9057999999999975</v>
      </c>
      <c r="AV173" s="329">
        <v>9.9057999999999975</v>
      </c>
      <c r="AW173" s="337">
        <v>5.6716999999999986</v>
      </c>
      <c r="AX173" s="334"/>
      <c r="AY173" s="323">
        <v>7.800200000000002</v>
      </c>
      <c r="AZ173" s="323">
        <v>7.800200000000002</v>
      </c>
      <c r="BA173" s="323">
        <v>4.8743000000000007</v>
      </c>
      <c r="BB173" s="319"/>
      <c r="BC173" s="321">
        <f t="shared" si="12"/>
        <v>1.2699417963641952</v>
      </c>
      <c r="BD173" s="321">
        <f t="shared" si="13"/>
        <v>1.2699417963641952</v>
      </c>
      <c r="BE173" s="321">
        <f t="shared" si="14"/>
        <v>1.1635927210060928</v>
      </c>
      <c r="BG173" s="22">
        <f t="shared" si="15"/>
        <v>-2.4424906541753444E-15</v>
      </c>
      <c r="BH173" s="22">
        <f t="shared" si="16"/>
        <v>-9.1593399531575415E-16</v>
      </c>
      <c r="BI173" s="22">
        <f t="shared" si="17"/>
        <v>-1.8041124150158794E-15</v>
      </c>
    </row>
    <row r="174" spans="2:61" x14ac:dyDescent="0.25">
      <c r="B174" s="312">
        <v>167</v>
      </c>
      <c r="C174" s="312" t="s">
        <v>797</v>
      </c>
      <c r="D174" s="312"/>
      <c r="E174" s="312">
        <v>5</v>
      </c>
      <c r="F174" s="312">
        <v>4</v>
      </c>
      <c r="G174" s="313" t="s">
        <v>125</v>
      </c>
      <c r="H174" s="313"/>
      <c r="I174" s="313">
        <v>2742.1</v>
      </c>
      <c r="J174" s="312">
        <v>2742.1</v>
      </c>
      <c r="K174" s="312">
        <v>0</v>
      </c>
      <c r="L174" s="312">
        <v>0</v>
      </c>
      <c r="M174" s="317"/>
      <c r="N174" s="319">
        <v>0.16739999999999999</v>
      </c>
      <c r="O174" s="319">
        <v>9.2899999999999996E-2</v>
      </c>
      <c r="P174" s="319">
        <v>0.3246</v>
      </c>
      <c r="Q174" s="319">
        <v>7.3800000000000004E-2</v>
      </c>
      <c r="R174" s="319">
        <v>2.9100000000000001E-2</v>
      </c>
      <c r="S174" s="319">
        <v>0.50160000000000005</v>
      </c>
      <c r="T174" s="319">
        <v>0</v>
      </c>
      <c r="U174" s="319">
        <v>0.63149999999999995</v>
      </c>
      <c r="V174" s="319">
        <v>0</v>
      </c>
      <c r="W174" s="319">
        <v>0</v>
      </c>
      <c r="X174" s="319">
        <v>0.17299999999999999</v>
      </c>
      <c r="Y174" s="319">
        <v>0</v>
      </c>
      <c r="Z174" s="319">
        <v>2.0701000000000001</v>
      </c>
      <c r="AA174" s="319">
        <v>0.22189999999999999</v>
      </c>
      <c r="AB174" s="319">
        <v>0.32929999999999998</v>
      </c>
      <c r="AC174" s="319">
        <v>8.7599999999999997E-2</v>
      </c>
      <c r="AD174" s="319">
        <v>0.1002</v>
      </c>
      <c r="AE174" s="319">
        <v>5.67E-2</v>
      </c>
      <c r="AF174" s="319">
        <v>0.1729</v>
      </c>
      <c r="AG174" s="319">
        <v>3.3700000000000001E-2</v>
      </c>
      <c r="AH174" s="319">
        <v>0</v>
      </c>
      <c r="AI174" s="319">
        <v>2.4535999999999998</v>
      </c>
      <c r="AJ174" s="319">
        <v>1.1333</v>
      </c>
      <c r="AK174" s="319">
        <v>9.2999999999999999E-2</v>
      </c>
      <c r="AL174" s="319">
        <v>0.60719999999999996</v>
      </c>
      <c r="AM174" s="319">
        <v>5.8700000000000002E-2</v>
      </c>
      <c r="AN174" s="319">
        <v>9.4999999999999998E-3</v>
      </c>
      <c r="AO174" s="319">
        <v>0.1699</v>
      </c>
      <c r="AP174" s="319">
        <v>0</v>
      </c>
      <c r="AQ174" s="319">
        <v>0</v>
      </c>
      <c r="AR174" s="319">
        <v>0.47960000000000003</v>
      </c>
      <c r="AS174" s="319">
        <v>0.47960000000000003</v>
      </c>
      <c r="AT174" s="331">
        <v>0.26140000000000002</v>
      </c>
      <c r="AU174" s="336">
        <v>10.071099999999999</v>
      </c>
      <c r="AV174" s="329">
        <v>10.071099999999999</v>
      </c>
      <c r="AW174" s="337">
        <v>5.4888999999999992</v>
      </c>
      <c r="AX174" s="334"/>
      <c r="AY174" s="323">
        <v>7.9304000000000006</v>
      </c>
      <c r="AZ174" s="323">
        <v>7.9304000000000006</v>
      </c>
      <c r="BA174" s="323">
        <v>4.7047000000000008</v>
      </c>
      <c r="BB174" s="319"/>
      <c r="BC174" s="321">
        <f t="shared" si="12"/>
        <v>1.2699359427015029</v>
      </c>
      <c r="BD174" s="321">
        <f t="shared" si="13"/>
        <v>1.2699359427015029</v>
      </c>
      <c r="BE174" s="321">
        <f t="shared" si="14"/>
        <v>1.1666843794503365</v>
      </c>
      <c r="BG174" s="22">
        <f t="shared" si="15"/>
        <v>0</v>
      </c>
      <c r="BH174" s="22">
        <f t="shared" si="16"/>
        <v>0</v>
      </c>
      <c r="BI174" s="22">
        <f t="shared" si="17"/>
        <v>-8.8817841970012523E-16</v>
      </c>
    </row>
    <row r="175" spans="2:61" x14ac:dyDescent="0.25">
      <c r="B175" s="312">
        <v>168</v>
      </c>
      <c r="C175" s="312" t="s">
        <v>799</v>
      </c>
      <c r="D175" s="312"/>
      <c r="E175" s="312">
        <v>5</v>
      </c>
      <c r="F175" s="312">
        <v>4</v>
      </c>
      <c r="G175" s="313" t="s">
        <v>126</v>
      </c>
      <c r="H175" s="313"/>
      <c r="I175" s="313">
        <v>2750.9</v>
      </c>
      <c r="J175" s="312">
        <v>2750.9</v>
      </c>
      <c r="K175" s="312">
        <v>0</v>
      </c>
      <c r="L175" s="312">
        <v>0</v>
      </c>
      <c r="M175" s="317"/>
      <c r="N175" s="319">
        <v>0.16619999999999999</v>
      </c>
      <c r="O175" s="319">
        <v>9.2600000000000002E-2</v>
      </c>
      <c r="P175" s="319">
        <v>0.32519999999999999</v>
      </c>
      <c r="Q175" s="319">
        <v>7.4099999999999999E-2</v>
      </c>
      <c r="R175" s="319">
        <v>2.9100000000000001E-2</v>
      </c>
      <c r="S175" s="319">
        <v>0.5</v>
      </c>
      <c r="T175" s="319">
        <v>0</v>
      </c>
      <c r="U175" s="319">
        <v>0.63149999999999995</v>
      </c>
      <c r="V175" s="319">
        <v>0</v>
      </c>
      <c r="W175" s="319">
        <v>0</v>
      </c>
      <c r="X175" s="319">
        <v>0.1696</v>
      </c>
      <c r="Y175" s="319">
        <v>0</v>
      </c>
      <c r="Z175" s="319">
        <v>2.194</v>
      </c>
      <c r="AA175" s="319">
        <v>0.21890000000000001</v>
      </c>
      <c r="AB175" s="319">
        <v>0.32840000000000003</v>
      </c>
      <c r="AC175" s="319">
        <v>8.7800000000000003E-2</v>
      </c>
      <c r="AD175" s="319">
        <v>0.1022</v>
      </c>
      <c r="AE175" s="319">
        <v>5.6500000000000002E-2</v>
      </c>
      <c r="AF175" s="319">
        <v>0.1724</v>
      </c>
      <c r="AG175" s="319">
        <v>3.3599999999999998E-2</v>
      </c>
      <c r="AH175" s="319">
        <v>0</v>
      </c>
      <c r="AI175" s="319">
        <v>2.0933999999999999</v>
      </c>
      <c r="AJ175" s="319">
        <v>1.1993</v>
      </c>
      <c r="AK175" s="319">
        <v>9.2299999999999993E-2</v>
      </c>
      <c r="AL175" s="319">
        <v>0.61460000000000004</v>
      </c>
      <c r="AM175" s="319">
        <v>5.8299999999999998E-2</v>
      </c>
      <c r="AN175" s="319">
        <v>9.4999999999999998E-3</v>
      </c>
      <c r="AO175" s="319">
        <v>0.25209999999999999</v>
      </c>
      <c r="AP175" s="319">
        <v>0</v>
      </c>
      <c r="AQ175" s="319">
        <v>0</v>
      </c>
      <c r="AR175" s="319">
        <v>0.47510000000000002</v>
      </c>
      <c r="AS175" s="319">
        <v>0.47510000000000002</v>
      </c>
      <c r="AT175" s="331">
        <v>0.2671</v>
      </c>
      <c r="AU175" s="336">
        <v>9.9766999999999957</v>
      </c>
      <c r="AV175" s="329">
        <v>9.9766999999999957</v>
      </c>
      <c r="AW175" s="337">
        <v>5.6092999999999966</v>
      </c>
      <c r="AX175" s="334"/>
      <c r="AY175" s="323">
        <v>7.8561999999999994</v>
      </c>
      <c r="AZ175" s="323">
        <v>7.8561999999999994</v>
      </c>
      <c r="BA175" s="323">
        <v>4.8033999999999999</v>
      </c>
      <c r="BB175" s="319"/>
      <c r="BC175" s="321">
        <f t="shared" si="12"/>
        <v>1.2699142078867642</v>
      </c>
      <c r="BD175" s="321">
        <f t="shared" si="13"/>
        <v>1.2699142078867642</v>
      </c>
      <c r="BE175" s="321">
        <f t="shared" si="14"/>
        <v>1.16777699129783</v>
      </c>
      <c r="BG175" s="22">
        <f t="shared" si="15"/>
        <v>-9.4368957093138306E-16</v>
      </c>
      <c r="BH175" s="22">
        <f t="shared" si="16"/>
        <v>0</v>
      </c>
      <c r="BI175" s="22">
        <f t="shared" si="17"/>
        <v>-1.915134717478395E-15</v>
      </c>
    </row>
    <row r="176" spans="2:61" x14ac:dyDescent="0.25">
      <c r="B176" s="312">
        <v>169</v>
      </c>
      <c r="C176" s="312" t="s">
        <v>801</v>
      </c>
      <c r="D176" s="312"/>
      <c r="E176" s="312">
        <v>5</v>
      </c>
      <c r="F176" s="312">
        <v>6</v>
      </c>
      <c r="G176" s="313" t="s">
        <v>127</v>
      </c>
      <c r="H176" s="313"/>
      <c r="I176" s="313">
        <v>4498.8</v>
      </c>
      <c r="J176" s="312">
        <v>4498.8</v>
      </c>
      <c r="K176" s="312">
        <v>0</v>
      </c>
      <c r="L176" s="312">
        <v>0</v>
      </c>
      <c r="M176" s="317"/>
      <c r="N176" s="319">
        <v>0.15079999999999999</v>
      </c>
      <c r="O176" s="319">
        <v>8.4099999999999994E-2</v>
      </c>
      <c r="P176" s="319">
        <v>0.33339999999999997</v>
      </c>
      <c r="Q176" s="319">
        <v>7.4700000000000003E-2</v>
      </c>
      <c r="R176" s="319">
        <v>0.04</v>
      </c>
      <c r="S176" s="319">
        <v>0.58230000000000004</v>
      </c>
      <c r="T176" s="319">
        <v>0</v>
      </c>
      <c r="U176" s="319">
        <v>0.63149999999999995</v>
      </c>
      <c r="V176" s="319">
        <v>0</v>
      </c>
      <c r="W176" s="319">
        <v>0</v>
      </c>
      <c r="X176" s="319">
        <v>0.15820000000000001</v>
      </c>
      <c r="Y176" s="319">
        <v>0</v>
      </c>
      <c r="Z176" s="319">
        <v>2.1291000000000002</v>
      </c>
      <c r="AA176" s="319">
        <v>0.20380000000000001</v>
      </c>
      <c r="AB176" s="319">
        <v>0.29809999999999998</v>
      </c>
      <c r="AC176" s="319">
        <v>9.06E-2</v>
      </c>
      <c r="AD176" s="319">
        <v>0.1008</v>
      </c>
      <c r="AE176" s="319">
        <v>7.7700000000000005E-2</v>
      </c>
      <c r="AF176" s="319">
        <v>0.21940000000000001</v>
      </c>
      <c r="AG176" s="319">
        <v>3.2099999999999997E-2</v>
      </c>
      <c r="AH176" s="319">
        <v>0</v>
      </c>
      <c r="AI176" s="319">
        <v>2.2202999999999999</v>
      </c>
      <c r="AJ176" s="319">
        <v>1.0488999999999999</v>
      </c>
      <c r="AK176" s="319">
        <v>8.14E-2</v>
      </c>
      <c r="AL176" s="319">
        <v>0.61850000000000005</v>
      </c>
      <c r="AM176" s="319">
        <v>5.7200000000000001E-2</v>
      </c>
      <c r="AN176" s="319">
        <v>9.2999999999999992E-3</v>
      </c>
      <c r="AO176" s="319">
        <v>0.1726</v>
      </c>
      <c r="AP176" s="319">
        <v>0</v>
      </c>
      <c r="AQ176" s="319">
        <v>0</v>
      </c>
      <c r="AR176" s="319">
        <v>0.47070000000000001</v>
      </c>
      <c r="AS176" s="319">
        <v>0.47070000000000001</v>
      </c>
      <c r="AT176" s="331">
        <v>0.26769999999999999</v>
      </c>
      <c r="AU176" s="336">
        <v>9.8855000000000022</v>
      </c>
      <c r="AV176" s="329">
        <v>9.8855000000000022</v>
      </c>
      <c r="AW176" s="337">
        <v>5.622200000000003</v>
      </c>
      <c r="AX176" s="334"/>
      <c r="AY176" s="323">
        <v>7.7843</v>
      </c>
      <c r="AZ176" s="323">
        <v>7.7843</v>
      </c>
      <c r="BA176" s="323">
        <v>4.9257999999999997</v>
      </c>
      <c r="BB176" s="319"/>
      <c r="BC176" s="321">
        <f t="shared" si="12"/>
        <v>1.2699279318628525</v>
      </c>
      <c r="BD176" s="321">
        <f t="shared" si="13"/>
        <v>1.2699279318628525</v>
      </c>
      <c r="BE176" s="321">
        <f t="shared" si="14"/>
        <v>1.1413780502659474</v>
      </c>
      <c r="BG176" s="22">
        <f t="shared" si="15"/>
        <v>4.2188474935755949E-15</v>
      </c>
      <c r="BH176" s="22">
        <f t="shared" si="16"/>
        <v>1.609823385706477E-15</v>
      </c>
      <c r="BI176" s="22">
        <f t="shared" si="17"/>
        <v>3.3861802251067274E-15</v>
      </c>
    </row>
    <row r="177" spans="2:61" x14ac:dyDescent="0.25">
      <c r="B177" s="312">
        <v>170</v>
      </c>
      <c r="C177" s="312" t="s">
        <v>803</v>
      </c>
      <c r="D177" s="312"/>
      <c r="E177" s="312">
        <v>5</v>
      </c>
      <c r="F177" s="312">
        <v>4</v>
      </c>
      <c r="G177" s="313" t="s">
        <v>128</v>
      </c>
      <c r="H177" s="313"/>
      <c r="I177" s="313">
        <v>2772.7</v>
      </c>
      <c r="J177" s="312">
        <v>2772.7</v>
      </c>
      <c r="K177" s="312">
        <v>0</v>
      </c>
      <c r="L177" s="312">
        <v>0</v>
      </c>
      <c r="M177" s="317"/>
      <c r="N177" s="319">
        <v>0.16569999999999999</v>
      </c>
      <c r="O177" s="319">
        <v>9.1899999999999996E-2</v>
      </c>
      <c r="P177" s="319">
        <v>0.32569999999999999</v>
      </c>
      <c r="Q177" s="319">
        <v>7.4700000000000003E-2</v>
      </c>
      <c r="R177" s="319">
        <v>2.8799999999999999E-2</v>
      </c>
      <c r="S177" s="319">
        <v>0.49609999999999999</v>
      </c>
      <c r="T177" s="319">
        <v>0</v>
      </c>
      <c r="U177" s="319">
        <v>0.63149999999999995</v>
      </c>
      <c r="V177" s="319">
        <v>0</v>
      </c>
      <c r="W177" s="319">
        <v>0</v>
      </c>
      <c r="X177" s="319">
        <v>0.1711</v>
      </c>
      <c r="Y177" s="319">
        <v>0</v>
      </c>
      <c r="Z177" s="319">
        <v>1.7269000000000001</v>
      </c>
      <c r="AA177" s="319">
        <v>0.21970000000000001</v>
      </c>
      <c r="AB177" s="319">
        <v>0.32579999999999998</v>
      </c>
      <c r="AC177" s="319">
        <v>8.7999999999999995E-2</v>
      </c>
      <c r="AD177" s="319">
        <v>0.1061</v>
      </c>
      <c r="AE177" s="319">
        <v>5.6099999999999997E-2</v>
      </c>
      <c r="AF177" s="319">
        <v>0.17100000000000001</v>
      </c>
      <c r="AG177" s="319">
        <v>3.3500000000000002E-2</v>
      </c>
      <c r="AH177" s="319">
        <v>0</v>
      </c>
      <c r="AI177" s="319">
        <v>2.9397000000000002</v>
      </c>
      <c r="AJ177" s="319">
        <v>1.1155999999999999</v>
      </c>
      <c r="AK177" s="319">
        <v>9.3100000000000002E-2</v>
      </c>
      <c r="AL177" s="319">
        <v>0.61499999999999999</v>
      </c>
      <c r="AM177" s="319">
        <v>5.7799999999999997E-2</v>
      </c>
      <c r="AN177" s="319">
        <v>9.4000000000000004E-3</v>
      </c>
      <c r="AO177" s="319">
        <v>0.4032</v>
      </c>
      <c r="AP177" s="319">
        <v>0</v>
      </c>
      <c r="AQ177" s="319">
        <v>0</v>
      </c>
      <c r="AR177" s="319">
        <v>0.49730000000000002</v>
      </c>
      <c r="AS177" s="319">
        <v>0.49730000000000002</v>
      </c>
      <c r="AT177" s="331">
        <v>0.24360000000000001</v>
      </c>
      <c r="AU177" s="336">
        <v>10.4437</v>
      </c>
      <c r="AV177" s="329">
        <v>10.4437</v>
      </c>
      <c r="AW177" s="337">
        <v>5.1165000000000003</v>
      </c>
      <c r="AX177" s="334"/>
      <c r="AY177" s="323">
        <v>8.224000000000002</v>
      </c>
      <c r="AZ177" s="323">
        <v>8.224000000000002</v>
      </c>
      <c r="BA177" s="323">
        <v>4.4653000000000009</v>
      </c>
      <c r="BB177" s="319"/>
      <c r="BC177" s="321">
        <f t="shared" si="12"/>
        <v>1.2699051556420231</v>
      </c>
      <c r="BD177" s="321">
        <f t="shared" si="13"/>
        <v>1.2699051556420231</v>
      </c>
      <c r="BE177" s="321">
        <f t="shared" si="14"/>
        <v>1.1458356661366536</v>
      </c>
      <c r="BG177" s="22">
        <f t="shared" si="15"/>
        <v>1.3877787807814457E-15</v>
      </c>
      <c r="BH177" s="22">
        <f t="shared" si="16"/>
        <v>9.7144514654701197E-16</v>
      </c>
      <c r="BI177" s="22">
        <f t="shared" si="17"/>
        <v>0</v>
      </c>
    </row>
    <row r="178" spans="2:61" x14ac:dyDescent="0.25">
      <c r="B178" s="312">
        <v>171</v>
      </c>
      <c r="C178" s="312" t="s">
        <v>805</v>
      </c>
      <c r="D178" s="312"/>
      <c r="E178" s="312">
        <v>5</v>
      </c>
      <c r="F178" s="312">
        <v>4</v>
      </c>
      <c r="G178" s="313" t="s">
        <v>129</v>
      </c>
      <c r="H178" s="313"/>
      <c r="I178" s="313">
        <v>2930.5</v>
      </c>
      <c r="J178" s="312">
        <v>2930.5</v>
      </c>
      <c r="K178" s="312">
        <v>0</v>
      </c>
      <c r="L178" s="312">
        <v>0</v>
      </c>
      <c r="M178" s="317"/>
      <c r="N178" s="319">
        <v>0.16489999999999999</v>
      </c>
      <c r="O178" s="319">
        <v>9.4500000000000001E-2</v>
      </c>
      <c r="P178" s="319">
        <v>0.3276</v>
      </c>
      <c r="Q178" s="319">
        <v>7.4300000000000005E-2</v>
      </c>
      <c r="R178" s="319">
        <v>3.0700000000000002E-2</v>
      </c>
      <c r="S178" s="319">
        <v>0.46329999999999999</v>
      </c>
      <c r="T178" s="319">
        <v>0</v>
      </c>
      <c r="U178" s="319">
        <v>0.63149999999999995</v>
      </c>
      <c r="V178" s="319">
        <v>0</v>
      </c>
      <c r="W178" s="319">
        <v>0</v>
      </c>
      <c r="X178" s="319">
        <v>0.16189999999999999</v>
      </c>
      <c r="Y178" s="319">
        <v>0</v>
      </c>
      <c r="Z178" s="319">
        <v>2.1120999999999999</v>
      </c>
      <c r="AA178" s="319">
        <v>0.2208</v>
      </c>
      <c r="AB178" s="319">
        <v>0.33510000000000001</v>
      </c>
      <c r="AC178" s="319">
        <v>8.8900000000000007E-2</v>
      </c>
      <c r="AD178" s="319">
        <v>0.10199999999999999</v>
      </c>
      <c r="AE178" s="319">
        <v>5.9700000000000003E-2</v>
      </c>
      <c r="AF178" s="319">
        <v>0.1618</v>
      </c>
      <c r="AG178" s="319">
        <v>3.2399999999999998E-2</v>
      </c>
      <c r="AH178" s="319">
        <v>0</v>
      </c>
      <c r="AI178" s="319">
        <v>2.1305000000000001</v>
      </c>
      <c r="AJ178" s="319">
        <v>1.0723</v>
      </c>
      <c r="AK178" s="319">
        <v>8.8200000000000001E-2</v>
      </c>
      <c r="AL178" s="319">
        <v>0.58479999999999999</v>
      </c>
      <c r="AM178" s="319">
        <v>5.8400000000000001E-2</v>
      </c>
      <c r="AN178" s="319">
        <v>9.4999999999999998E-3</v>
      </c>
      <c r="AO178" s="319">
        <v>0.27200000000000002</v>
      </c>
      <c r="AP178" s="319">
        <v>0</v>
      </c>
      <c r="AQ178" s="319">
        <v>0</v>
      </c>
      <c r="AR178" s="319">
        <v>0.46389999999999998</v>
      </c>
      <c r="AS178" s="319">
        <v>0.46389999999999998</v>
      </c>
      <c r="AT178" s="331">
        <v>0.26090000000000002</v>
      </c>
      <c r="AU178" s="336">
        <v>9.7411000000000012</v>
      </c>
      <c r="AV178" s="329">
        <v>9.7411000000000012</v>
      </c>
      <c r="AW178" s="337">
        <v>5.4785000000000013</v>
      </c>
      <c r="AX178" s="334"/>
      <c r="AY178" s="323">
        <v>7.6706000000000003</v>
      </c>
      <c r="AZ178" s="323">
        <v>7.6706000000000003</v>
      </c>
      <c r="BA178" s="323">
        <v>4.7416</v>
      </c>
      <c r="BB178" s="319"/>
      <c r="BC178" s="321">
        <f t="shared" si="12"/>
        <v>1.2699267332412068</v>
      </c>
      <c r="BD178" s="321">
        <f t="shared" si="13"/>
        <v>1.2699267332412068</v>
      </c>
      <c r="BE178" s="321">
        <f t="shared" si="14"/>
        <v>1.155411675383837</v>
      </c>
      <c r="BG178" s="22">
        <f t="shared" si="15"/>
        <v>2.3314683517128287E-15</v>
      </c>
      <c r="BH178" s="22">
        <f t="shared" si="16"/>
        <v>6.3837823915946501E-16</v>
      </c>
      <c r="BI178" s="22">
        <f t="shared" si="17"/>
        <v>1.5265566588595902E-15</v>
      </c>
    </row>
    <row r="179" spans="2:61" x14ac:dyDescent="0.25">
      <c r="B179" s="312">
        <v>172</v>
      </c>
      <c r="C179" s="312" t="s">
        <v>807</v>
      </c>
      <c r="D179" s="312"/>
      <c r="E179" s="312">
        <v>5</v>
      </c>
      <c r="F179" s="312">
        <v>6</v>
      </c>
      <c r="G179" s="313" t="s">
        <v>130</v>
      </c>
      <c r="H179" s="313"/>
      <c r="I179" s="313">
        <v>4352.1000000000004</v>
      </c>
      <c r="J179" s="312">
        <v>4352.1000000000004</v>
      </c>
      <c r="K179" s="312">
        <v>0</v>
      </c>
      <c r="L179" s="312">
        <v>0</v>
      </c>
      <c r="M179" s="317"/>
      <c r="N179" s="319">
        <v>0.1492</v>
      </c>
      <c r="O179" s="319">
        <v>9.8100000000000007E-2</v>
      </c>
      <c r="P179" s="319">
        <v>0.32819999999999999</v>
      </c>
      <c r="Q179" s="319">
        <v>7.3800000000000004E-2</v>
      </c>
      <c r="R179" s="319">
        <v>2.9600000000000001E-2</v>
      </c>
      <c r="S179" s="319">
        <v>0.64759999999999995</v>
      </c>
      <c r="T179" s="319">
        <v>0</v>
      </c>
      <c r="U179" s="319">
        <v>0.63149999999999995</v>
      </c>
      <c r="V179" s="319">
        <v>0</v>
      </c>
      <c r="W179" s="319">
        <v>0</v>
      </c>
      <c r="X179" s="319">
        <v>0.1454</v>
      </c>
      <c r="Y179" s="319">
        <v>0</v>
      </c>
      <c r="Z179" s="319">
        <v>1.3431999999999999</v>
      </c>
      <c r="AA179" s="319">
        <v>0.19789999999999999</v>
      </c>
      <c r="AB179" s="319">
        <v>0.34770000000000001</v>
      </c>
      <c r="AC179" s="319">
        <v>9.0999999999999998E-2</v>
      </c>
      <c r="AD179" s="319">
        <v>9.3700000000000006E-2</v>
      </c>
      <c r="AE179" s="319">
        <v>5.7599999999999998E-2</v>
      </c>
      <c r="AF179" s="319">
        <v>0.23880000000000001</v>
      </c>
      <c r="AG179" s="319">
        <v>3.5700000000000003E-2</v>
      </c>
      <c r="AH179" s="319">
        <v>0</v>
      </c>
      <c r="AI179" s="319">
        <v>2.6991000000000001</v>
      </c>
      <c r="AJ179" s="319">
        <v>1.1607000000000001</v>
      </c>
      <c r="AK179" s="319">
        <v>8.8300000000000003E-2</v>
      </c>
      <c r="AL179" s="319">
        <v>0.56869999999999998</v>
      </c>
      <c r="AM179" s="319">
        <v>4.5400000000000003E-2</v>
      </c>
      <c r="AN179" s="319">
        <v>7.4000000000000003E-3</v>
      </c>
      <c r="AO179" s="319">
        <v>0.21640000000000001</v>
      </c>
      <c r="AP179" s="319">
        <v>0</v>
      </c>
      <c r="AQ179" s="319">
        <v>0</v>
      </c>
      <c r="AR179" s="319">
        <v>0.46479999999999999</v>
      </c>
      <c r="AS179" s="319">
        <v>0.46479999999999999</v>
      </c>
      <c r="AT179" s="331">
        <v>0.23250000000000001</v>
      </c>
      <c r="AU179" s="336">
        <v>9.759800000000002</v>
      </c>
      <c r="AV179" s="329">
        <v>9.759800000000002</v>
      </c>
      <c r="AW179" s="337">
        <v>4.8826000000000018</v>
      </c>
      <c r="AX179" s="334"/>
      <c r="AY179" s="323">
        <v>7.6853000000000016</v>
      </c>
      <c r="AZ179" s="323">
        <v>7.6853000000000016</v>
      </c>
      <c r="BA179" s="323">
        <v>4.1831000000000014</v>
      </c>
      <c r="BB179" s="319"/>
      <c r="BC179" s="321">
        <f t="shared" si="12"/>
        <v>1.2699309070563283</v>
      </c>
      <c r="BD179" s="321">
        <f t="shared" si="13"/>
        <v>1.2699309070563283</v>
      </c>
      <c r="BE179" s="321">
        <f t="shared" si="14"/>
        <v>1.167220482417346</v>
      </c>
      <c r="BG179" s="22">
        <f t="shared" si="15"/>
        <v>-1.9984014443252818E-15</v>
      </c>
      <c r="BH179" s="22">
        <f t="shared" si="16"/>
        <v>-5.5511151231257827E-16</v>
      </c>
      <c r="BI179" s="22">
        <f t="shared" si="17"/>
        <v>1.2212453270876722E-15</v>
      </c>
    </row>
    <row r="180" spans="2:61" x14ac:dyDescent="0.25">
      <c r="B180" s="312">
        <v>173</v>
      </c>
      <c r="C180" s="312" t="s">
        <v>809</v>
      </c>
      <c r="D180" s="312"/>
      <c r="E180" s="312">
        <v>5</v>
      </c>
      <c r="F180" s="312">
        <v>7</v>
      </c>
      <c r="G180" s="313" t="s">
        <v>131</v>
      </c>
      <c r="H180" s="313"/>
      <c r="I180" s="313">
        <v>4515.3999999999996</v>
      </c>
      <c r="J180" s="312">
        <v>4515.3999999999996</v>
      </c>
      <c r="K180" s="312">
        <v>0</v>
      </c>
      <c r="L180" s="312">
        <v>0</v>
      </c>
      <c r="M180" s="317"/>
      <c r="N180" s="319">
        <v>0.16339999999999999</v>
      </c>
      <c r="O180" s="319">
        <v>0.109</v>
      </c>
      <c r="P180" s="319">
        <v>0.3296</v>
      </c>
      <c r="Q180" s="319">
        <v>7.4300000000000005E-2</v>
      </c>
      <c r="R180" s="319">
        <v>3.32E-2</v>
      </c>
      <c r="S180" s="319">
        <v>0.73640000000000005</v>
      </c>
      <c r="T180" s="319">
        <v>0</v>
      </c>
      <c r="U180" s="319">
        <v>0.63149999999999995</v>
      </c>
      <c r="V180" s="319">
        <v>0</v>
      </c>
      <c r="W180" s="319">
        <v>0</v>
      </c>
      <c r="X180" s="319">
        <v>0.1401</v>
      </c>
      <c r="Y180" s="319">
        <v>0</v>
      </c>
      <c r="Z180" s="319">
        <v>1.5924</v>
      </c>
      <c r="AA180" s="319">
        <v>0.2132</v>
      </c>
      <c r="AB180" s="319">
        <v>0.31340000000000001</v>
      </c>
      <c r="AC180" s="319">
        <v>8.7999999999999995E-2</v>
      </c>
      <c r="AD180" s="319">
        <v>9.74E-2</v>
      </c>
      <c r="AE180" s="319">
        <v>6.4500000000000002E-2</v>
      </c>
      <c r="AF180" s="319">
        <v>0.2903</v>
      </c>
      <c r="AG180" s="319">
        <v>3.6700000000000003E-2</v>
      </c>
      <c r="AH180" s="319">
        <v>0</v>
      </c>
      <c r="AI180" s="319">
        <v>1.9159999999999999</v>
      </c>
      <c r="AJ180" s="319">
        <v>1.3132999999999999</v>
      </c>
      <c r="AK180" s="319">
        <v>0.1094</v>
      </c>
      <c r="AL180" s="319">
        <v>0.62629999999999997</v>
      </c>
      <c r="AM180" s="319">
        <v>6.9800000000000001E-2</v>
      </c>
      <c r="AN180" s="319">
        <v>1.1299999999999999E-2</v>
      </c>
      <c r="AO180" s="319">
        <v>0.30259999999999998</v>
      </c>
      <c r="AP180" s="319">
        <v>0</v>
      </c>
      <c r="AQ180" s="319">
        <v>0</v>
      </c>
      <c r="AR180" s="319">
        <v>0.46310000000000001</v>
      </c>
      <c r="AS180" s="319">
        <v>0.46310000000000001</v>
      </c>
      <c r="AT180" s="331">
        <v>0.25519999999999998</v>
      </c>
      <c r="AU180" s="336">
        <v>9.7252000000000027</v>
      </c>
      <c r="AV180" s="329">
        <v>9.7252000000000027</v>
      </c>
      <c r="AW180" s="337">
        <v>5.3591000000000015</v>
      </c>
      <c r="AX180" s="334"/>
      <c r="AY180" s="323">
        <v>7.6580000000000013</v>
      </c>
      <c r="AZ180" s="323">
        <v>7.6580000000000013</v>
      </c>
      <c r="BA180" s="323">
        <v>4.5182000000000011</v>
      </c>
      <c r="BB180" s="319"/>
      <c r="BC180" s="321">
        <f t="shared" si="12"/>
        <v>1.2699399320971534</v>
      </c>
      <c r="BD180" s="321">
        <f t="shared" si="13"/>
        <v>1.2699399320971534</v>
      </c>
      <c r="BE180" s="321">
        <f t="shared" si="14"/>
        <v>1.1861139391793192</v>
      </c>
      <c r="BG180" s="22">
        <f t="shared" si="15"/>
        <v>4.6074255521943996E-15</v>
      </c>
      <c r="BH180" s="22">
        <f t="shared" si="16"/>
        <v>-5.5511151231257827E-16</v>
      </c>
      <c r="BI180" s="22">
        <f t="shared" si="17"/>
        <v>1.2212453270876722E-15</v>
      </c>
    </row>
    <row r="181" spans="2:61" x14ac:dyDescent="0.25">
      <c r="B181" s="312">
        <v>174</v>
      </c>
      <c r="C181" s="312" t="s">
        <v>811</v>
      </c>
      <c r="D181" s="312"/>
      <c r="E181" s="312">
        <v>9</v>
      </c>
      <c r="F181" s="312">
        <v>3</v>
      </c>
      <c r="G181" s="313" t="s">
        <v>227</v>
      </c>
      <c r="H181" s="313"/>
      <c r="I181" s="313">
        <v>5638.9</v>
      </c>
      <c r="J181" s="312">
        <v>610.39999999999964</v>
      </c>
      <c r="K181" s="312">
        <v>5028.5</v>
      </c>
      <c r="L181" s="312">
        <v>0</v>
      </c>
      <c r="M181" s="317"/>
      <c r="N181" s="319">
        <v>0.17979999999999999</v>
      </c>
      <c r="O181" s="319">
        <v>0.1075</v>
      </c>
      <c r="P181" s="319">
        <v>0.28220000000000001</v>
      </c>
      <c r="Q181" s="319">
        <v>7.3499999999999996E-2</v>
      </c>
      <c r="R181" s="319">
        <v>2.3400000000000001E-2</v>
      </c>
      <c r="S181" s="319">
        <v>0.2626</v>
      </c>
      <c r="T181" s="319">
        <v>0</v>
      </c>
      <c r="U181" s="319">
        <v>0.63149999999999995</v>
      </c>
      <c r="V181" s="319">
        <v>2.0446</v>
      </c>
      <c r="W181" s="319">
        <v>0</v>
      </c>
      <c r="X181" s="319">
        <v>0.15140000000000001</v>
      </c>
      <c r="Y181" s="319">
        <v>0</v>
      </c>
      <c r="Z181" s="319">
        <v>2.7631999999999999</v>
      </c>
      <c r="AA181" s="319">
        <v>0.23400000000000001</v>
      </c>
      <c r="AB181" s="319">
        <v>0.37409999999999999</v>
      </c>
      <c r="AC181" s="319">
        <v>0.11940000000000001</v>
      </c>
      <c r="AD181" s="319">
        <v>0.1177</v>
      </c>
      <c r="AE181" s="319">
        <v>4.5499999999999999E-2</v>
      </c>
      <c r="AF181" s="319">
        <v>0.1012</v>
      </c>
      <c r="AG181" s="319">
        <v>0.03</v>
      </c>
      <c r="AH181" s="319">
        <v>0</v>
      </c>
      <c r="AI181" s="319">
        <v>1.2204999999999999</v>
      </c>
      <c r="AJ181" s="319">
        <v>1.5304</v>
      </c>
      <c r="AK181" s="319">
        <v>8.5300000000000001E-2</v>
      </c>
      <c r="AL181" s="319">
        <v>0.46310000000000001</v>
      </c>
      <c r="AM181" s="319">
        <v>3.6400000000000002E-2</v>
      </c>
      <c r="AN181" s="319">
        <v>5.8999999999999999E-3</v>
      </c>
      <c r="AO181" s="319">
        <v>0.32129999999999997</v>
      </c>
      <c r="AP181" s="319">
        <v>0.49409999999999998</v>
      </c>
      <c r="AQ181" s="319">
        <v>0</v>
      </c>
      <c r="AR181" s="319">
        <v>0.45800000000000002</v>
      </c>
      <c r="AS181" s="319">
        <v>0.58489999999999998</v>
      </c>
      <c r="AT181" s="331">
        <v>0.28120000000000001</v>
      </c>
      <c r="AU181" s="336">
        <v>9.6179000000000023</v>
      </c>
      <c r="AV181" s="329">
        <v>12.283500000000002</v>
      </c>
      <c r="AW181" s="337">
        <v>5.905800000000001</v>
      </c>
      <c r="AX181" s="334"/>
      <c r="AY181" s="323">
        <v>7.5734999999999992</v>
      </c>
      <c r="AZ181" s="323">
        <v>10.665799999999999</v>
      </c>
      <c r="BA181" s="323">
        <v>4.9398999999999988</v>
      </c>
      <c r="BB181" s="319"/>
      <c r="BC181" s="321">
        <f t="shared" si="12"/>
        <v>1.2699412424902625</v>
      </c>
      <c r="BD181" s="321">
        <f t="shared" si="13"/>
        <v>1.1516716983254893</v>
      </c>
      <c r="BE181" s="321">
        <f t="shared" si="14"/>
        <v>1.1955302738921845</v>
      </c>
      <c r="BG181" s="22">
        <f t="shared" si="15"/>
        <v>7.7715611723760958E-16</v>
      </c>
      <c r="BH181" s="22">
        <f t="shared" si="16"/>
        <v>3.6082248300317588E-16</v>
      </c>
      <c r="BI181" s="22">
        <f t="shared" si="17"/>
        <v>5.8286708792820718E-16</v>
      </c>
    </row>
    <row r="182" spans="2:61" x14ac:dyDescent="0.25">
      <c r="B182" s="312">
        <v>175</v>
      </c>
      <c r="C182" s="312" t="s">
        <v>813</v>
      </c>
      <c r="D182" s="312"/>
      <c r="E182" s="312">
        <v>9</v>
      </c>
      <c r="F182" s="312">
        <v>3</v>
      </c>
      <c r="G182" s="313" t="s">
        <v>228</v>
      </c>
      <c r="H182" s="313"/>
      <c r="I182" s="313">
        <v>5640.2</v>
      </c>
      <c r="J182" s="312">
        <v>613</v>
      </c>
      <c r="K182" s="312">
        <v>5027.2</v>
      </c>
      <c r="L182" s="312">
        <v>0</v>
      </c>
      <c r="M182" s="317"/>
      <c r="N182" s="319">
        <v>0.17680000000000001</v>
      </c>
      <c r="O182" s="319">
        <v>6.88E-2</v>
      </c>
      <c r="P182" s="319">
        <v>0.28360000000000002</v>
      </c>
      <c r="Q182" s="319">
        <v>7.3700000000000002E-2</v>
      </c>
      <c r="R182" s="319">
        <v>2.3400000000000001E-2</v>
      </c>
      <c r="S182" s="319">
        <v>0.23100000000000001</v>
      </c>
      <c r="T182" s="319">
        <v>0</v>
      </c>
      <c r="U182" s="319">
        <v>0.63149999999999995</v>
      </c>
      <c r="V182" s="319">
        <v>2.0451000000000001</v>
      </c>
      <c r="W182" s="319">
        <v>0</v>
      </c>
      <c r="X182" s="319">
        <v>0.15140000000000001</v>
      </c>
      <c r="Y182" s="319">
        <v>0</v>
      </c>
      <c r="Z182" s="319">
        <v>1.988</v>
      </c>
      <c r="AA182" s="319">
        <v>0.2301</v>
      </c>
      <c r="AB182" s="319">
        <v>0.248</v>
      </c>
      <c r="AC182" s="319">
        <v>0.11990000000000001</v>
      </c>
      <c r="AD182" s="319">
        <v>0.1177</v>
      </c>
      <c r="AE182" s="319">
        <v>4.5499999999999999E-2</v>
      </c>
      <c r="AF182" s="319">
        <v>5.8400000000000001E-2</v>
      </c>
      <c r="AG182" s="319">
        <v>0.03</v>
      </c>
      <c r="AH182" s="319">
        <v>0</v>
      </c>
      <c r="AI182" s="319">
        <v>2.1930999999999998</v>
      </c>
      <c r="AJ182" s="319">
        <v>1.6395</v>
      </c>
      <c r="AK182" s="319">
        <v>8.43E-2</v>
      </c>
      <c r="AL182" s="319">
        <v>0.40799999999999997</v>
      </c>
      <c r="AM182" s="319">
        <v>3.6700000000000003E-2</v>
      </c>
      <c r="AN182" s="319">
        <v>6.0000000000000001E-3</v>
      </c>
      <c r="AO182" s="319">
        <v>0.43130000000000002</v>
      </c>
      <c r="AP182" s="319">
        <v>0.61770000000000003</v>
      </c>
      <c r="AQ182" s="319">
        <v>0</v>
      </c>
      <c r="AR182" s="319">
        <v>0.46379999999999999</v>
      </c>
      <c r="AS182" s="319">
        <v>0.59699999999999998</v>
      </c>
      <c r="AT182" s="331">
        <v>0.23019999999999999</v>
      </c>
      <c r="AU182" s="336">
        <v>9.7405000000000008</v>
      </c>
      <c r="AV182" s="329">
        <v>12.536499999999998</v>
      </c>
      <c r="AW182" s="337">
        <v>4.8350000000000009</v>
      </c>
      <c r="AX182" s="334"/>
      <c r="AY182" s="323">
        <v>7.6701000000000006</v>
      </c>
      <c r="AZ182" s="323">
        <v>10.812900000000001</v>
      </c>
      <c r="BA182" s="323">
        <v>4.2479000000000005</v>
      </c>
      <c r="BB182" s="319"/>
      <c r="BC182" s="321">
        <f t="shared" si="12"/>
        <v>1.2699312916389618</v>
      </c>
      <c r="BD182" s="321">
        <f t="shared" si="13"/>
        <v>1.1594021955257143</v>
      </c>
      <c r="BE182" s="321">
        <f t="shared" si="14"/>
        <v>1.1382094682078203</v>
      </c>
      <c r="BG182" s="22">
        <f t="shared" si="15"/>
        <v>-8.8817841970012523E-16</v>
      </c>
      <c r="BH182" s="22">
        <f t="shared" si="16"/>
        <v>-9.1593399531575415E-16</v>
      </c>
      <c r="BI182" s="22">
        <f t="shared" si="17"/>
        <v>6.3837823915946501E-16</v>
      </c>
    </row>
    <row r="183" spans="2:61" x14ac:dyDescent="0.25">
      <c r="B183" s="312">
        <v>176</v>
      </c>
      <c r="C183" s="312" t="s">
        <v>815</v>
      </c>
      <c r="D183" s="312"/>
      <c r="E183" s="312">
        <v>5</v>
      </c>
      <c r="F183" s="312">
        <v>8</v>
      </c>
      <c r="G183" s="313" t="s">
        <v>132</v>
      </c>
      <c r="H183" s="313"/>
      <c r="I183" s="313">
        <v>5960.3</v>
      </c>
      <c r="J183" s="312">
        <v>5960.3</v>
      </c>
      <c r="K183" s="312">
        <v>0</v>
      </c>
      <c r="L183" s="312">
        <v>0</v>
      </c>
      <c r="M183" s="317"/>
      <c r="N183" s="319">
        <v>0.15049999999999999</v>
      </c>
      <c r="O183" s="319">
        <v>9.1300000000000006E-2</v>
      </c>
      <c r="P183" s="319">
        <v>0.3327</v>
      </c>
      <c r="Q183" s="319">
        <v>7.4999999999999997E-2</v>
      </c>
      <c r="R183" s="319">
        <v>4.36E-2</v>
      </c>
      <c r="S183" s="319">
        <v>0.69599999999999995</v>
      </c>
      <c r="T183" s="319">
        <v>0</v>
      </c>
      <c r="U183" s="319">
        <v>0.63149999999999995</v>
      </c>
      <c r="V183" s="319">
        <v>0</v>
      </c>
      <c r="W183" s="319">
        <v>0</v>
      </c>
      <c r="X183" s="319">
        <v>0.15790000000000001</v>
      </c>
      <c r="Y183" s="319">
        <v>0</v>
      </c>
      <c r="Z183" s="319">
        <v>2.2069999999999999</v>
      </c>
      <c r="AA183" s="319">
        <v>0.19969999999999999</v>
      </c>
      <c r="AB183" s="319">
        <v>0.33450000000000002</v>
      </c>
      <c r="AC183" s="319">
        <v>9.1499999999999998E-2</v>
      </c>
      <c r="AD183" s="319">
        <v>9.9299999999999999E-2</v>
      </c>
      <c r="AE183" s="319">
        <v>8.4699999999999998E-2</v>
      </c>
      <c r="AF183" s="319">
        <v>0.26919999999999999</v>
      </c>
      <c r="AG183" s="319">
        <v>3.2300000000000002E-2</v>
      </c>
      <c r="AH183" s="319">
        <v>0</v>
      </c>
      <c r="AI183" s="319">
        <v>1.8093999999999999</v>
      </c>
      <c r="AJ183" s="319">
        <v>1.073</v>
      </c>
      <c r="AK183" s="319">
        <v>8.3299999999999999E-2</v>
      </c>
      <c r="AL183" s="319">
        <v>0.58960000000000001</v>
      </c>
      <c r="AM183" s="319">
        <v>5.9499999999999997E-2</v>
      </c>
      <c r="AN183" s="319">
        <v>9.7000000000000003E-3</v>
      </c>
      <c r="AO183" s="319">
        <v>0.23880000000000001</v>
      </c>
      <c r="AP183" s="319">
        <v>0</v>
      </c>
      <c r="AQ183" s="319">
        <v>0</v>
      </c>
      <c r="AR183" s="319">
        <v>0.46800000000000003</v>
      </c>
      <c r="AS183" s="319">
        <v>0.46800000000000003</v>
      </c>
      <c r="AT183" s="331">
        <v>0.28249999999999997</v>
      </c>
      <c r="AU183" s="336">
        <v>9.8280000000000012</v>
      </c>
      <c r="AV183" s="329">
        <v>9.8280000000000012</v>
      </c>
      <c r="AW183" s="337">
        <v>5.9317000000000002</v>
      </c>
      <c r="AX183" s="334"/>
      <c r="AY183" s="323">
        <v>7.738900000000001</v>
      </c>
      <c r="AZ183" s="323">
        <v>7.738900000000001</v>
      </c>
      <c r="BA183" s="323">
        <v>4.9484000000000012</v>
      </c>
      <c r="BB183" s="319"/>
      <c r="BC183" s="321">
        <f t="shared" si="12"/>
        <v>1.2699479254157569</v>
      </c>
      <c r="BD183" s="321">
        <f t="shared" si="13"/>
        <v>1.2699479254157569</v>
      </c>
      <c r="BE183" s="321">
        <f t="shared" si="14"/>
        <v>1.1987106943658554</v>
      </c>
      <c r="BG183" s="22">
        <f t="shared" si="15"/>
        <v>4.0523140398818214E-15</v>
      </c>
      <c r="BH183" s="22">
        <f t="shared" si="16"/>
        <v>5.8286708792820718E-16</v>
      </c>
      <c r="BI183" s="22">
        <f t="shared" si="17"/>
        <v>5.8286708792820718E-16</v>
      </c>
    </row>
    <row r="184" spans="2:61" x14ac:dyDescent="0.25">
      <c r="B184" s="312">
        <v>177</v>
      </c>
      <c r="C184" s="312" t="s">
        <v>817</v>
      </c>
      <c r="D184" s="312"/>
      <c r="E184" s="312">
        <v>5</v>
      </c>
      <c r="F184" s="312">
        <v>4</v>
      </c>
      <c r="G184" s="313" t="s">
        <v>133</v>
      </c>
      <c r="H184" s="313"/>
      <c r="I184" s="313">
        <v>2900.4</v>
      </c>
      <c r="J184" s="312">
        <v>2900.4</v>
      </c>
      <c r="K184" s="312">
        <v>0</v>
      </c>
      <c r="L184" s="312">
        <v>0</v>
      </c>
      <c r="M184" s="317"/>
      <c r="N184" s="319">
        <v>0.1656</v>
      </c>
      <c r="O184" s="319">
        <v>8.7800000000000003E-2</v>
      </c>
      <c r="P184" s="319">
        <v>0.32619999999999999</v>
      </c>
      <c r="Q184" s="319">
        <v>7.4499999999999997E-2</v>
      </c>
      <c r="R184" s="319">
        <v>3.1E-2</v>
      </c>
      <c r="S184" s="319">
        <v>0.4743</v>
      </c>
      <c r="T184" s="319">
        <v>0</v>
      </c>
      <c r="U184" s="319">
        <v>0.63149999999999995</v>
      </c>
      <c r="V184" s="319">
        <v>0</v>
      </c>
      <c r="W184" s="319">
        <v>0</v>
      </c>
      <c r="X184" s="319">
        <v>0.1636</v>
      </c>
      <c r="Y184" s="319">
        <v>0</v>
      </c>
      <c r="Z184" s="319">
        <v>2.2536</v>
      </c>
      <c r="AA184" s="319">
        <v>0.22140000000000001</v>
      </c>
      <c r="AB184" s="319">
        <v>0.32019999999999998</v>
      </c>
      <c r="AC184" s="319">
        <v>8.8599999999999998E-2</v>
      </c>
      <c r="AD184" s="319">
        <v>0.10349999999999999</v>
      </c>
      <c r="AE184" s="319">
        <v>6.0299999999999999E-2</v>
      </c>
      <c r="AF184" s="319">
        <v>0.16350000000000001</v>
      </c>
      <c r="AG184" s="319">
        <v>3.2599999999999997E-2</v>
      </c>
      <c r="AH184" s="319">
        <v>0</v>
      </c>
      <c r="AI184" s="319">
        <v>2.0939999999999999</v>
      </c>
      <c r="AJ184" s="319">
        <v>1.1488</v>
      </c>
      <c r="AK184" s="319">
        <v>9.1200000000000003E-2</v>
      </c>
      <c r="AL184" s="319">
        <v>0.58179999999999998</v>
      </c>
      <c r="AM184" s="319">
        <v>5.5500000000000001E-2</v>
      </c>
      <c r="AN184" s="319">
        <v>8.9999999999999993E-3</v>
      </c>
      <c r="AO184" s="319">
        <v>0.23730000000000001</v>
      </c>
      <c r="AP184" s="319">
        <v>0</v>
      </c>
      <c r="AQ184" s="319">
        <v>0</v>
      </c>
      <c r="AR184" s="319">
        <v>0.4708</v>
      </c>
      <c r="AS184" s="319">
        <v>0.4708</v>
      </c>
      <c r="AT184" s="331">
        <v>0.26769999999999999</v>
      </c>
      <c r="AU184" s="336">
        <v>9.8865999999999996</v>
      </c>
      <c r="AV184" s="329">
        <v>9.8865999999999996</v>
      </c>
      <c r="AW184" s="337">
        <v>5.6216000000000008</v>
      </c>
      <c r="AX184" s="334"/>
      <c r="AY184" s="323">
        <v>7.7853000000000012</v>
      </c>
      <c r="AZ184" s="323">
        <v>7.7853000000000012</v>
      </c>
      <c r="BA184" s="323">
        <v>4.7895000000000021</v>
      </c>
      <c r="BB184" s="319"/>
      <c r="BC184" s="321">
        <f t="shared" si="12"/>
        <v>1.2699061050955003</v>
      </c>
      <c r="BD184" s="321">
        <f t="shared" si="13"/>
        <v>1.2699061050955003</v>
      </c>
      <c r="BE184" s="321">
        <f t="shared" si="14"/>
        <v>1.1737342102515917</v>
      </c>
      <c r="BG184" s="22">
        <f t="shared" si="15"/>
        <v>1.609823385706477E-15</v>
      </c>
      <c r="BH184" s="22">
        <f t="shared" si="16"/>
        <v>0</v>
      </c>
      <c r="BI184" s="22">
        <f t="shared" si="17"/>
        <v>9.1593399531575415E-16</v>
      </c>
    </row>
    <row r="185" spans="2:61" x14ac:dyDescent="0.25">
      <c r="B185" s="312">
        <v>178</v>
      </c>
      <c r="C185" s="312" t="s">
        <v>819</v>
      </c>
      <c r="D185" s="312"/>
      <c r="E185" s="312">
        <v>5</v>
      </c>
      <c r="F185" s="312">
        <v>4</v>
      </c>
      <c r="G185" s="313" t="s">
        <v>134</v>
      </c>
      <c r="H185" s="313"/>
      <c r="I185" s="313">
        <v>2908</v>
      </c>
      <c r="J185" s="312">
        <v>2908</v>
      </c>
      <c r="K185" s="312">
        <v>0</v>
      </c>
      <c r="L185" s="312">
        <v>0</v>
      </c>
      <c r="M185" s="317"/>
      <c r="N185" s="319">
        <v>0.1651</v>
      </c>
      <c r="O185" s="319">
        <v>8.7599999999999997E-2</v>
      </c>
      <c r="P185" s="319">
        <v>0.32850000000000001</v>
      </c>
      <c r="Q185" s="319">
        <v>7.3899999999999993E-2</v>
      </c>
      <c r="R185" s="319">
        <v>3.09E-2</v>
      </c>
      <c r="S185" s="319">
        <v>0.47299999999999998</v>
      </c>
      <c r="T185" s="319">
        <v>0</v>
      </c>
      <c r="U185" s="319">
        <v>0.63149999999999995</v>
      </c>
      <c r="V185" s="319">
        <v>0</v>
      </c>
      <c r="W185" s="319">
        <v>0</v>
      </c>
      <c r="X185" s="319">
        <v>0.16320000000000001</v>
      </c>
      <c r="Y185" s="319">
        <v>0</v>
      </c>
      <c r="Z185" s="319">
        <v>1.3754</v>
      </c>
      <c r="AA185" s="319">
        <v>0.2185</v>
      </c>
      <c r="AB185" s="319">
        <v>0.31059999999999999</v>
      </c>
      <c r="AC185" s="319">
        <v>8.8200000000000001E-2</v>
      </c>
      <c r="AD185" s="319">
        <v>0.1016</v>
      </c>
      <c r="AE185" s="319">
        <v>6.0100000000000001E-2</v>
      </c>
      <c r="AF185" s="319">
        <v>0.16309999999999999</v>
      </c>
      <c r="AG185" s="319">
        <v>3.2599999999999997E-2</v>
      </c>
      <c r="AH185" s="319">
        <v>0</v>
      </c>
      <c r="AI185" s="319">
        <v>3.1564000000000001</v>
      </c>
      <c r="AJ185" s="319">
        <v>1.1033999999999999</v>
      </c>
      <c r="AK185" s="319">
        <v>8.2699999999999996E-2</v>
      </c>
      <c r="AL185" s="319">
        <v>0.54459999999999997</v>
      </c>
      <c r="AM185" s="319">
        <v>5.5800000000000002E-2</v>
      </c>
      <c r="AN185" s="319">
        <v>9.1000000000000004E-3</v>
      </c>
      <c r="AO185" s="319">
        <v>0.42720000000000002</v>
      </c>
      <c r="AP185" s="319">
        <v>0</v>
      </c>
      <c r="AQ185" s="319">
        <v>0</v>
      </c>
      <c r="AR185" s="319">
        <v>0.48420000000000002</v>
      </c>
      <c r="AS185" s="319">
        <v>0.48420000000000002</v>
      </c>
      <c r="AT185" s="331">
        <v>0.22259999999999999</v>
      </c>
      <c r="AU185" s="336">
        <v>10.167199999999999</v>
      </c>
      <c r="AV185" s="329">
        <v>10.167199999999999</v>
      </c>
      <c r="AW185" s="337">
        <v>4.6740000000000013</v>
      </c>
      <c r="AX185" s="334"/>
      <c r="AY185" s="323">
        <v>8.0061000000000018</v>
      </c>
      <c r="AZ185" s="323">
        <v>8.0061000000000018</v>
      </c>
      <c r="BA185" s="323">
        <v>4.2462000000000018</v>
      </c>
      <c r="BB185" s="319"/>
      <c r="BC185" s="321">
        <f t="shared" si="12"/>
        <v>1.2699316770962137</v>
      </c>
      <c r="BD185" s="321">
        <f t="shared" si="13"/>
        <v>1.2699316770962137</v>
      </c>
      <c r="BE185" s="321">
        <f t="shared" si="14"/>
        <v>1.1007489049032073</v>
      </c>
      <c r="BG185" s="22">
        <f t="shared" si="15"/>
        <v>-4.0523140398818214E-15</v>
      </c>
      <c r="BH185" s="22">
        <f t="shared" si="16"/>
        <v>0</v>
      </c>
      <c r="BI185" s="22">
        <f t="shared" si="17"/>
        <v>9.1593399531575415E-16</v>
      </c>
    </row>
    <row r="186" spans="2:61" x14ac:dyDescent="0.25">
      <c r="B186" s="312">
        <v>179</v>
      </c>
      <c r="C186" s="312" t="s">
        <v>821</v>
      </c>
      <c r="D186" s="312"/>
      <c r="E186" s="312">
        <v>5</v>
      </c>
      <c r="F186" s="312">
        <v>4</v>
      </c>
      <c r="G186" s="313" t="s">
        <v>135</v>
      </c>
      <c r="H186" s="313"/>
      <c r="I186" s="313">
        <v>2877.2</v>
      </c>
      <c r="J186" s="312">
        <v>2877.2</v>
      </c>
      <c r="K186" s="312">
        <v>0</v>
      </c>
      <c r="L186" s="312">
        <v>0</v>
      </c>
      <c r="M186" s="317"/>
      <c r="N186" s="319">
        <v>0.16089999999999999</v>
      </c>
      <c r="O186" s="319">
        <v>8.8499999999999995E-2</v>
      </c>
      <c r="P186" s="319">
        <v>0.32540000000000002</v>
      </c>
      <c r="Q186" s="319">
        <v>7.4300000000000005E-2</v>
      </c>
      <c r="R186" s="319">
        <v>2.7799999999999998E-2</v>
      </c>
      <c r="S186" s="319">
        <v>0.47810000000000002</v>
      </c>
      <c r="T186" s="319">
        <v>0</v>
      </c>
      <c r="U186" s="319">
        <v>0.63149999999999995</v>
      </c>
      <c r="V186" s="319">
        <v>0</v>
      </c>
      <c r="W186" s="319">
        <v>0</v>
      </c>
      <c r="X186" s="319">
        <v>0.16489999999999999</v>
      </c>
      <c r="Y186" s="319">
        <v>0</v>
      </c>
      <c r="Z186" s="319">
        <v>1.7894000000000001</v>
      </c>
      <c r="AA186" s="319">
        <v>0.2135</v>
      </c>
      <c r="AB186" s="319">
        <v>0.314</v>
      </c>
      <c r="AC186" s="319">
        <v>8.8400000000000006E-2</v>
      </c>
      <c r="AD186" s="319">
        <v>0.1021</v>
      </c>
      <c r="AE186" s="319">
        <v>5.3999999999999999E-2</v>
      </c>
      <c r="AF186" s="319">
        <v>0.1648</v>
      </c>
      <c r="AG186" s="319">
        <v>3.2800000000000003E-2</v>
      </c>
      <c r="AH186" s="319">
        <v>0</v>
      </c>
      <c r="AI186" s="319">
        <v>2.5211000000000001</v>
      </c>
      <c r="AJ186" s="319">
        <v>1.1024</v>
      </c>
      <c r="AK186" s="319">
        <v>8.7300000000000003E-2</v>
      </c>
      <c r="AL186" s="319">
        <v>0.59470000000000001</v>
      </c>
      <c r="AM186" s="319">
        <v>5.5800000000000002E-2</v>
      </c>
      <c r="AN186" s="319">
        <v>9.1000000000000004E-3</v>
      </c>
      <c r="AO186" s="319">
        <v>0.33460000000000001</v>
      </c>
      <c r="AP186" s="319">
        <v>0</v>
      </c>
      <c r="AQ186" s="319">
        <v>0</v>
      </c>
      <c r="AR186" s="319">
        <v>0.4708</v>
      </c>
      <c r="AS186" s="319">
        <v>0.4708</v>
      </c>
      <c r="AT186" s="331">
        <v>0.24310000000000001</v>
      </c>
      <c r="AU186" s="336">
        <v>9.8862000000000005</v>
      </c>
      <c r="AV186" s="329">
        <v>9.8862000000000005</v>
      </c>
      <c r="AW186" s="337">
        <v>5.1057000000000006</v>
      </c>
      <c r="AX186" s="334"/>
      <c r="AY186" s="323">
        <v>7.7849000000000004</v>
      </c>
      <c r="AZ186" s="323">
        <v>7.7849000000000004</v>
      </c>
      <c r="BA186" s="323">
        <v>4.4409000000000001</v>
      </c>
      <c r="BB186" s="319"/>
      <c r="BC186" s="321">
        <f t="shared" si="12"/>
        <v>1.2699199732816093</v>
      </c>
      <c r="BD186" s="321">
        <f t="shared" si="13"/>
        <v>1.2699199732816093</v>
      </c>
      <c r="BE186" s="321">
        <f t="shared" si="14"/>
        <v>1.1496993852597448</v>
      </c>
      <c r="BG186" s="22">
        <f t="shared" si="15"/>
        <v>2.3314683517128287E-15</v>
      </c>
      <c r="BH186" s="22">
        <f t="shared" si="16"/>
        <v>0</v>
      </c>
      <c r="BI186" s="22">
        <f t="shared" si="17"/>
        <v>8.6042284408449632E-16</v>
      </c>
    </row>
    <row r="187" spans="2:61" x14ac:dyDescent="0.25">
      <c r="B187" s="312">
        <v>180</v>
      </c>
      <c r="C187" s="312" t="s">
        <v>823</v>
      </c>
      <c r="D187" s="312"/>
      <c r="E187" s="312">
        <v>5</v>
      </c>
      <c r="F187" s="312">
        <v>4</v>
      </c>
      <c r="G187" s="313" t="s">
        <v>136</v>
      </c>
      <c r="H187" s="313"/>
      <c r="I187" s="313">
        <v>2873.7</v>
      </c>
      <c r="J187" s="312">
        <v>2873.7</v>
      </c>
      <c r="K187" s="312">
        <v>0</v>
      </c>
      <c r="L187" s="312">
        <v>0</v>
      </c>
      <c r="M187" s="317"/>
      <c r="N187" s="319">
        <v>0.16109999999999999</v>
      </c>
      <c r="O187" s="319">
        <v>8.8599999999999998E-2</v>
      </c>
      <c r="P187" s="319">
        <v>0.32579999999999998</v>
      </c>
      <c r="Q187" s="319">
        <v>7.4099999999999999E-2</v>
      </c>
      <c r="R187" s="319">
        <v>2.7799999999999998E-2</v>
      </c>
      <c r="S187" s="319">
        <v>0.47870000000000001</v>
      </c>
      <c r="T187" s="319">
        <v>0</v>
      </c>
      <c r="U187" s="319">
        <v>0.63149999999999995</v>
      </c>
      <c r="V187" s="319">
        <v>0</v>
      </c>
      <c r="W187" s="319">
        <v>0</v>
      </c>
      <c r="X187" s="319">
        <v>0.1651</v>
      </c>
      <c r="Y187" s="319">
        <v>0</v>
      </c>
      <c r="Z187" s="319">
        <v>1.5673999999999999</v>
      </c>
      <c r="AA187" s="319">
        <v>0.21199999999999999</v>
      </c>
      <c r="AB187" s="319">
        <v>0.31440000000000001</v>
      </c>
      <c r="AC187" s="319">
        <v>8.8499999999999995E-2</v>
      </c>
      <c r="AD187" s="319">
        <v>0.1011</v>
      </c>
      <c r="AE187" s="319">
        <v>5.4100000000000002E-2</v>
      </c>
      <c r="AF187" s="319">
        <v>0.16500000000000001</v>
      </c>
      <c r="AG187" s="319">
        <v>3.2800000000000003E-2</v>
      </c>
      <c r="AH187" s="319">
        <v>0</v>
      </c>
      <c r="AI187" s="319">
        <v>2.8805999999999998</v>
      </c>
      <c r="AJ187" s="319">
        <v>1.1021000000000001</v>
      </c>
      <c r="AK187" s="319">
        <v>8.7900000000000006E-2</v>
      </c>
      <c r="AL187" s="319">
        <v>0.61380000000000001</v>
      </c>
      <c r="AM187" s="319">
        <v>5.6099999999999997E-2</v>
      </c>
      <c r="AN187" s="319">
        <v>9.1000000000000004E-3</v>
      </c>
      <c r="AO187" s="319">
        <v>0.17829999999999999</v>
      </c>
      <c r="AP187" s="319">
        <v>0</v>
      </c>
      <c r="AQ187" s="319">
        <v>0</v>
      </c>
      <c r="AR187" s="319">
        <v>0.4708</v>
      </c>
      <c r="AS187" s="319">
        <v>0.4708</v>
      </c>
      <c r="AT187" s="331">
        <v>0.2321</v>
      </c>
      <c r="AU187" s="336">
        <v>9.8866999999999994</v>
      </c>
      <c r="AV187" s="329">
        <v>9.8866999999999994</v>
      </c>
      <c r="AW187" s="337">
        <v>4.8731999999999998</v>
      </c>
      <c r="AX187" s="334"/>
      <c r="AY187" s="323">
        <v>7.7853000000000012</v>
      </c>
      <c r="AZ187" s="323">
        <v>7.7853000000000012</v>
      </c>
      <c r="BA187" s="323">
        <v>4.3930000000000016</v>
      </c>
      <c r="BB187" s="319"/>
      <c r="BC187" s="321">
        <f t="shared" si="12"/>
        <v>1.269918949815678</v>
      </c>
      <c r="BD187" s="321">
        <f t="shared" si="13"/>
        <v>1.269918949815678</v>
      </c>
      <c r="BE187" s="321">
        <f t="shared" si="14"/>
        <v>1.1093102663328018</v>
      </c>
      <c r="BG187" s="22">
        <f t="shared" si="15"/>
        <v>4.2188474935755949E-15</v>
      </c>
      <c r="BH187" s="22">
        <f t="shared" si="16"/>
        <v>0</v>
      </c>
      <c r="BI187" s="22">
        <f t="shared" si="17"/>
        <v>0</v>
      </c>
    </row>
    <row r="188" spans="2:61" x14ac:dyDescent="0.25">
      <c r="B188" s="312">
        <v>181</v>
      </c>
      <c r="C188" s="312" t="s">
        <v>825</v>
      </c>
      <c r="D188" s="312"/>
      <c r="E188" s="312">
        <v>5</v>
      </c>
      <c r="F188" s="312">
        <v>2</v>
      </c>
      <c r="G188" s="313" t="s">
        <v>137</v>
      </c>
      <c r="H188" s="313"/>
      <c r="I188" s="313">
        <v>1891.3</v>
      </c>
      <c r="J188" s="312">
        <v>1891.3</v>
      </c>
      <c r="K188" s="312">
        <v>0</v>
      </c>
      <c r="L188" s="312">
        <v>0</v>
      </c>
      <c r="M188" s="317"/>
      <c r="N188" s="319">
        <v>0.1744</v>
      </c>
      <c r="O188" s="319">
        <v>9.6100000000000005E-2</v>
      </c>
      <c r="P188" s="319">
        <v>0.32390000000000002</v>
      </c>
      <c r="Q188" s="319">
        <v>7.17E-2</v>
      </c>
      <c r="R188" s="319">
        <v>2.3800000000000002E-2</v>
      </c>
      <c r="S188" s="319">
        <v>0.31740000000000002</v>
      </c>
      <c r="T188" s="319">
        <v>0</v>
      </c>
      <c r="U188" s="319">
        <v>0.63149999999999995</v>
      </c>
      <c r="V188" s="319">
        <v>0</v>
      </c>
      <c r="W188" s="319">
        <v>0</v>
      </c>
      <c r="X188" s="319">
        <v>0.16719999999999999</v>
      </c>
      <c r="Y188" s="319">
        <v>0</v>
      </c>
      <c r="Z188" s="319">
        <v>2.2031999999999998</v>
      </c>
      <c r="AA188" s="319">
        <v>0.23319999999999999</v>
      </c>
      <c r="AB188" s="319">
        <v>0.36249999999999999</v>
      </c>
      <c r="AC188" s="319">
        <v>8.9200000000000002E-2</v>
      </c>
      <c r="AD188" s="319">
        <v>8.8700000000000001E-2</v>
      </c>
      <c r="AE188" s="319">
        <v>4.6199999999999998E-2</v>
      </c>
      <c r="AF188" s="319">
        <v>0.10879999999999999</v>
      </c>
      <c r="AG188" s="319">
        <v>3.2399999999999998E-2</v>
      </c>
      <c r="AH188" s="319">
        <v>0</v>
      </c>
      <c r="AI188" s="319">
        <v>2.5701000000000001</v>
      </c>
      <c r="AJ188" s="319">
        <v>0.82879999999999998</v>
      </c>
      <c r="AK188" s="319">
        <v>8.77E-2</v>
      </c>
      <c r="AL188" s="319">
        <v>0.53120000000000001</v>
      </c>
      <c r="AM188" s="319">
        <v>5.21E-2</v>
      </c>
      <c r="AN188" s="319">
        <v>8.5000000000000006E-3</v>
      </c>
      <c r="AO188" s="319">
        <v>0.23810000000000001</v>
      </c>
      <c r="AP188" s="319">
        <v>0</v>
      </c>
      <c r="AQ188" s="319">
        <v>0</v>
      </c>
      <c r="AR188" s="319">
        <v>0.46429999999999999</v>
      </c>
      <c r="AS188" s="319">
        <v>0.46429999999999999</v>
      </c>
      <c r="AT188" s="331">
        <v>0.25590000000000002</v>
      </c>
      <c r="AU188" s="336">
        <v>9.7509999999999977</v>
      </c>
      <c r="AV188" s="329">
        <v>9.7509999999999977</v>
      </c>
      <c r="AW188" s="337">
        <v>5.3743999999999978</v>
      </c>
      <c r="AX188" s="334"/>
      <c r="AY188" s="323">
        <v>7.6782999999999992</v>
      </c>
      <c r="AZ188" s="323">
        <v>7.6782999999999992</v>
      </c>
      <c r="BA188" s="323">
        <v>4.5434000000000001</v>
      </c>
      <c r="BB188" s="319"/>
      <c r="BC188" s="321">
        <f t="shared" si="12"/>
        <v>1.2699425654116143</v>
      </c>
      <c r="BD188" s="321">
        <f t="shared" si="13"/>
        <v>1.2699425654116143</v>
      </c>
      <c r="BE188" s="321">
        <f t="shared" si="14"/>
        <v>1.1829026720077469</v>
      </c>
      <c r="BG188" s="22">
        <f t="shared" si="15"/>
        <v>-1.7208456881689926E-15</v>
      </c>
      <c r="BH188" s="22">
        <f t="shared" si="16"/>
        <v>0</v>
      </c>
      <c r="BI188" s="22">
        <f t="shared" si="17"/>
        <v>-1.7763568394002505E-15</v>
      </c>
    </row>
    <row r="189" spans="2:61" x14ac:dyDescent="0.25">
      <c r="B189" s="312">
        <v>182</v>
      </c>
      <c r="C189" s="312" t="s">
        <v>827</v>
      </c>
      <c r="D189" s="312"/>
      <c r="E189" s="312">
        <v>5</v>
      </c>
      <c r="F189" s="312">
        <v>4</v>
      </c>
      <c r="G189" s="313" t="s">
        <v>138</v>
      </c>
      <c r="H189" s="313"/>
      <c r="I189" s="313">
        <v>2745.5</v>
      </c>
      <c r="J189" s="312">
        <v>2745.5</v>
      </c>
      <c r="K189" s="312">
        <v>0</v>
      </c>
      <c r="L189" s="312">
        <v>0</v>
      </c>
      <c r="M189" s="317"/>
      <c r="N189" s="319">
        <v>0.16739999999999999</v>
      </c>
      <c r="O189" s="319">
        <v>9.2799999999999994E-2</v>
      </c>
      <c r="P189" s="319">
        <v>0.32500000000000001</v>
      </c>
      <c r="Q189" s="319">
        <v>7.4399999999999994E-2</v>
      </c>
      <c r="R189" s="319">
        <v>2.9100000000000001E-2</v>
      </c>
      <c r="S189" s="319">
        <v>0.501</v>
      </c>
      <c r="T189" s="319">
        <v>0</v>
      </c>
      <c r="U189" s="319">
        <v>0.63149999999999995</v>
      </c>
      <c r="V189" s="319">
        <v>0</v>
      </c>
      <c r="W189" s="319">
        <v>0</v>
      </c>
      <c r="X189" s="319">
        <v>0.17280000000000001</v>
      </c>
      <c r="Y189" s="319">
        <v>0</v>
      </c>
      <c r="Z189" s="319">
        <v>2.2208000000000001</v>
      </c>
      <c r="AA189" s="319">
        <v>0.22189999999999999</v>
      </c>
      <c r="AB189" s="319">
        <v>0.32900000000000001</v>
      </c>
      <c r="AC189" s="319">
        <v>8.7900000000000006E-2</v>
      </c>
      <c r="AD189" s="319">
        <v>0.10299999999999999</v>
      </c>
      <c r="AE189" s="319">
        <v>5.6599999999999998E-2</v>
      </c>
      <c r="AF189" s="319">
        <v>0.17269999999999999</v>
      </c>
      <c r="AG189" s="319">
        <v>3.3599999999999998E-2</v>
      </c>
      <c r="AH189" s="319">
        <v>0</v>
      </c>
      <c r="AI189" s="319">
        <v>2.4942000000000002</v>
      </c>
      <c r="AJ189" s="319">
        <v>1.1431</v>
      </c>
      <c r="AK189" s="319">
        <v>9.2899999999999996E-2</v>
      </c>
      <c r="AL189" s="319">
        <v>0.62590000000000001</v>
      </c>
      <c r="AM189" s="319">
        <v>5.8599999999999999E-2</v>
      </c>
      <c r="AN189" s="319">
        <v>9.4999999999999998E-3</v>
      </c>
      <c r="AO189" s="319">
        <v>0.18290000000000001</v>
      </c>
      <c r="AP189" s="319">
        <v>0</v>
      </c>
      <c r="AQ189" s="319">
        <v>0</v>
      </c>
      <c r="AR189" s="319">
        <v>0.49130000000000001</v>
      </c>
      <c r="AS189" s="319">
        <v>0.49130000000000001</v>
      </c>
      <c r="AT189" s="331">
        <v>0.26900000000000002</v>
      </c>
      <c r="AU189" s="336">
        <v>10.3179</v>
      </c>
      <c r="AV189" s="329">
        <v>10.3179</v>
      </c>
      <c r="AW189" s="337">
        <v>5.6494999999999989</v>
      </c>
      <c r="AX189" s="334"/>
      <c r="AY189" s="323">
        <v>8.1248999999999985</v>
      </c>
      <c r="AZ189" s="323">
        <v>8.1248999999999985</v>
      </c>
      <c r="BA189" s="323">
        <v>4.6517999999999988</v>
      </c>
      <c r="BB189" s="319"/>
      <c r="BC189" s="321">
        <f t="shared" si="12"/>
        <v>1.2699110142894068</v>
      </c>
      <c r="BD189" s="321">
        <f t="shared" si="13"/>
        <v>1.2699110142894068</v>
      </c>
      <c r="BE189" s="321">
        <f t="shared" si="14"/>
        <v>1.2144761167720024</v>
      </c>
      <c r="BG189" s="22">
        <f t="shared" si="15"/>
        <v>0</v>
      </c>
      <c r="BH189" s="22">
        <f t="shared" si="16"/>
        <v>-7.2164496600635175E-16</v>
      </c>
      <c r="BI189" s="22">
        <f t="shared" si="17"/>
        <v>-1.609823385706477E-15</v>
      </c>
    </row>
    <row r="190" spans="2:61" x14ac:dyDescent="0.25">
      <c r="B190" s="312">
        <v>183</v>
      </c>
      <c r="C190" s="312" t="s">
        <v>829</v>
      </c>
      <c r="D190" s="312"/>
      <c r="E190" s="312">
        <v>5</v>
      </c>
      <c r="F190" s="312">
        <v>4</v>
      </c>
      <c r="G190" s="313" t="s">
        <v>139</v>
      </c>
      <c r="H190" s="313"/>
      <c r="I190" s="313">
        <v>3310.9</v>
      </c>
      <c r="J190" s="312">
        <v>3310.9</v>
      </c>
      <c r="K190" s="312">
        <v>0</v>
      </c>
      <c r="L190" s="312">
        <v>0</v>
      </c>
      <c r="M190" s="317"/>
      <c r="N190" s="319">
        <v>0.15959999999999999</v>
      </c>
      <c r="O190" s="319">
        <v>0.1028</v>
      </c>
      <c r="P190" s="319">
        <v>0.33119999999999999</v>
      </c>
      <c r="Q190" s="319">
        <v>7.3400000000000007E-2</v>
      </c>
      <c r="R190" s="319">
        <v>0</v>
      </c>
      <c r="S190" s="319">
        <v>0.44429999999999997</v>
      </c>
      <c r="T190" s="319">
        <v>0</v>
      </c>
      <c r="U190" s="319">
        <v>0.63149999999999995</v>
      </c>
      <c r="V190" s="319">
        <v>0</v>
      </c>
      <c r="W190" s="319">
        <v>0</v>
      </c>
      <c r="X190" s="319">
        <v>0.13139999999999999</v>
      </c>
      <c r="Y190" s="319">
        <v>0</v>
      </c>
      <c r="Z190" s="319">
        <v>1.3366</v>
      </c>
      <c r="AA190" s="319">
        <v>0.21290000000000001</v>
      </c>
      <c r="AB190" s="319">
        <v>0.35599999999999998</v>
      </c>
      <c r="AC190" s="319">
        <v>9.0800000000000006E-2</v>
      </c>
      <c r="AD190" s="319">
        <v>0.10059999999999999</v>
      </c>
      <c r="AE190" s="319">
        <v>0</v>
      </c>
      <c r="AF190" s="319">
        <v>0.15620000000000001</v>
      </c>
      <c r="AG190" s="319">
        <v>3.2800000000000003E-2</v>
      </c>
      <c r="AH190" s="319">
        <v>0</v>
      </c>
      <c r="AI190" s="319">
        <v>1.2810999999999999</v>
      </c>
      <c r="AJ190" s="319">
        <v>0.95830000000000004</v>
      </c>
      <c r="AK190" s="319">
        <v>4.3999999999999997E-2</v>
      </c>
      <c r="AL190" s="319">
        <v>0.44030000000000002</v>
      </c>
      <c r="AM190" s="319">
        <v>6.2100000000000002E-2</v>
      </c>
      <c r="AN190" s="319">
        <v>1.01E-2</v>
      </c>
      <c r="AO190" s="319">
        <v>0.31890000000000002</v>
      </c>
      <c r="AP190" s="319">
        <v>0</v>
      </c>
      <c r="AQ190" s="319">
        <v>0</v>
      </c>
      <c r="AR190" s="319">
        <v>0.36370000000000002</v>
      </c>
      <c r="AS190" s="319">
        <v>0.36370000000000002</v>
      </c>
      <c r="AT190" s="331">
        <v>0.21379999999999999</v>
      </c>
      <c r="AU190" s="336">
        <v>7.6386000000000003</v>
      </c>
      <c r="AV190" s="329">
        <v>7.6386000000000003</v>
      </c>
      <c r="AW190" s="337">
        <v>4.4901000000000009</v>
      </c>
      <c r="AX190" s="334"/>
      <c r="AY190" s="323">
        <v>6.0152999999999999</v>
      </c>
      <c r="AZ190" s="323">
        <v>6.0152999999999999</v>
      </c>
      <c r="BA190" s="323">
        <v>3.7580999999999993</v>
      </c>
      <c r="BB190" s="319"/>
      <c r="BC190" s="321">
        <f t="shared" si="12"/>
        <v>1.2698618522766945</v>
      </c>
      <c r="BD190" s="321">
        <f t="shared" si="13"/>
        <v>1.2698618522766945</v>
      </c>
      <c r="BE190" s="321">
        <f t="shared" si="14"/>
        <v>1.1947792767621941</v>
      </c>
      <c r="BG190" s="22">
        <f t="shared" si="15"/>
        <v>-9.4368957093138306E-16</v>
      </c>
      <c r="BH190" s="22">
        <f t="shared" si="16"/>
        <v>0</v>
      </c>
      <c r="BI190" s="22">
        <f t="shared" si="17"/>
        <v>9.1593399531575415E-16</v>
      </c>
    </row>
    <row r="191" spans="2:61" x14ac:dyDescent="0.25">
      <c r="B191" s="312">
        <v>184</v>
      </c>
      <c r="C191" s="312" t="s">
        <v>831</v>
      </c>
      <c r="D191" s="312"/>
      <c r="E191" s="312">
        <v>3</v>
      </c>
      <c r="F191" s="312">
        <v>4</v>
      </c>
      <c r="G191" s="313" t="s">
        <v>45</v>
      </c>
      <c r="H191" s="313"/>
      <c r="I191" s="313">
        <v>1594.8</v>
      </c>
      <c r="J191" s="312">
        <v>1594.8</v>
      </c>
      <c r="K191" s="312">
        <v>0</v>
      </c>
      <c r="L191" s="312">
        <v>0</v>
      </c>
      <c r="M191" s="317"/>
      <c r="N191" s="319">
        <v>0.20200000000000001</v>
      </c>
      <c r="O191" s="319">
        <v>0.14560000000000001</v>
      </c>
      <c r="P191" s="319">
        <v>0.33260000000000001</v>
      </c>
      <c r="Q191" s="319">
        <v>7.6600000000000001E-2</v>
      </c>
      <c r="R191" s="319">
        <v>0</v>
      </c>
      <c r="S191" s="319">
        <v>0.54259999999999997</v>
      </c>
      <c r="T191" s="319">
        <v>0</v>
      </c>
      <c r="U191" s="319">
        <v>0.63149999999999995</v>
      </c>
      <c r="V191" s="319">
        <v>0</v>
      </c>
      <c r="W191" s="319">
        <v>0</v>
      </c>
      <c r="X191" s="319">
        <v>0.11899999999999999</v>
      </c>
      <c r="Y191" s="319">
        <v>0</v>
      </c>
      <c r="Z191" s="319">
        <v>1.9488000000000001</v>
      </c>
      <c r="AA191" s="319">
        <v>0.28689999999999999</v>
      </c>
      <c r="AB191" s="319">
        <v>0.51619999999999999</v>
      </c>
      <c r="AC191" s="319">
        <v>8.4900000000000003E-2</v>
      </c>
      <c r="AD191" s="319">
        <v>8.8900000000000007E-2</v>
      </c>
      <c r="AE191" s="319">
        <v>0</v>
      </c>
      <c r="AF191" s="319">
        <v>0.24060000000000001</v>
      </c>
      <c r="AG191" s="319">
        <v>3.3000000000000002E-2</v>
      </c>
      <c r="AH191" s="319">
        <v>0</v>
      </c>
      <c r="AI191" s="319">
        <v>1.843</v>
      </c>
      <c r="AJ191" s="319">
        <v>1.4964</v>
      </c>
      <c r="AK191" s="319">
        <v>0.08</v>
      </c>
      <c r="AL191" s="319">
        <v>0.74450000000000005</v>
      </c>
      <c r="AM191" s="319">
        <v>0.1129</v>
      </c>
      <c r="AN191" s="319">
        <v>1.83E-2</v>
      </c>
      <c r="AO191" s="319">
        <v>0.17199999999999999</v>
      </c>
      <c r="AP191" s="319">
        <v>0</v>
      </c>
      <c r="AQ191" s="319">
        <v>0</v>
      </c>
      <c r="AR191" s="319">
        <v>0.48580000000000001</v>
      </c>
      <c r="AS191" s="319">
        <v>0.48580000000000001</v>
      </c>
      <c r="AT191" s="331">
        <v>0.27300000000000002</v>
      </c>
      <c r="AU191" s="336">
        <v>10.2021</v>
      </c>
      <c r="AV191" s="329">
        <v>10.2021</v>
      </c>
      <c r="AW191" s="337">
        <v>5.7333999999999996</v>
      </c>
      <c r="AX191" s="334"/>
      <c r="AY191" s="323">
        <v>8.0336999999999996</v>
      </c>
      <c r="AZ191" s="323">
        <v>8.0336999999999996</v>
      </c>
      <c r="BA191" s="323">
        <v>4.7677000000000005</v>
      </c>
      <c r="BB191" s="319"/>
      <c r="BC191" s="321">
        <f t="shared" si="12"/>
        <v>1.2699129915232086</v>
      </c>
      <c r="BD191" s="321">
        <f t="shared" si="13"/>
        <v>1.2699129915232086</v>
      </c>
      <c r="BE191" s="321">
        <f t="shared" si="14"/>
        <v>1.2025504960463114</v>
      </c>
      <c r="BG191" s="22">
        <f t="shared" si="15"/>
        <v>0</v>
      </c>
      <c r="BH191" s="22">
        <f t="shared" si="16"/>
        <v>0</v>
      </c>
      <c r="BI191" s="22">
        <f t="shared" si="17"/>
        <v>0</v>
      </c>
    </row>
    <row r="192" spans="2:61" x14ac:dyDescent="0.25">
      <c r="B192" s="312">
        <v>185</v>
      </c>
      <c r="C192" s="312" t="s">
        <v>833</v>
      </c>
      <c r="D192" s="312" t="s">
        <v>394</v>
      </c>
      <c r="E192" s="312">
        <v>2</v>
      </c>
      <c r="F192" s="312">
        <v>1</v>
      </c>
      <c r="G192" s="313" t="s">
        <v>30</v>
      </c>
      <c r="H192" s="313"/>
      <c r="I192" s="313">
        <v>342.2</v>
      </c>
      <c r="J192" s="312">
        <v>342.2</v>
      </c>
      <c r="K192" s="312">
        <v>0</v>
      </c>
      <c r="L192" s="312">
        <v>0</v>
      </c>
      <c r="M192" s="317"/>
      <c r="N192" s="319">
        <v>0.24440000000000001</v>
      </c>
      <c r="O192" s="319">
        <v>0.13070000000000001</v>
      </c>
      <c r="P192" s="319">
        <v>0</v>
      </c>
      <c r="Q192" s="319">
        <v>0</v>
      </c>
      <c r="R192" s="319">
        <v>0</v>
      </c>
      <c r="S192" s="319">
        <v>0.37080000000000002</v>
      </c>
      <c r="T192" s="319">
        <v>0</v>
      </c>
      <c r="U192" s="319">
        <v>0.61070000000000002</v>
      </c>
      <c r="V192" s="319">
        <v>0</v>
      </c>
      <c r="W192" s="319">
        <v>0</v>
      </c>
      <c r="X192" s="319">
        <v>9.2399999999999996E-2</v>
      </c>
      <c r="Y192" s="319">
        <v>0</v>
      </c>
      <c r="Z192" s="319">
        <v>1.4885999999999999</v>
      </c>
      <c r="AA192" s="319">
        <v>0.3145</v>
      </c>
      <c r="AB192" s="319">
        <v>0.13789999999999999</v>
      </c>
      <c r="AC192" s="319">
        <v>0</v>
      </c>
      <c r="AD192" s="319">
        <v>0</v>
      </c>
      <c r="AE192" s="319">
        <v>0</v>
      </c>
      <c r="AF192" s="319">
        <v>5.1900000000000002E-2</v>
      </c>
      <c r="AG192" s="319">
        <v>4.1099999999999998E-2</v>
      </c>
      <c r="AH192" s="319">
        <v>0</v>
      </c>
      <c r="AI192" s="319">
        <v>3.0097</v>
      </c>
      <c r="AJ192" s="319">
        <v>1.1303000000000001</v>
      </c>
      <c r="AK192" s="319">
        <v>0.26779999999999998</v>
      </c>
      <c r="AL192" s="319">
        <v>1.1653</v>
      </c>
      <c r="AM192" s="319">
        <v>0.104</v>
      </c>
      <c r="AN192" s="319">
        <v>1.6899999999999998E-2</v>
      </c>
      <c r="AO192" s="319">
        <v>0.40839999999999999</v>
      </c>
      <c r="AP192" s="319">
        <v>0</v>
      </c>
      <c r="AQ192" s="319">
        <v>0</v>
      </c>
      <c r="AR192" s="319">
        <v>0.4793</v>
      </c>
      <c r="AS192" s="319">
        <v>0.4793</v>
      </c>
      <c r="AT192" s="331">
        <v>0.19359999999999999</v>
      </c>
      <c r="AU192" s="336">
        <v>10.064699999999998</v>
      </c>
      <c r="AV192" s="329">
        <v>10.064699999999998</v>
      </c>
      <c r="AW192" s="337">
        <v>4.065299999999997</v>
      </c>
      <c r="AX192" s="334"/>
      <c r="AY192" s="323">
        <v>7.9253999999999998</v>
      </c>
      <c r="AZ192" s="323">
        <v>7.9253999999999998</v>
      </c>
      <c r="BA192" s="323">
        <v>3.851</v>
      </c>
      <c r="BB192" s="319"/>
      <c r="BC192" s="321">
        <f t="shared" si="12"/>
        <v>1.2699295934590051</v>
      </c>
      <c r="BD192" s="321">
        <f t="shared" si="13"/>
        <v>1.2699295934590051</v>
      </c>
      <c r="BE192" s="321">
        <f t="shared" si="14"/>
        <v>1.0556478836665792</v>
      </c>
      <c r="BG192" s="22">
        <f t="shared" si="15"/>
        <v>6.106226635438361E-16</v>
      </c>
      <c r="BH192" s="22">
        <f t="shared" si="16"/>
        <v>-2.0261570199409107E-15</v>
      </c>
      <c r="BI192" s="22">
        <f t="shared" si="17"/>
        <v>-2.9143354396410359E-15</v>
      </c>
    </row>
    <row r="193" spans="2:61" x14ac:dyDescent="0.25">
      <c r="B193" s="312">
        <v>186</v>
      </c>
      <c r="C193" s="312" t="s">
        <v>836</v>
      </c>
      <c r="D193" s="312" t="s">
        <v>394</v>
      </c>
      <c r="E193" s="312">
        <v>5</v>
      </c>
      <c r="F193" s="312">
        <v>3</v>
      </c>
      <c r="G193" s="313" t="s">
        <v>141</v>
      </c>
      <c r="H193" s="313"/>
      <c r="I193" s="313">
        <v>2462.1</v>
      </c>
      <c r="J193" s="312">
        <v>2462.1</v>
      </c>
      <c r="K193" s="312">
        <v>0</v>
      </c>
      <c r="L193" s="312">
        <v>0</v>
      </c>
      <c r="M193" s="317"/>
      <c r="N193" s="319">
        <v>0.15160000000000001</v>
      </c>
      <c r="O193" s="319">
        <v>7.8299999999999995E-2</v>
      </c>
      <c r="P193" s="319">
        <v>0.3201</v>
      </c>
      <c r="Q193" s="319">
        <v>0</v>
      </c>
      <c r="R193" s="319">
        <v>4.0599999999999997E-2</v>
      </c>
      <c r="S193" s="319">
        <v>0.39560000000000001</v>
      </c>
      <c r="T193" s="319">
        <v>0</v>
      </c>
      <c r="U193" s="319">
        <v>0.62080000000000002</v>
      </c>
      <c r="V193" s="319">
        <v>0</v>
      </c>
      <c r="W193" s="319">
        <v>0</v>
      </c>
      <c r="X193" s="319">
        <v>0.43359999999999999</v>
      </c>
      <c r="Y193" s="319">
        <v>0</v>
      </c>
      <c r="Z193" s="319">
        <v>1.9492</v>
      </c>
      <c r="AA193" s="319">
        <v>0.20050000000000001</v>
      </c>
      <c r="AB193" s="319">
        <v>0.27779999999999999</v>
      </c>
      <c r="AC193" s="319">
        <v>8.5699999999999998E-2</v>
      </c>
      <c r="AD193" s="319">
        <v>0</v>
      </c>
      <c r="AE193" s="319">
        <v>7.8899999999999998E-2</v>
      </c>
      <c r="AF193" s="319">
        <v>0.13719999999999999</v>
      </c>
      <c r="AG193" s="319">
        <v>3.5099999999999999E-2</v>
      </c>
      <c r="AH193" s="319">
        <v>0</v>
      </c>
      <c r="AI193" s="319">
        <v>2.044</v>
      </c>
      <c r="AJ193" s="319">
        <v>1.0837000000000001</v>
      </c>
      <c r="AK193" s="319">
        <v>8.1600000000000006E-2</v>
      </c>
      <c r="AL193" s="319">
        <v>0.44369999999999998</v>
      </c>
      <c r="AM193" s="319">
        <v>5.5899999999999998E-2</v>
      </c>
      <c r="AN193" s="319">
        <v>9.1000000000000004E-3</v>
      </c>
      <c r="AO193" s="319">
        <v>0.52129999999999999</v>
      </c>
      <c r="AP193" s="319">
        <v>0</v>
      </c>
      <c r="AQ193" s="319">
        <v>0</v>
      </c>
      <c r="AR193" s="319">
        <v>0.45219999999999999</v>
      </c>
      <c r="AS193" s="319">
        <v>0.45219999999999999</v>
      </c>
      <c r="AT193" s="331">
        <v>0.24759999999999999</v>
      </c>
      <c r="AU193" s="336">
        <v>9.4964999999999993</v>
      </c>
      <c r="AV193" s="329">
        <v>9.4964999999999993</v>
      </c>
      <c r="AW193" s="337">
        <v>5.1991999999999994</v>
      </c>
      <c r="AX193" s="334"/>
      <c r="AY193" s="323">
        <v>7.5612000000000013</v>
      </c>
      <c r="AZ193" s="323">
        <v>7.5612000000000013</v>
      </c>
      <c r="BA193" s="323">
        <v>4.3641000000000005</v>
      </c>
      <c r="BB193" s="319"/>
      <c r="BC193" s="321">
        <f t="shared" si="12"/>
        <v>1.2559514362799553</v>
      </c>
      <c r="BD193" s="321">
        <f t="shared" si="13"/>
        <v>1.2559514362799553</v>
      </c>
      <c r="BE193" s="321">
        <f t="shared" si="14"/>
        <v>1.1913567516784671</v>
      </c>
      <c r="BG193" s="22">
        <f t="shared" si="15"/>
        <v>-1.4988010832439613E-15</v>
      </c>
      <c r="BH193" s="22">
        <f t="shared" si="16"/>
        <v>-3.8857805861880479E-16</v>
      </c>
      <c r="BI193" s="22">
        <f t="shared" si="17"/>
        <v>-1.27675647831893E-15</v>
      </c>
    </row>
    <row r="194" spans="2:61" x14ac:dyDescent="0.25">
      <c r="B194" s="312">
        <v>187</v>
      </c>
      <c r="C194" s="312" t="s">
        <v>838</v>
      </c>
      <c r="D194" s="312" t="s">
        <v>394</v>
      </c>
      <c r="E194" s="312">
        <v>5</v>
      </c>
      <c r="F194" s="312">
        <v>2</v>
      </c>
      <c r="G194" s="313" t="s">
        <v>142</v>
      </c>
      <c r="H194" s="313"/>
      <c r="I194" s="313">
        <v>1508.5</v>
      </c>
      <c r="J194" s="312">
        <v>1508.5</v>
      </c>
      <c r="K194" s="312">
        <v>0</v>
      </c>
      <c r="L194" s="312">
        <v>0</v>
      </c>
      <c r="M194" s="317"/>
      <c r="N194" s="319">
        <v>0.1681</v>
      </c>
      <c r="O194" s="319">
        <v>8.6900000000000005E-2</v>
      </c>
      <c r="P194" s="319">
        <v>0.31419999999999998</v>
      </c>
      <c r="Q194" s="319">
        <v>0</v>
      </c>
      <c r="R194" s="319">
        <v>2.8500000000000001E-2</v>
      </c>
      <c r="S194" s="319">
        <v>0.33029999999999998</v>
      </c>
      <c r="T194" s="319">
        <v>0</v>
      </c>
      <c r="U194" s="319">
        <v>0.62080000000000002</v>
      </c>
      <c r="V194" s="319">
        <v>0</v>
      </c>
      <c r="W194" s="319">
        <v>0</v>
      </c>
      <c r="X194" s="319">
        <v>0.4718</v>
      </c>
      <c r="Y194" s="319">
        <v>0</v>
      </c>
      <c r="Z194" s="319">
        <v>1.6285000000000001</v>
      </c>
      <c r="AA194" s="319">
        <v>0.22389999999999999</v>
      </c>
      <c r="AB194" s="319">
        <v>0.30809999999999998</v>
      </c>
      <c r="AC194" s="319">
        <v>8.5000000000000006E-2</v>
      </c>
      <c r="AD194" s="319">
        <v>0</v>
      </c>
      <c r="AE194" s="319">
        <v>5.5399999999999998E-2</v>
      </c>
      <c r="AF194" s="319">
        <v>0.1162</v>
      </c>
      <c r="AG194" s="319">
        <v>3.5999999999999997E-2</v>
      </c>
      <c r="AH194" s="319">
        <v>0</v>
      </c>
      <c r="AI194" s="319">
        <v>2.8871000000000002</v>
      </c>
      <c r="AJ194" s="319">
        <v>1.1234999999999999</v>
      </c>
      <c r="AK194" s="319">
        <v>9.2700000000000005E-2</v>
      </c>
      <c r="AL194" s="319">
        <v>0.75070000000000003</v>
      </c>
      <c r="AM194" s="319">
        <v>5.8200000000000002E-2</v>
      </c>
      <c r="AN194" s="319">
        <v>9.4000000000000004E-3</v>
      </c>
      <c r="AO194" s="319">
        <v>0.18179999999999999</v>
      </c>
      <c r="AP194" s="319">
        <v>0</v>
      </c>
      <c r="AQ194" s="319">
        <v>0</v>
      </c>
      <c r="AR194" s="319">
        <v>0.47889999999999999</v>
      </c>
      <c r="AS194" s="319">
        <v>0.47889999999999999</v>
      </c>
      <c r="AT194" s="331">
        <v>0.23169999999999999</v>
      </c>
      <c r="AU194" s="336">
        <v>10.055999999999999</v>
      </c>
      <c r="AV194" s="329">
        <v>10.055999999999999</v>
      </c>
      <c r="AW194" s="337">
        <v>4.8656999999999986</v>
      </c>
      <c r="AX194" s="334"/>
      <c r="AY194" s="323">
        <v>7.9184999999999999</v>
      </c>
      <c r="AZ194" s="323">
        <v>7.9184999999999999</v>
      </c>
      <c r="BA194" s="323">
        <v>4.2965999999999989</v>
      </c>
      <c r="BB194" s="319"/>
      <c r="BC194" s="321">
        <f t="shared" si="12"/>
        <v>1.2699374881606365</v>
      </c>
      <c r="BD194" s="321">
        <f t="shared" si="13"/>
        <v>1.2699374881606365</v>
      </c>
      <c r="BE194" s="321">
        <f t="shared" si="14"/>
        <v>1.1324535679374388</v>
      </c>
      <c r="BG194" s="22">
        <f t="shared" si="15"/>
        <v>2.55351295663786E-15</v>
      </c>
      <c r="BH194" s="22">
        <f t="shared" si="16"/>
        <v>0</v>
      </c>
      <c r="BI194" s="22">
        <f t="shared" si="17"/>
        <v>-9.4368957093138306E-16</v>
      </c>
    </row>
    <row r="195" spans="2:61" x14ac:dyDescent="0.25">
      <c r="B195" s="312">
        <v>188</v>
      </c>
      <c r="C195" s="312" t="s">
        <v>840</v>
      </c>
      <c r="D195" s="312" t="s">
        <v>394</v>
      </c>
      <c r="E195" s="312">
        <v>2</v>
      </c>
      <c r="F195" s="312">
        <v>2</v>
      </c>
      <c r="G195" s="313" t="s">
        <v>31</v>
      </c>
      <c r="H195" s="313"/>
      <c r="I195" s="313">
        <v>620.9</v>
      </c>
      <c r="J195" s="312">
        <v>620.9</v>
      </c>
      <c r="K195" s="312">
        <v>0</v>
      </c>
      <c r="L195" s="312">
        <v>0</v>
      </c>
      <c r="M195" s="317"/>
      <c r="N195" s="319">
        <v>0.23419999999999999</v>
      </c>
      <c r="O195" s="319">
        <v>0.14810000000000001</v>
      </c>
      <c r="P195" s="319">
        <v>0</v>
      </c>
      <c r="Q195" s="319">
        <v>0</v>
      </c>
      <c r="R195" s="319">
        <v>0</v>
      </c>
      <c r="S195" s="319">
        <v>0.46889999999999998</v>
      </c>
      <c r="T195" s="319">
        <v>0</v>
      </c>
      <c r="U195" s="319">
        <v>0.61070000000000002</v>
      </c>
      <c r="V195" s="319">
        <v>0</v>
      </c>
      <c r="W195" s="319">
        <v>0</v>
      </c>
      <c r="X195" s="319">
        <v>0.30570000000000003</v>
      </c>
      <c r="Y195" s="319">
        <v>0</v>
      </c>
      <c r="Z195" s="319">
        <v>1.8075000000000001</v>
      </c>
      <c r="AA195" s="319">
        <v>0.26369999999999999</v>
      </c>
      <c r="AB195" s="319">
        <v>0.32529999999999998</v>
      </c>
      <c r="AC195" s="319">
        <v>0</v>
      </c>
      <c r="AD195" s="319">
        <v>0</v>
      </c>
      <c r="AE195" s="319">
        <v>0</v>
      </c>
      <c r="AF195" s="319">
        <v>9.1999999999999998E-2</v>
      </c>
      <c r="AG195" s="319">
        <v>4.1399999999999999E-2</v>
      </c>
      <c r="AH195" s="319">
        <v>0</v>
      </c>
      <c r="AI195" s="319">
        <v>3.3967000000000001</v>
      </c>
      <c r="AJ195" s="319">
        <v>0.54969999999999997</v>
      </c>
      <c r="AK195" s="319">
        <v>0</v>
      </c>
      <c r="AL195" s="319">
        <v>1.0062</v>
      </c>
      <c r="AM195" s="319">
        <v>0</v>
      </c>
      <c r="AN195" s="319">
        <v>0</v>
      </c>
      <c r="AO195" s="319">
        <v>0.33339999999999997</v>
      </c>
      <c r="AP195" s="319">
        <v>0</v>
      </c>
      <c r="AQ195" s="319">
        <v>0</v>
      </c>
      <c r="AR195" s="319">
        <v>0.47920000000000001</v>
      </c>
      <c r="AS195" s="319">
        <v>0.47920000000000001</v>
      </c>
      <c r="AT195" s="331">
        <v>0.21490000000000001</v>
      </c>
      <c r="AU195" s="336">
        <v>10.0627</v>
      </c>
      <c r="AV195" s="329">
        <v>10.0627</v>
      </c>
      <c r="AW195" s="337">
        <v>4.5124000000000004</v>
      </c>
      <c r="AX195" s="334"/>
      <c r="AY195" s="323">
        <v>7.9239999999999995</v>
      </c>
      <c r="AZ195" s="323">
        <v>7.9239999999999995</v>
      </c>
      <c r="BA195" s="323">
        <v>4.164699999999999</v>
      </c>
      <c r="BB195" s="319"/>
      <c r="BC195" s="321">
        <f t="shared" si="12"/>
        <v>1.2699015648662293</v>
      </c>
      <c r="BD195" s="321">
        <f t="shared" si="13"/>
        <v>1.2699015648662293</v>
      </c>
      <c r="BE195" s="321">
        <f t="shared" si="14"/>
        <v>1.0834874060556587</v>
      </c>
      <c r="BG195" s="22">
        <f t="shared" si="15"/>
        <v>8.8817841970012523E-16</v>
      </c>
      <c r="BH195" s="22">
        <f t="shared" si="16"/>
        <v>0</v>
      </c>
      <c r="BI195" s="22">
        <f t="shared" si="17"/>
        <v>0</v>
      </c>
    </row>
    <row r="196" spans="2:61" x14ac:dyDescent="0.25">
      <c r="B196" s="312">
        <v>189</v>
      </c>
      <c r="C196" s="312" t="s">
        <v>842</v>
      </c>
      <c r="D196" s="312" t="s">
        <v>394</v>
      </c>
      <c r="E196" s="312">
        <v>2</v>
      </c>
      <c r="F196" s="312">
        <v>1</v>
      </c>
      <c r="G196" s="313" t="s">
        <v>32</v>
      </c>
      <c r="H196" s="313"/>
      <c r="I196" s="313">
        <v>263.10000000000002</v>
      </c>
      <c r="J196" s="312">
        <v>263.10000000000002</v>
      </c>
      <c r="K196" s="312">
        <v>0</v>
      </c>
      <c r="L196" s="312">
        <v>0</v>
      </c>
      <c r="M196" s="317"/>
      <c r="N196" s="319">
        <v>0.27639999999999998</v>
      </c>
      <c r="O196" s="319">
        <v>0.17</v>
      </c>
      <c r="P196" s="319">
        <v>0</v>
      </c>
      <c r="Q196" s="319">
        <v>0</v>
      </c>
      <c r="R196" s="319">
        <v>0</v>
      </c>
      <c r="S196" s="319">
        <v>0.48220000000000002</v>
      </c>
      <c r="T196" s="319">
        <v>0</v>
      </c>
      <c r="U196" s="319">
        <v>0.61070000000000002</v>
      </c>
      <c r="V196" s="319">
        <v>0</v>
      </c>
      <c r="W196" s="319">
        <v>0</v>
      </c>
      <c r="X196" s="319">
        <v>0.1202</v>
      </c>
      <c r="Y196" s="319">
        <v>0</v>
      </c>
      <c r="Z196" s="319">
        <v>1.2295</v>
      </c>
      <c r="AA196" s="319">
        <v>0.35360000000000003</v>
      </c>
      <c r="AB196" s="319">
        <v>0.27200000000000002</v>
      </c>
      <c r="AC196" s="319">
        <v>0</v>
      </c>
      <c r="AD196" s="319">
        <v>0</v>
      </c>
      <c r="AE196" s="319">
        <v>0</v>
      </c>
      <c r="AF196" s="319">
        <v>6.8599999999999994E-2</v>
      </c>
      <c r="AG196" s="319">
        <v>4.5400000000000003E-2</v>
      </c>
      <c r="AH196" s="319">
        <v>0</v>
      </c>
      <c r="AI196" s="319">
        <v>3.1284999999999998</v>
      </c>
      <c r="AJ196" s="319">
        <v>1.3148</v>
      </c>
      <c r="AK196" s="319">
        <v>0</v>
      </c>
      <c r="AL196" s="319">
        <v>1.4065000000000001</v>
      </c>
      <c r="AM196" s="319">
        <v>0</v>
      </c>
      <c r="AN196" s="319">
        <v>0</v>
      </c>
      <c r="AO196" s="319">
        <v>0.13769999999999999</v>
      </c>
      <c r="AP196" s="319">
        <v>0</v>
      </c>
      <c r="AQ196" s="319">
        <v>0</v>
      </c>
      <c r="AR196" s="319">
        <v>0.48080000000000001</v>
      </c>
      <c r="AS196" s="319">
        <v>0.48080000000000001</v>
      </c>
      <c r="AT196" s="331">
        <v>0.18140000000000001</v>
      </c>
      <c r="AU196" s="336">
        <v>10.0969</v>
      </c>
      <c r="AV196" s="329">
        <v>10.0969</v>
      </c>
      <c r="AW196" s="337">
        <v>3.8099999999999996</v>
      </c>
      <c r="AX196" s="334"/>
      <c r="AY196" s="323">
        <v>7.9509999999999996</v>
      </c>
      <c r="AZ196" s="323">
        <v>7.9509999999999996</v>
      </c>
      <c r="BA196" s="323">
        <v>3.9138999999999999</v>
      </c>
      <c r="BB196" s="319"/>
      <c r="BC196" s="321">
        <f t="shared" si="12"/>
        <v>1.2698905798012829</v>
      </c>
      <c r="BD196" s="321">
        <f t="shared" si="13"/>
        <v>1.2698905798012829</v>
      </c>
      <c r="BE196" s="321">
        <f t="shared" si="14"/>
        <v>0.97345358849229657</v>
      </c>
      <c r="BG196" s="22">
        <f t="shared" si="15"/>
        <v>-1.4988010832439613E-15</v>
      </c>
      <c r="BH196" s="22">
        <f t="shared" si="16"/>
        <v>-7.7715611723760958E-16</v>
      </c>
      <c r="BI196" s="22">
        <f t="shared" si="17"/>
        <v>-7.7715611723760958E-16</v>
      </c>
    </row>
    <row r="197" spans="2:61" x14ac:dyDescent="0.25">
      <c r="B197" s="312">
        <v>190</v>
      </c>
      <c r="C197" s="312" t="s">
        <v>844</v>
      </c>
      <c r="D197" s="312" t="s">
        <v>395</v>
      </c>
      <c r="E197" s="312">
        <v>2</v>
      </c>
      <c r="F197" s="312">
        <v>3</v>
      </c>
      <c r="G197" s="313" t="s">
        <v>33</v>
      </c>
      <c r="H197" s="313"/>
      <c r="I197" s="313">
        <v>928.5</v>
      </c>
      <c r="J197" s="312">
        <v>928.5</v>
      </c>
      <c r="K197" s="312">
        <v>0</v>
      </c>
      <c r="L197" s="312">
        <v>0</v>
      </c>
      <c r="M197" s="317"/>
      <c r="N197" s="319">
        <v>0.15659999999999999</v>
      </c>
      <c r="O197" s="319">
        <v>9.9000000000000005E-2</v>
      </c>
      <c r="P197" s="319">
        <v>0</v>
      </c>
      <c r="Q197" s="319">
        <v>0</v>
      </c>
      <c r="R197" s="319">
        <v>0</v>
      </c>
      <c r="S197" s="319">
        <v>0.58740000000000003</v>
      </c>
      <c r="T197" s="319">
        <v>0</v>
      </c>
      <c r="U197" s="319">
        <v>0.61070000000000002</v>
      </c>
      <c r="V197" s="319">
        <v>0</v>
      </c>
      <c r="W197" s="319">
        <v>0</v>
      </c>
      <c r="X197" s="319">
        <v>0.4088</v>
      </c>
      <c r="Y197" s="319">
        <v>0</v>
      </c>
      <c r="Z197" s="319">
        <v>1.4144000000000001</v>
      </c>
      <c r="AA197" s="319">
        <v>0.2034</v>
      </c>
      <c r="AB197" s="319">
        <v>0.33329999999999999</v>
      </c>
      <c r="AC197" s="319">
        <v>0</v>
      </c>
      <c r="AD197" s="319">
        <v>0</v>
      </c>
      <c r="AE197" s="319">
        <v>0</v>
      </c>
      <c r="AF197" s="319">
        <v>0.14449999999999999</v>
      </c>
      <c r="AG197" s="319">
        <v>4.4299999999999999E-2</v>
      </c>
      <c r="AH197" s="319">
        <v>0</v>
      </c>
      <c r="AI197" s="319">
        <v>3.4024000000000001</v>
      </c>
      <c r="AJ197" s="319">
        <v>1.2486999999999999</v>
      </c>
      <c r="AK197" s="319">
        <v>0.1188</v>
      </c>
      <c r="AL197" s="319">
        <v>0.96499999999999997</v>
      </c>
      <c r="AM197" s="319">
        <v>0.1678</v>
      </c>
      <c r="AN197" s="319">
        <v>2.7199999999999998E-2</v>
      </c>
      <c r="AO197" s="319">
        <v>0.41810000000000003</v>
      </c>
      <c r="AP197" s="319">
        <v>0</v>
      </c>
      <c r="AQ197" s="319">
        <v>0</v>
      </c>
      <c r="AR197" s="319">
        <v>0.51749999999999996</v>
      </c>
      <c r="AS197" s="319">
        <v>0.51749999999999996</v>
      </c>
      <c r="AT197" s="331">
        <v>0.21579999999999999</v>
      </c>
      <c r="AU197" s="336">
        <v>10.867900000000001</v>
      </c>
      <c r="AV197" s="329">
        <v>10.867900000000001</v>
      </c>
      <c r="AW197" s="337">
        <v>4.532</v>
      </c>
      <c r="AX197" s="334"/>
      <c r="AY197" s="323">
        <v>8.5578000000000003</v>
      </c>
      <c r="AZ197" s="323">
        <v>8.5578000000000003</v>
      </c>
      <c r="BA197" s="323">
        <v>4.1259999999999994</v>
      </c>
      <c r="BB197" s="319"/>
      <c r="BC197" s="321">
        <f t="shared" si="12"/>
        <v>1.2699408726541868</v>
      </c>
      <c r="BD197" s="321">
        <f t="shared" si="13"/>
        <v>1.2699408726541868</v>
      </c>
      <c r="BE197" s="321">
        <f t="shared" si="14"/>
        <v>1.0984003877847797</v>
      </c>
      <c r="BG197" s="22">
        <f t="shared" si="15"/>
        <v>1.2212453270876722E-15</v>
      </c>
      <c r="BH197" s="22">
        <f t="shared" si="16"/>
        <v>0</v>
      </c>
      <c r="BI197" s="22">
        <f t="shared" si="17"/>
        <v>1.0547118733938987E-15</v>
      </c>
    </row>
    <row r="198" spans="2:61" x14ac:dyDescent="0.25">
      <c r="B198" s="312">
        <v>191</v>
      </c>
      <c r="C198" s="312" t="s">
        <v>847</v>
      </c>
      <c r="D198" s="312" t="s">
        <v>395</v>
      </c>
      <c r="E198" s="312">
        <v>2</v>
      </c>
      <c r="F198" s="312">
        <v>3</v>
      </c>
      <c r="G198" s="313" t="s">
        <v>34</v>
      </c>
      <c r="H198" s="313"/>
      <c r="I198" s="313">
        <v>930</v>
      </c>
      <c r="J198" s="312">
        <v>930</v>
      </c>
      <c r="K198" s="312">
        <v>0</v>
      </c>
      <c r="L198" s="312">
        <v>0</v>
      </c>
      <c r="M198" s="317"/>
      <c r="N198" s="319">
        <v>0.15640000000000001</v>
      </c>
      <c r="O198" s="319">
        <v>9.8900000000000002E-2</v>
      </c>
      <c r="P198" s="319">
        <v>0.34329999999999999</v>
      </c>
      <c r="Q198" s="319">
        <v>7.3499999999999996E-2</v>
      </c>
      <c r="R198" s="319">
        <v>0</v>
      </c>
      <c r="S198" s="319">
        <v>0.58640000000000003</v>
      </c>
      <c r="T198" s="319">
        <v>0</v>
      </c>
      <c r="U198" s="319">
        <v>0.63149999999999995</v>
      </c>
      <c r="V198" s="319">
        <v>0</v>
      </c>
      <c r="W198" s="319">
        <v>0</v>
      </c>
      <c r="X198" s="319">
        <v>0.13600000000000001</v>
      </c>
      <c r="Y198" s="319">
        <v>0</v>
      </c>
      <c r="Z198" s="319">
        <v>1.1095999999999999</v>
      </c>
      <c r="AA198" s="319">
        <v>0.2031</v>
      </c>
      <c r="AB198" s="319">
        <v>0.33279999999999998</v>
      </c>
      <c r="AC198" s="319">
        <v>8.3299999999999999E-2</v>
      </c>
      <c r="AD198" s="319">
        <v>0.13700000000000001</v>
      </c>
      <c r="AE198" s="319">
        <v>0</v>
      </c>
      <c r="AF198" s="319">
        <v>0.14430000000000001</v>
      </c>
      <c r="AG198" s="319">
        <v>4.4200000000000003E-2</v>
      </c>
      <c r="AH198" s="319">
        <v>0</v>
      </c>
      <c r="AI198" s="319">
        <v>3.3279999999999998</v>
      </c>
      <c r="AJ198" s="319">
        <v>1.1202000000000001</v>
      </c>
      <c r="AK198" s="319">
        <v>0.1227</v>
      </c>
      <c r="AL198" s="319">
        <v>0.96020000000000005</v>
      </c>
      <c r="AM198" s="319">
        <v>0.17330000000000001</v>
      </c>
      <c r="AN198" s="319">
        <v>2.81E-2</v>
      </c>
      <c r="AO198" s="319">
        <v>0.25600000000000001</v>
      </c>
      <c r="AP198" s="319">
        <v>0</v>
      </c>
      <c r="AQ198" s="319">
        <v>0</v>
      </c>
      <c r="AR198" s="319">
        <v>0.50339999999999996</v>
      </c>
      <c r="AS198" s="319">
        <v>0.50339999999999996</v>
      </c>
      <c r="AT198" s="331">
        <v>0.22020000000000001</v>
      </c>
      <c r="AU198" s="336">
        <v>10.5722</v>
      </c>
      <c r="AV198" s="329">
        <v>10.5722</v>
      </c>
      <c r="AW198" s="337">
        <v>4.6246000000000009</v>
      </c>
      <c r="AX198" s="334"/>
      <c r="AY198" s="323">
        <v>8.3252000000000006</v>
      </c>
      <c r="AZ198" s="323">
        <v>8.3252000000000006</v>
      </c>
      <c r="BA198" s="323">
        <v>4.2561000000000018</v>
      </c>
      <c r="BB198" s="319"/>
      <c r="BC198" s="321">
        <f t="shared" si="12"/>
        <v>1.2699034257435255</v>
      </c>
      <c r="BD198" s="321">
        <f t="shared" si="13"/>
        <v>1.2699034257435255</v>
      </c>
      <c r="BE198" s="321">
        <f t="shared" si="14"/>
        <v>1.0865816122741474</v>
      </c>
      <c r="BG198" s="22">
        <f t="shared" si="15"/>
        <v>1.9984014443252818E-15</v>
      </c>
      <c r="BH198" s="22">
        <f t="shared" si="16"/>
        <v>1.0269562977782698E-15</v>
      </c>
      <c r="BI198" s="22">
        <f t="shared" si="17"/>
        <v>0</v>
      </c>
    </row>
    <row r="199" spans="2:61" x14ac:dyDescent="0.25">
      <c r="B199" s="312">
        <v>192</v>
      </c>
      <c r="C199" s="312" t="s">
        <v>849</v>
      </c>
      <c r="D199" s="312"/>
      <c r="E199" s="312">
        <v>1</v>
      </c>
      <c r="F199" s="312">
        <v>0</v>
      </c>
      <c r="G199" s="313" t="s">
        <v>6</v>
      </c>
      <c r="H199" s="313"/>
      <c r="I199" s="313">
        <v>171.1</v>
      </c>
      <c r="J199" s="312">
        <v>171.1</v>
      </c>
      <c r="K199" s="312">
        <v>0</v>
      </c>
      <c r="L199" s="312">
        <v>0</v>
      </c>
      <c r="M199" s="317"/>
      <c r="N199" s="319">
        <v>0</v>
      </c>
      <c r="O199" s="319">
        <v>0</v>
      </c>
      <c r="P199" s="319">
        <v>0</v>
      </c>
      <c r="Q199" s="319">
        <v>0</v>
      </c>
      <c r="R199" s="319">
        <v>0</v>
      </c>
      <c r="S199" s="319">
        <v>0</v>
      </c>
      <c r="T199" s="319">
        <v>0</v>
      </c>
      <c r="U199" s="319">
        <v>0</v>
      </c>
      <c r="V199" s="319">
        <v>0</v>
      </c>
      <c r="W199" s="319">
        <v>0</v>
      </c>
      <c r="X199" s="319">
        <v>0.36969999999999997</v>
      </c>
      <c r="Y199" s="319">
        <v>0</v>
      </c>
      <c r="Z199" s="319">
        <v>1.7537</v>
      </c>
      <c r="AA199" s="319">
        <v>0</v>
      </c>
      <c r="AB199" s="319">
        <v>0</v>
      </c>
      <c r="AC199" s="319">
        <v>0</v>
      </c>
      <c r="AD199" s="319">
        <v>0</v>
      </c>
      <c r="AE199" s="319">
        <v>0</v>
      </c>
      <c r="AF199" s="319">
        <v>0</v>
      </c>
      <c r="AG199" s="319">
        <v>0</v>
      </c>
      <c r="AH199" s="319">
        <v>0</v>
      </c>
      <c r="AI199" s="319">
        <v>0</v>
      </c>
      <c r="AJ199" s="319">
        <v>0</v>
      </c>
      <c r="AK199" s="319">
        <v>0</v>
      </c>
      <c r="AL199" s="319">
        <v>0</v>
      </c>
      <c r="AM199" s="319">
        <v>0</v>
      </c>
      <c r="AN199" s="319">
        <v>0</v>
      </c>
      <c r="AO199" s="319">
        <v>0</v>
      </c>
      <c r="AP199" s="319">
        <v>0</v>
      </c>
      <c r="AQ199" s="319">
        <v>0</v>
      </c>
      <c r="AR199" s="319">
        <v>0.1062</v>
      </c>
      <c r="AS199" s="319">
        <v>0.1062</v>
      </c>
      <c r="AT199" s="331">
        <v>0.1062</v>
      </c>
      <c r="AU199" s="336">
        <v>2.2296</v>
      </c>
      <c r="AV199" s="329">
        <v>2.2296</v>
      </c>
      <c r="AW199" s="337">
        <v>2.2296</v>
      </c>
      <c r="AX199" s="334"/>
      <c r="AY199" s="323">
        <v>1.7557999999999998</v>
      </c>
      <c r="AZ199" s="323">
        <v>1.7557999999999998</v>
      </c>
      <c r="BA199" s="323">
        <v>1.7557999999999998</v>
      </c>
      <c r="BB199" s="319"/>
      <c r="BC199" s="321">
        <f t="shared" si="12"/>
        <v>1.2698485021073016</v>
      </c>
      <c r="BD199" s="321">
        <f t="shared" si="13"/>
        <v>1.2698485021073016</v>
      </c>
      <c r="BE199" s="321">
        <f t="shared" si="14"/>
        <v>1.2698485021073016</v>
      </c>
      <c r="BG199" s="22">
        <f t="shared" si="15"/>
        <v>0</v>
      </c>
      <c r="BH199" s="22">
        <f t="shared" si="16"/>
        <v>1.6653345369377348E-16</v>
      </c>
      <c r="BI199" s="22">
        <f t="shared" si="17"/>
        <v>1.6653345369377348E-16</v>
      </c>
    </row>
    <row r="200" spans="2:61" x14ac:dyDescent="0.25">
      <c r="B200" s="312">
        <v>193</v>
      </c>
      <c r="C200" s="312" t="s">
        <v>851</v>
      </c>
      <c r="D200" s="312" t="s">
        <v>391</v>
      </c>
      <c r="E200" s="312">
        <v>9</v>
      </c>
      <c r="F200" s="312">
        <v>3</v>
      </c>
      <c r="G200" s="313" t="s">
        <v>229</v>
      </c>
      <c r="H200" s="313"/>
      <c r="I200" s="313">
        <v>6015.4000000000005</v>
      </c>
      <c r="J200" s="312">
        <v>104.90000000000055</v>
      </c>
      <c r="K200" s="312">
        <v>5603.4</v>
      </c>
      <c r="L200" s="312">
        <v>307.10000000000002</v>
      </c>
      <c r="M200" s="317"/>
      <c r="N200" s="319">
        <v>0.1305</v>
      </c>
      <c r="O200" s="319">
        <v>9.6100000000000005E-2</v>
      </c>
      <c r="P200" s="319">
        <v>0.3004</v>
      </c>
      <c r="Q200" s="319">
        <v>8.3099999999999993E-2</v>
      </c>
      <c r="R200" s="319">
        <v>2.1899999999999999E-2</v>
      </c>
      <c r="S200" s="319">
        <v>0.25840000000000002</v>
      </c>
      <c r="T200" s="319">
        <v>0</v>
      </c>
      <c r="U200" s="319">
        <v>0.63149999999999995</v>
      </c>
      <c r="V200" s="319">
        <v>1.4423999999999999</v>
      </c>
      <c r="W200" s="319">
        <v>3.2099999999999997E-2</v>
      </c>
      <c r="X200" s="319">
        <v>0.1341</v>
      </c>
      <c r="Y200" s="319">
        <v>0</v>
      </c>
      <c r="Z200" s="319">
        <v>1.8835999999999999</v>
      </c>
      <c r="AA200" s="319">
        <v>0.17630000000000001</v>
      </c>
      <c r="AB200" s="319">
        <v>0.35570000000000002</v>
      </c>
      <c r="AC200" s="319">
        <v>0.1249</v>
      </c>
      <c r="AD200" s="319">
        <v>0.12820000000000001</v>
      </c>
      <c r="AE200" s="319">
        <v>4.2599999999999999E-2</v>
      </c>
      <c r="AF200" s="319">
        <v>0.1023</v>
      </c>
      <c r="AG200" s="319">
        <v>2.5999999999999999E-2</v>
      </c>
      <c r="AH200" s="319">
        <v>0</v>
      </c>
      <c r="AI200" s="319">
        <v>1.2897000000000001</v>
      </c>
      <c r="AJ200" s="319">
        <v>1.5083</v>
      </c>
      <c r="AK200" s="319">
        <v>7.2499999999999995E-2</v>
      </c>
      <c r="AL200" s="319">
        <v>0.309</v>
      </c>
      <c r="AM200" s="319">
        <v>1.35E-2</v>
      </c>
      <c r="AN200" s="319">
        <v>2.2000000000000001E-3</v>
      </c>
      <c r="AO200" s="319">
        <v>0.73170000000000002</v>
      </c>
      <c r="AP200" s="319">
        <v>0.69279999999999997</v>
      </c>
      <c r="AQ200" s="319">
        <v>0</v>
      </c>
      <c r="AR200" s="319">
        <v>0.42109999999999997</v>
      </c>
      <c r="AS200" s="319">
        <v>0.52949999999999997</v>
      </c>
      <c r="AT200" s="331">
        <v>0.22919999999999999</v>
      </c>
      <c r="AU200" s="336">
        <v>8.8435999999999986</v>
      </c>
      <c r="AV200" s="329">
        <v>11.119299999999999</v>
      </c>
      <c r="AW200" s="337">
        <v>4.8129999999999988</v>
      </c>
      <c r="AX200" s="334"/>
      <c r="AY200" s="323">
        <v>7.0419</v>
      </c>
      <c r="AZ200" s="323">
        <v>9.860100000000001</v>
      </c>
      <c r="BA200" s="323">
        <v>3.9860000000000002</v>
      </c>
      <c r="BB200" s="319"/>
      <c r="BC200" s="321">
        <f t="shared" si="12"/>
        <v>1.2558542438830427</v>
      </c>
      <c r="BD200" s="321">
        <f t="shared" si="13"/>
        <v>1.1277066155515663</v>
      </c>
      <c r="BE200" s="321">
        <f t="shared" si="14"/>
        <v>1.2074761665830402</v>
      </c>
      <c r="BG200" s="22">
        <f t="shared" si="15"/>
        <v>-8.3266726846886741E-16</v>
      </c>
      <c r="BH200" s="22">
        <f t="shared" si="16"/>
        <v>-5.5511151231257827E-16</v>
      </c>
      <c r="BI200" s="22">
        <f t="shared" si="17"/>
        <v>0</v>
      </c>
    </row>
    <row r="201" spans="2:61" x14ac:dyDescent="0.25">
      <c r="B201" s="312">
        <v>194</v>
      </c>
      <c r="C201" s="312" t="s">
        <v>854</v>
      </c>
      <c r="D201" s="312" t="s">
        <v>391</v>
      </c>
      <c r="E201" s="312">
        <v>5</v>
      </c>
      <c r="F201" s="312">
        <v>2</v>
      </c>
      <c r="G201" s="313" t="s">
        <v>143</v>
      </c>
      <c r="H201" s="313"/>
      <c r="I201" s="313">
        <v>1715.8</v>
      </c>
      <c r="J201" s="312">
        <v>1715.8</v>
      </c>
      <c r="K201" s="312">
        <v>0</v>
      </c>
      <c r="L201" s="312">
        <v>0</v>
      </c>
      <c r="M201" s="317"/>
      <c r="N201" s="319">
        <v>0.1767</v>
      </c>
      <c r="O201" s="319">
        <v>0.1004</v>
      </c>
      <c r="P201" s="319">
        <v>0.30420000000000003</v>
      </c>
      <c r="Q201" s="319">
        <v>7.2900000000000006E-2</v>
      </c>
      <c r="R201" s="319">
        <v>2.3300000000000001E-2</v>
      </c>
      <c r="S201" s="319">
        <v>0.33950000000000002</v>
      </c>
      <c r="T201" s="319">
        <v>0</v>
      </c>
      <c r="U201" s="319">
        <v>0.63149999999999995</v>
      </c>
      <c r="V201" s="319">
        <v>0</v>
      </c>
      <c r="W201" s="319">
        <v>0</v>
      </c>
      <c r="X201" s="319">
        <v>0.18429999999999999</v>
      </c>
      <c r="Y201" s="319">
        <v>0</v>
      </c>
      <c r="Z201" s="319">
        <v>1.9141999999999999</v>
      </c>
      <c r="AA201" s="319">
        <v>0.23719999999999999</v>
      </c>
      <c r="AB201" s="319">
        <v>0.3599</v>
      </c>
      <c r="AC201" s="319">
        <v>7.3800000000000004E-2</v>
      </c>
      <c r="AD201" s="319">
        <v>0.1046</v>
      </c>
      <c r="AE201" s="319">
        <v>4.53E-2</v>
      </c>
      <c r="AF201" s="319">
        <v>0.11360000000000001</v>
      </c>
      <c r="AG201" s="319">
        <v>3.1899999999999998E-2</v>
      </c>
      <c r="AH201" s="319">
        <v>0</v>
      </c>
      <c r="AI201" s="319">
        <v>2.8203999999999998</v>
      </c>
      <c r="AJ201" s="319">
        <v>0.92989999999999995</v>
      </c>
      <c r="AK201" s="319">
        <v>8.7099999999999997E-2</v>
      </c>
      <c r="AL201" s="319">
        <v>0.55169999999999997</v>
      </c>
      <c r="AM201" s="319">
        <v>5.0900000000000001E-2</v>
      </c>
      <c r="AN201" s="319">
        <v>8.3000000000000001E-3</v>
      </c>
      <c r="AO201" s="319">
        <v>0.12970000000000001</v>
      </c>
      <c r="AP201" s="319">
        <v>0</v>
      </c>
      <c r="AQ201" s="319">
        <v>0</v>
      </c>
      <c r="AR201" s="319">
        <v>0.46460000000000001</v>
      </c>
      <c r="AS201" s="319">
        <v>0.46460000000000001</v>
      </c>
      <c r="AT201" s="331">
        <v>0.24299999999999999</v>
      </c>
      <c r="AU201" s="336">
        <v>9.7559000000000005</v>
      </c>
      <c r="AV201" s="329">
        <v>9.7559000000000005</v>
      </c>
      <c r="AW201" s="337">
        <v>5.1026000000000007</v>
      </c>
      <c r="AX201" s="334"/>
      <c r="AY201" s="323">
        <v>7.6822000000000008</v>
      </c>
      <c r="AZ201" s="323">
        <v>7.6822000000000008</v>
      </c>
      <c r="BA201" s="323">
        <v>4.3861000000000008</v>
      </c>
      <c r="BB201" s="319"/>
      <c r="BC201" s="321">
        <f t="shared" ref="BC201:BC238" si="18">AU201/AY201</f>
        <v>1.2699356955038921</v>
      </c>
      <c r="BD201" s="321">
        <f t="shared" ref="BD201:BD238" si="19">AV201/AZ201</f>
        <v>1.2699356955038921</v>
      </c>
      <c r="BE201" s="321">
        <f t="shared" ref="BE201:BE238" si="20">AW201/BA201</f>
        <v>1.1633569686053669</v>
      </c>
      <c r="BG201" s="22">
        <f t="shared" ref="BG201:BG238" si="21">AU201-N201-O201-P201-Q201-R201-S201-T201-U201-X201-Y201-Z201-AA201-AB201-AC201-AD201-AE201-AF201-AG201-AH201-AI201-AJ201-AK201-AL201-AM201-AN201-AO201-AQ201-AR201</f>
        <v>-1.3322676295501878E-15</v>
      </c>
      <c r="BH201" s="22">
        <f t="shared" ref="BH201:BH238" si="22">AV201-AS201-AQ201-AP201-AO201-AN201-AM201-AL201-AK201-AJ201-AI201-AH201-AG201-AF201-AE201-AD201-AC201-AB201-AA201-Z201-Y201-X201-W201-V201-U201-T201-S201-R201-Q201-P201-O201-N201</f>
        <v>0</v>
      </c>
      <c r="BI201" s="22">
        <f t="shared" ref="BI201:BI238" si="23">AW201-AT201-AQ201-AN201-AM201-AK201-AH201-AG201-AF201-AE201-AD201-AC201-AB201-AA201-Z201-Y201-X201-U201-T201-S201-R201-Q201-P201-O201-N201</f>
        <v>-7.4940054162198066E-16</v>
      </c>
    </row>
    <row r="202" spans="2:61" x14ac:dyDescent="0.25">
      <c r="B202" s="312">
        <v>195</v>
      </c>
      <c r="C202" s="312" t="s">
        <v>856</v>
      </c>
      <c r="D202" s="312" t="s">
        <v>391</v>
      </c>
      <c r="E202" s="312">
        <v>5</v>
      </c>
      <c r="F202" s="312">
        <v>2</v>
      </c>
      <c r="G202" s="313" t="s">
        <v>144</v>
      </c>
      <c r="H202" s="313"/>
      <c r="I202" s="313">
        <v>1715.3</v>
      </c>
      <c r="J202" s="312">
        <v>1715.3</v>
      </c>
      <c r="K202" s="312">
        <v>0</v>
      </c>
      <c r="L202" s="312">
        <v>0</v>
      </c>
      <c r="M202" s="317"/>
      <c r="N202" s="319">
        <v>0.1767</v>
      </c>
      <c r="O202" s="319">
        <v>0.1004</v>
      </c>
      <c r="P202" s="319">
        <v>0.30530000000000002</v>
      </c>
      <c r="Q202" s="319">
        <v>7.2999999999999995E-2</v>
      </c>
      <c r="R202" s="319">
        <v>2.3300000000000001E-2</v>
      </c>
      <c r="S202" s="319">
        <v>0.33960000000000001</v>
      </c>
      <c r="T202" s="319">
        <v>0</v>
      </c>
      <c r="U202" s="319">
        <v>0.63149999999999995</v>
      </c>
      <c r="V202" s="319">
        <v>0</v>
      </c>
      <c r="W202" s="319">
        <v>0</v>
      </c>
      <c r="X202" s="319">
        <v>0.18440000000000001</v>
      </c>
      <c r="Y202" s="319">
        <v>0</v>
      </c>
      <c r="Z202" s="319">
        <v>2.0032000000000001</v>
      </c>
      <c r="AA202" s="319">
        <v>0.23719999999999999</v>
      </c>
      <c r="AB202" s="319">
        <v>0.35599999999999998</v>
      </c>
      <c r="AC202" s="319">
        <v>7.4899999999999994E-2</v>
      </c>
      <c r="AD202" s="319">
        <v>0.1046</v>
      </c>
      <c r="AE202" s="319">
        <v>4.53E-2</v>
      </c>
      <c r="AF202" s="319">
        <v>0.1137</v>
      </c>
      <c r="AG202" s="319">
        <v>3.1899999999999998E-2</v>
      </c>
      <c r="AH202" s="319">
        <v>0</v>
      </c>
      <c r="AI202" s="319">
        <v>2.3643000000000001</v>
      </c>
      <c r="AJ202" s="319">
        <v>0.93010000000000004</v>
      </c>
      <c r="AK202" s="319">
        <v>8.7099999999999997E-2</v>
      </c>
      <c r="AL202" s="319">
        <v>0.76180000000000003</v>
      </c>
      <c r="AM202" s="319">
        <v>5.0999999999999997E-2</v>
      </c>
      <c r="AN202" s="319">
        <v>8.3000000000000001E-3</v>
      </c>
      <c r="AO202" s="319">
        <v>0.66379999999999995</v>
      </c>
      <c r="AP202" s="319">
        <v>0</v>
      </c>
      <c r="AQ202" s="319">
        <v>0</v>
      </c>
      <c r="AR202" s="319">
        <v>0.4834</v>
      </c>
      <c r="AS202" s="319">
        <v>0.4834</v>
      </c>
      <c r="AT202" s="331">
        <v>0.24740000000000001</v>
      </c>
      <c r="AU202" s="336">
        <v>10.150799999999998</v>
      </c>
      <c r="AV202" s="329">
        <v>10.150799999999998</v>
      </c>
      <c r="AW202" s="337">
        <v>5.1947999999999972</v>
      </c>
      <c r="AX202" s="334"/>
      <c r="AY202" s="323">
        <v>7.9932000000000007</v>
      </c>
      <c r="AZ202" s="323">
        <v>7.9932000000000007</v>
      </c>
      <c r="BA202" s="323">
        <v>4.4108000000000001</v>
      </c>
      <c r="BB202" s="319"/>
      <c r="BC202" s="321">
        <f t="shared" si="18"/>
        <v>1.2699294400240202</v>
      </c>
      <c r="BD202" s="321">
        <f t="shared" si="19"/>
        <v>1.2699294400240202</v>
      </c>
      <c r="BE202" s="321">
        <f t="shared" si="20"/>
        <v>1.1777455336900329</v>
      </c>
      <c r="BG202" s="22">
        <f t="shared" si="21"/>
        <v>-5.0515147620444623E-15</v>
      </c>
      <c r="BH202" s="22">
        <f t="shared" si="22"/>
        <v>-2.6367796834847468E-15</v>
      </c>
      <c r="BI202" s="22">
        <f t="shared" si="23"/>
        <v>-3.524958103184872E-15</v>
      </c>
    </row>
    <row r="203" spans="2:61" x14ac:dyDescent="0.25">
      <c r="B203" s="312">
        <v>196</v>
      </c>
      <c r="C203" s="312" t="s">
        <v>858</v>
      </c>
      <c r="D203" s="312" t="s">
        <v>391</v>
      </c>
      <c r="E203" s="312">
        <v>5</v>
      </c>
      <c r="F203" s="312">
        <v>2</v>
      </c>
      <c r="G203" s="313" t="s">
        <v>145</v>
      </c>
      <c r="H203" s="313"/>
      <c r="I203" s="313">
        <v>1701.1</v>
      </c>
      <c r="J203" s="312">
        <v>1701.1</v>
      </c>
      <c r="K203" s="312">
        <v>0</v>
      </c>
      <c r="L203" s="312">
        <v>0</v>
      </c>
      <c r="M203" s="317"/>
      <c r="N203" s="319">
        <v>0.1782</v>
      </c>
      <c r="O203" s="319">
        <v>0.1012</v>
      </c>
      <c r="P203" s="319">
        <v>0.30559999999999998</v>
      </c>
      <c r="Q203" s="319">
        <v>7.2400000000000006E-2</v>
      </c>
      <c r="R203" s="319">
        <v>2.35E-2</v>
      </c>
      <c r="S203" s="319">
        <v>0.34239999999999998</v>
      </c>
      <c r="T203" s="319">
        <v>0</v>
      </c>
      <c r="U203" s="319">
        <v>0.63149999999999995</v>
      </c>
      <c r="V203" s="319">
        <v>0</v>
      </c>
      <c r="W203" s="319">
        <v>0</v>
      </c>
      <c r="X203" s="319">
        <v>0.18590000000000001</v>
      </c>
      <c r="Y203" s="319">
        <v>0</v>
      </c>
      <c r="Z203" s="319">
        <v>1.9795</v>
      </c>
      <c r="AA203" s="319">
        <v>0.2392</v>
      </c>
      <c r="AB203" s="319">
        <v>0.35899999999999999</v>
      </c>
      <c r="AC203" s="319">
        <v>7.51E-2</v>
      </c>
      <c r="AD203" s="319">
        <v>0.1053</v>
      </c>
      <c r="AE203" s="319">
        <v>4.5699999999999998E-2</v>
      </c>
      <c r="AF203" s="319">
        <v>0.11459999999999999</v>
      </c>
      <c r="AG203" s="319">
        <v>3.2099999999999997E-2</v>
      </c>
      <c r="AH203" s="319">
        <v>0</v>
      </c>
      <c r="AI203" s="319">
        <v>2.7761999999999998</v>
      </c>
      <c r="AJ203" s="319">
        <v>0.93789999999999996</v>
      </c>
      <c r="AK203" s="319">
        <v>8.7800000000000003E-2</v>
      </c>
      <c r="AL203" s="319">
        <v>0.55269999999999997</v>
      </c>
      <c r="AM203" s="319">
        <v>5.1400000000000001E-2</v>
      </c>
      <c r="AN203" s="319">
        <v>8.3000000000000001E-3</v>
      </c>
      <c r="AO203" s="319">
        <v>0.46860000000000002</v>
      </c>
      <c r="AP203" s="319">
        <v>0</v>
      </c>
      <c r="AQ203" s="319">
        <v>0</v>
      </c>
      <c r="AR203" s="319">
        <v>0.48370000000000002</v>
      </c>
      <c r="AS203" s="319">
        <v>0.48370000000000002</v>
      </c>
      <c r="AT203" s="331">
        <v>0.24690000000000001</v>
      </c>
      <c r="AU203" s="336">
        <v>10.157799999999998</v>
      </c>
      <c r="AV203" s="329">
        <v>10.157799999999998</v>
      </c>
      <c r="AW203" s="337">
        <v>5.1855999999999973</v>
      </c>
      <c r="AX203" s="334"/>
      <c r="AY203" s="323">
        <v>7.9986000000000015</v>
      </c>
      <c r="AZ203" s="323">
        <v>7.9986000000000015</v>
      </c>
      <c r="BA203" s="323">
        <v>4.4053000000000004</v>
      </c>
      <c r="BB203" s="319"/>
      <c r="BC203" s="321">
        <f t="shared" si="18"/>
        <v>1.2699472407671337</v>
      </c>
      <c r="BD203" s="321">
        <f t="shared" si="19"/>
        <v>1.2699472407671337</v>
      </c>
      <c r="BE203" s="321">
        <f t="shared" si="20"/>
        <v>1.1771275509045915</v>
      </c>
      <c r="BG203" s="22">
        <f t="shared" si="21"/>
        <v>-3.3306690738754696E-15</v>
      </c>
      <c r="BH203" s="22">
        <f t="shared" si="22"/>
        <v>-1.4710455076283324E-15</v>
      </c>
      <c r="BI203" s="22">
        <f t="shared" si="23"/>
        <v>-2.3592239273284576E-15</v>
      </c>
    </row>
    <row r="204" spans="2:61" x14ac:dyDescent="0.25">
      <c r="B204" s="312">
        <v>197</v>
      </c>
      <c r="C204" s="312" t="s">
        <v>860</v>
      </c>
      <c r="D204" s="312" t="s">
        <v>391</v>
      </c>
      <c r="E204" s="312">
        <v>9</v>
      </c>
      <c r="F204" s="312">
        <v>3</v>
      </c>
      <c r="G204" s="313" t="s">
        <v>230</v>
      </c>
      <c r="H204" s="313"/>
      <c r="I204" s="313">
        <v>5420.2000000000007</v>
      </c>
      <c r="J204" s="312">
        <v>0</v>
      </c>
      <c r="K204" s="312">
        <v>5377.7</v>
      </c>
      <c r="L204" s="312">
        <v>42.5</v>
      </c>
      <c r="M204" s="317"/>
      <c r="N204" s="319">
        <v>0.1396</v>
      </c>
      <c r="O204" s="319">
        <v>7.9399999999999998E-2</v>
      </c>
      <c r="P204" s="319">
        <v>0.28420000000000001</v>
      </c>
      <c r="Q204" s="319">
        <v>7.8899999999999998E-2</v>
      </c>
      <c r="R204" s="319">
        <v>1.84E-2</v>
      </c>
      <c r="S204" s="319">
        <v>0.28129999999999999</v>
      </c>
      <c r="T204" s="319">
        <v>0</v>
      </c>
      <c r="U204" s="319">
        <v>0.63149999999999995</v>
      </c>
      <c r="V204" s="319">
        <v>1.9117999999999999</v>
      </c>
      <c r="W204" s="319">
        <v>0</v>
      </c>
      <c r="X204" s="319">
        <v>0.1401</v>
      </c>
      <c r="Y204" s="319">
        <v>0</v>
      </c>
      <c r="Z204" s="319">
        <v>1.9395</v>
      </c>
      <c r="AA204" s="319">
        <v>0.1842</v>
      </c>
      <c r="AB204" s="319">
        <v>0.28570000000000001</v>
      </c>
      <c r="AC204" s="319">
        <v>0.1077</v>
      </c>
      <c r="AD204" s="319">
        <v>0.1477</v>
      </c>
      <c r="AE204" s="319">
        <v>3.5799999999999998E-2</v>
      </c>
      <c r="AF204" s="319">
        <v>0.1103</v>
      </c>
      <c r="AG204" s="319">
        <v>2.6599999999999999E-2</v>
      </c>
      <c r="AH204" s="319">
        <v>0</v>
      </c>
      <c r="AI204" s="319">
        <v>1.2344999999999999</v>
      </c>
      <c r="AJ204" s="319">
        <v>1.6821999999999999</v>
      </c>
      <c r="AK204" s="319">
        <v>8.1900000000000001E-2</v>
      </c>
      <c r="AL204" s="319">
        <v>0.35549999999999998</v>
      </c>
      <c r="AM204" s="319">
        <v>3.15E-2</v>
      </c>
      <c r="AN204" s="319">
        <v>5.1000000000000004E-3</v>
      </c>
      <c r="AO204" s="319">
        <v>0.5524</v>
      </c>
      <c r="AP204" s="319">
        <v>0.63519999999999999</v>
      </c>
      <c r="AQ204" s="319">
        <v>0</v>
      </c>
      <c r="AR204" s="319">
        <v>0.42170000000000002</v>
      </c>
      <c r="AS204" s="319">
        <v>0.54910000000000003</v>
      </c>
      <c r="AT204" s="331">
        <v>0.23050000000000001</v>
      </c>
      <c r="AU204" s="336">
        <v>8.8557000000000006</v>
      </c>
      <c r="AV204" s="329">
        <v>11.530099999999999</v>
      </c>
      <c r="AW204" s="337">
        <v>4.839900000000001</v>
      </c>
      <c r="AX204" s="334"/>
      <c r="AY204" s="323">
        <v>6.9733000000000001</v>
      </c>
      <c r="AZ204" s="323">
        <v>10.0412</v>
      </c>
      <c r="BA204" s="323">
        <v>4.2507000000000001</v>
      </c>
      <c r="BB204" s="319"/>
      <c r="BC204" s="321">
        <f t="shared" si="18"/>
        <v>1.2699439289862764</v>
      </c>
      <c r="BD204" s="321">
        <f t="shared" si="19"/>
        <v>1.1482790901485878</v>
      </c>
      <c r="BE204" s="321">
        <f t="shared" si="20"/>
        <v>1.138612463829487</v>
      </c>
      <c r="BG204" s="22">
        <f t="shared" si="21"/>
        <v>0</v>
      </c>
      <c r="BH204" s="22">
        <f t="shared" si="22"/>
        <v>1.9706458687096529E-15</v>
      </c>
      <c r="BI204" s="22">
        <f t="shared" si="23"/>
        <v>0</v>
      </c>
    </row>
    <row r="205" spans="2:61" x14ac:dyDescent="0.25">
      <c r="B205" s="312">
        <v>198</v>
      </c>
      <c r="C205" s="312" t="s">
        <v>862</v>
      </c>
      <c r="D205" s="312" t="s">
        <v>391</v>
      </c>
      <c r="E205" s="312">
        <v>9</v>
      </c>
      <c r="F205" s="312">
        <v>5</v>
      </c>
      <c r="G205" s="313" t="s">
        <v>231</v>
      </c>
      <c r="H205" s="313"/>
      <c r="I205" s="313">
        <v>11072.94</v>
      </c>
      <c r="J205" s="312">
        <v>287.98000000000138</v>
      </c>
      <c r="K205" s="312">
        <v>9488.9599999999991</v>
      </c>
      <c r="L205" s="312">
        <v>1296</v>
      </c>
      <c r="M205" s="317"/>
      <c r="N205" s="319">
        <v>0.15840000000000001</v>
      </c>
      <c r="O205" s="319">
        <v>0.1002</v>
      </c>
      <c r="P205" s="319">
        <v>0.32400000000000001</v>
      </c>
      <c r="Q205" s="319">
        <v>7.22E-2</v>
      </c>
      <c r="R205" s="319">
        <v>3.0800000000000001E-2</v>
      </c>
      <c r="S205" s="319">
        <v>0.2984</v>
      </c>
      <c r="T205" s="319">
        <v>0</v>
      </c>
      <c r="U205" s="319">
        <v>0.63149999999999995</v>
      </c>
      <c r="V205" s="319">
        <v>1.3986000000000001</v>
      </c>
      <c r="W205" s="319">
        <v>7.5800000000000006E-2</v>
      </c>
      <c r="X205" s="319">
        <v>0.12280000000000001</v>
      </c>
      <c r="Y205" s="319">
        <v>0</v>
      </c>
      <c r="Z205" s="319">
        <v>2.0718000000000001</v>
      </c>
      <c r="AA205" s="319">
        <v>0.20530000000000001</v>
      </c>
      <c r="AB205" s="319">
        <v>0.34970000000000001</v>
      </c>
      <c r="AC205" s="319">
        <v>0.14810000000000001</v>
      </c>
      <c r="AD205" s="319">
        <v>8.9099999999999999E-2</v>
      </c>
      <c r="AE205" s="319">
        <v>5.9799999999999999E-2</v>
      </c>
      <c r="AF205" s="319">
        <v>0.12520000000000001</v>
      </c>
      <c r="AG205" s="319">
        <v>2.47E-2</v>
      </c>
      <c r="AH205" s="319">
        <v>0</v>
      </c>
      <c r="AI205" s="319">
        <v>1.0643</v>
      </c>
      <c r="AJ205" s="319">
        <v>1.4269000000000001</v>
      </c>
      <c r="AK205" s="319">
        <v>8.5999999999999993E-2</v>
      </c>
      <c r="AL205" s="319">
        <v>0.30680000000000002</v>
      </c>
      <c r="AM205" s="319">
        <v>1.03E-2</v>
      </c>
      <c r="AN205" s="319">
        <v>1.6999999999999999E-3</v>
      </c>
      <c r="AO205" s="319">
        <v>0.1424</v>
      </c>
      <c r="AP205" s="319">
        <v>0.6</v>
      </c>
      <c r="AQ205" s="319">
        <v>0</v>
      </c>
      <c r="AR205" s="319">
        <v>0.39250000000000002</v>
      </c>
      <c r="AS205" s="319">
        <v>0.49619999999999997</v>
      </c>
      <c r="AT205" s="331">
        <v>0.2455</v>
      </c>
      <c r="AU205" s="336">
        <v>8.2429000000000023</v>
      </c>
      <c r="AV205" s="329">
        <v>10.421000000000001</v>
      </c>
      <c r="AW205" s="337">
        <v>5.1555000000000017</v>
      </c>
      <c r="AX205" s="334"/>
      <c r="AY205" s="323">
        <v>6.4909000000000017</v>
      </c>
      <c r="AZ205" s="323">
        <v>8.8409000000000013</v>
      </c>
      <c r="BA205" s="323">
        <v>4.2974000000000014</v>
      </c>
      <c r="BB205" s="319"/>
      <c r="BC205" s="321">
        <f t="shared" si="18"/>
        <v>1.2699163444206505</v>
      </c>
      <c r="BD205" s="321">
        <f t="shared" si="19"/>
        <v>1.1787261477903832</v>
      </c>
      <c r="BE205" s="321">
        <f t="shared" si="20"/>
        <v>1.1996788755991996</v>
      </c>
      <c r="BG205" s="22">
        <f t="shared" si="21"/>
        <v>1.7208456881689926E-15</v>
      </c>
      <c r="BH205" s="22">
        <f t="shared" si="22"/>
        <v>-2.3592239273284576E-15</v>
      </c>
      <c r="BI205" s="22">
        <f t="shared" si="23"/>
        <v>5.2735593669694936E-16</v>
      </c>
    </row>
    <row r="206" spans="2:61" x14ac:dyDescent="0.25">
      <c r="B206" s="312">
        <v>199</v>
      </c>
      <c r="C206" s="312" t="s">
        <v>864</v>
      </c>
      <c r="D206" s="312" t="s">
        <v>391</v>
      </c>
      <c r="E206" s="312">
        <v>5</v>
      </c>
      <c r="F206" s="312">
        <v>4</v>
      </c>
      <c r="G206" s="313" t="s">
        <v>146</v>
      </c>
      <c r="H206" s="313"/>
      <c r="I206" s="313">
        <v>3423.8</v>
      </c>
      <c r="J206" s="312">
        <v>3423.8</v>
      </c>
      <c r="K206" s="312">
        <v>0</v>
      </c>
      <c r="L206" s="312">
        <v>0</v>
      </c>
      <c r="M206" s="317"/>
      <c r="N206" s="319">
        <v>0.17169999999999999</v>
      </c>
      <c r="O206" s="319">
        <v>0.1108</v>
      </c>
      <c r="P206" s="319">
        <v>0.3135</v>
      </c>
      <c r="Q206" s="319">
        <v>7.51E-2</v>
      </c>
      <c r="R206" s="319">
        <v>2.63E-2</v>
      </c>
      <c r="S206" s="319">
        <v>0.42959999999999998</v>
      </c>
      <c r="T206" s="319">
        <v>0</v>
      </c>
      <c r="U206" s="319">
        <v>0.63149999999999995</v>
      </c>
      <c r="V206" s="319">
        <v>0</v>
      </c>
      <c r="W206" s="319">
        <v>0</v>
      </c>
      <c r="X206" s="319">
        <v>0.18479999999999999</v>
      </c>
      <c r="Y206" s="319">
        <v>0</v>
      </c>
      <c r="Z206" s="319">
        <v>2.2486000000000002</v>
      </c>
      <c r="AA206" s="319">
        <v>0.2283</v>
      </c>
      <c r="AB206" s="319">
        <v>0.39279999999999998</v>
      </c>
      <c r="AC206" s="319">
        <v>0.1017</v>
      </c>
      <c r="AD206" s="319">
        <v>0.10630000000000001</v>
      </c>
      <c r="AE206" s="319">
        <v>5.11E-2</v>
      </c>
      <c r="AF206" s="319">
        <v>0.15240000000000001</v>
      </c>
      <c r="AG206" s="319">
        <v>3.2199999999999999E-2</v>
      </c>
      <c r="AH206" s="319">
        <v>0</v>
      </c>
      <c r="AI206" s="319">
        <v>1.9084000000000001</v>
      </c>
      <c r="AJ206" s="319">
        <v>0.92230000000000001</v>
      </c>
      <c r="AK206" s="319">
        <v>8.6900000000000005E-2</v>
      </c>
      <c r="AL206" s="319">
        <v>0.40089999999999998</v>
      </c>
      <c r="AM206" s="319">
        <v>5.04E-2</v>
      </c>
      <c r="AN206" s="319">
        <v>8.2000000000000007E-3</v>
      </c>
      <c r="AO206" s="319">
        <v>0.46710000000000002</v>
      </c>
      <c r="AP206" s="319">
        <v>0</v>
      </c>
      <c r="AQ206" s="319">
        <v>0</v>
      </c>
      <c r="AR206" s="319">
        <v>0.45500000000000002</v>
      </c>
      <c r="AS206" s="319">
        <v>0.45500000000000002</v>
      </c>
      <c r="AT206" s="331">
        <v>0.27010000000000001</v>
      </c>
      <c r="AU206" s="336">
        <v>9.5559000000000012</v>
      </c>
      <c r="AV206" s="329">
        <v>9.5559000000000012</v>
      </c>
      <c r="AW206" s="337">
        <v>5.6723000000000008</v>
      </c>
      <c r="AX206" s="334"/>
      <c r="AY206" s="323">
        <v>7.5247000000000002</v>
      </c>
      <c r="AZ206" s="323">
        <v>7.5247000000000002</v>
      </c>
      <c r="BA206" s="323">
        <v>4.7013000000000016</v>
      </c>
      <c r="BB206" s="319"/>
      <c r="BC206" s="321">
        <f t="shared" si="18"/>
        <v>1.2699376719337649</v>
      </c>
      <c r="BD206" s="321">
        <f t="shared" si="19"/>
        <v>1.2699376719337649</v>
      </c>
      <c r="BE206" s="321">
        <f t="shared" si="20"/>
        <v>1.2065386169782824</v>
      </c>
      <c r="BG206" s="22">
        <f t="shared" si="21"/>
        <v>5.5511151231257827E-16</v>
      </c>
      <c r="BH206" s="22">
        <f t="shared" si="22"/>
        <v>3.0531133177191805E-16</v>
      </c>
      <c r="BI206" s="22">
        <f t="shared" si="23"/>
        <v>3.0531133177191805E-16</v>
      </c>
    </row>
    <row r="207" spans="2:61" x14ac:dyDescent="0.25">
      <c r="B207" s="312">
        <v>200</v>
      </c>
      <c r="C207" s="312" t="s">
        <v>866</v>
      </c>
      <c r="D207" s="312" t="s">
        <v>391</v>
      </c>
      <c r="E207" s="312">
        <v>5</v>
      </c>
      <c r="F207" s="312">
        <v>2</v>
      </c>
      <c r="G207" s="313" t="s">
        <v>147</v>
      </c>
      <c r="H207" s="313"/>
      <c r="I207" s="313">
        <v>1716.7</v>
      </c>
      <c r="J207" s="312">
        <v>1716.7</v>
      </c>
      <c r="K207" s="312">
        <v>0</v>
      </c>
      <c r="L207" s="312">
        <v>0</v>
      </c>
      <c r="M207" s="317"/>
      <c r="N207" s="319">
        <v>0.17660000000000001</v>
      </c>
      <c r="O207" s="319">
        <v>0.1003</v>
      </c>
      <c r="P207" s="319">
        <v>0.30509999999999998</v>
      </c>
      <c r="Q207" s="319">
        <v>7.2700000000000001E-2</v>
      </c>
      <c r="R207" s="319">
        <v>2.6200000000000001E-2</v>
      </c>
      <c r="S207" s="319">
        <v>0.33929999999999999</v>
      </c>
      <c r="T207" s="319">
        <v>0</v>
      </c>
      <c r="U207" s="319">
        <v>0.63149999999999995</v>
      </c>
      <c r="V207" s="319">
        <v>0</v>
      </c>
      <c r="W207" s="319">
        <v>0</v>
      </c>
      <c r="X207" s="319">
        <v>0.1842</v>
      </c>
      <c r="Y207" s="319">
        <v>0</v>
      </c>
      <c r="Z207" s="319">
        <v>2.1825999999999999</v>
      </c>
      <c r="AA207" s="319">
        <v>0.23699999999999999</v>
      </c>
      <c r="AB207" s="319">
        <v>0.36749999999999999</v>
      </c>
      <c r="AC207" s="319">
        <v>7.4999999999999997E-2</v>
      </c>
      <c r="AD207" s="319">
        <v>0.1018</v>
      </c>
      <c r="AE207" s="319">
        <v>5.0900000000000001E-2</v>
      </c>
      <c r="AF207" s="319">
        <v>0.11360000000000001</v>
      </c>
      <c r="AG207" s="319">
        <v>3.1899999999999998E-2</v>
      </c>
      <c r="AH207" s="319">
        <v>0</v>
      </c>
      <c r="AI207" s="319">
        <v>2.3289</v>
      </c>
      <c r="AJ207" s="319">
        <v>0.90559999999999996</v>
      </c>
      <c r="AK207" s="319">
        <v>8.8599999999999998E-2</v>
      </c>
      <c r="AL207" s="319">
        <v>0.52</v>
      </c>
      <c r="AM207" s="319">
        <v>5.0700000000000002E-2</v>
      </c>
      <c r="AN207" s="319">
        <v>8.2000000000000007E-3</v>
      </c>
      <c r="AO207" s="319">
        <v>0.36180000000000001</v>
      </c>
      <c r="AP207" s="319">
        <v>0</v>
      </c>
      <c r="AQ207" s="319">
        <v>0</v>
      </c>
      <c r="AR207" s="319">
        <v>0.46300000000000002</v>
      </c>
      <c r="AS207" s="319">
        <v>0.46300000000000002</v>
      </c>
      <c r="AT207" s="331">
        <v>0.25719999999999998</v>
      </c>
      <c r="AU207" s="336">
        <v>9.7230000000000008</v>
      </c>
      <c r="AV207" s="329">
        <v>9.7230000000000008</v>
      </c>
      <c r="AW207" s="337">
        <v>5.4009000000000018</v>
      </c>
      <c r="AX207" s="334"/>
      <c r="AY207" s="323">
        <v>7.6563000000000008</v>
      </c>
      <c r="AZ207" s="323">
        <v>7.6563000000000008</v>
      </c>
      <c r="BA207" s="323">
        <v>4.5386000000000006</v>
      </c>
      <c r="BB207" s="319"/>
      <c r="BC207" s="321">
        <f t="shared" si="18"/>
        <v>1.2699345636926453</v>
      </c>
      <c r="BD207" s="321">
        <f t="shared" si="19"/>
        <v>1.2699345636926453</v>
      </c>
      <c r="BE207" s="321">
        <f t="shared" si="20"/>
        <v>1.1899925087031245</v>
      </c>
      <c r="BG207" s="22">
        <f t="shared" si="21"/>
        <v>8.3266726846886741E-16</v>
      </c>
      <c r="BH207" s="22">
        <f t="shared" si="22"/>
        <v>7.4940054162198066E-16</v>
      </c>
      <c r="BI207" s="22">
        <f t="shared" si="23"/>
        <v>1.6375789613221059E-15</v>
      </c>
    </row>
    <row r="208" spans="2:61" x14ac:dyDescent="0.25">
      <c r="B208" s="312">
        <v>201</v>
      </c>
      <c r="C208" s="312" t="s">
        <v>868</v>
      </c>
      <c r="D208" s="312" t="s">
        <v>391</v>
      </c>
      <c r="E208" s="312">
        <v>5</v>
      </c>
      <c r="F208" s="312">
        <v>2</v>
      </c>
      <c r="G208" s="313" t="s">
        <v>148</v>
      </c>
      <c r="H208" s="313"/>
      <c r="I208" s="313">
        <v>1706.1</v>
      </c>
      <c r="J208" s="312">
        <v>1706.1</v>
      </c>
      <c r="K208" s="312">
        <v>0</v>
      </c>
      <c r="L208" s="312">
        <v>0</v>
      </c>
      <c r="M208" s="317"/>
      <c r="N208" s="319">
        <v>0.1777</v>
      </c>
      <c r="O208" s="319">
        <v>0.1009</v>
      </c>
      <c r="P208" s="319">
        <v>0.30570000000000003</v>
      </c>
      <c r="Q208" s="319">
        <v>7.2900000000000006E-2</v>
      </c>
      <c r="R208" s="319">
        <v>2.64E-2</v>
      </c>
      <c r="S208" s="319">
        <v>0.34139999999999998</v>
      </c>
      <c r="T208" s="319">
        <v>0</v>
      </c>
      <c r="U208" s="319">
        <v>0.63149999999999995</v>
      </c>
      <c r="V208" s="319">
        <v>0</v>
      </c>
      <c r="W208" s="319">
        <v>0</v>
      </c>
      <c r="X208" s="319">
        <v>0.18540000000000001</v>
      </c>
      <c r="Y208" s="319">
        <v>0</v>
      </c>
      <c r="Z208" s="319">
        <v>2.4338000000000002</v>
      </c>
      <c r="AA208" s="319">
        <v>0.23849999999999999</v>
      </c>
      <c r="AB208" s="319">
        <v>0.36980000000000002</v>
      </c>
      <c r="AC208" s="319">
        <v>7.4800000000000005E-2</v>
      </c>
      <c r="AD208" s="319">
        <v>0.1042</v>
      </c>
      <c r="AE208" s="319">
        <v>5.1200000000000002E-2</v>
      </c>
      <c r="AF208" s="319">
        <v>0.1143</v>
      </c>
      <c r="AG208" s="319">
        <v>3.2000000000000001E-2</v>
      </c>
      <c r="AH208" s="319">
        <v>0</v>
      </c>
      <c r="AI208" s="319">
        <v>1.6738</v>
      </c>
      <c r="AJ208" s="319">
        <v>0.93640000000000001</v>
      </c>
      <c r="AK208" s="319">
        <v>8.9099999999999999E-2</v>
      </c>
      <c r="AL208" s="319">
        <v>0.39229999999999998</v>
      </c>
      <c r="AM208" s="319">
        <v>5.0999999999999997E-2</v>
      </c>
      <c r="AN208" s="319">
        <v>8.3000000000000001E-3</v>
      </c>
      <c r="AO208" s="319">
        <v>0.3246</v>
      </c>
      <c r="AP208" s="319">
        <v>0</v>
      </c>
      <c r="AQ208" s="319">
        <v>0</v>
      </c>
      <c r="AR208" s="319">
        <v>0.43680000000000002</v>
      </c>
      <c r="AS208" s="319">
        <v>0.43680000000000002</v>
      </c>
      <c r="AT208" s="331">
        <v>0.27039999999999997</v>
      </c>
      <c r="AU208" s="336">
        <v>9.1728000000000005</v>
      </c>
      <c r="AV208" s="329">
        <v>9.1728000000000005</v>
      </c>
      <c r="AW208" s="337">
        <v>5.6792999999999996</v>
      </c>
      <c r="AX208" s="334"/>
      <c r="AY208" s="323">
        <v>7.2230000000000008</v>
      </c>
      <c r="AZ208" s="323">
        <v>7.2230000000000008</v>
      </c>
      <c r="BA208" s="323">
        <v>4.5909000000000004</v>
      </c>
      <c r="BB208" s="319"/>
      <c r="BC208" s="321">
        <f t="shared" si="18"/>
        <v>1.2699432368821819</v>
      </c>
      <c r="BD208" s="321">
        <f t="shared" si="19"/>
        <v>1.2699432368821819</v>
      </c>
      <c r="BE208" s="321">
        <f t="shared" si="20"/>
        <v>1.2370776971835586</v>
      </c>
      <c r="BG208" s="22">
        <f t="shared" si="21"/>
        <v>1.1657341758564144E-15</v>
      </c>
      <c r="BH208" s="22">
        <f t="shared" si="22"/>
        <v>1.3600232051658168E-15</v>
      </c>
      <c r="BI208" s="22">
        <f t="shared" si="23"/>
        <v>-4.163336342344337E-16</v>
      </c>
    </row>
    <row r="209" spans="2:61" x14ac:dyDescent="0.25">
      <c r="B209" s="312">
        <v>202</v>
      </c>
      <c r="C209" s="312" t="s">
        <v>870</v>
      </c>
      <c r="D209" s="312" t="s">
        <v>391</v>
      </c>
      <c r="E209" s="312">
        <v>5</v>
      </c>
      <c r="F209" s="312">
        <v>6</v>
      </c>
      <c r="G209" s="313" t="s">
        <v>149</v>
      </c>
      <c r="H209" s="313"/>
      <c r="I209" s="313">
        <v>4700.49</v>
      </c>
      <c r="J209" s="312">
        <v>4448.0999999999995</v>
      </c>
      <c r="K209" s="312">
        <v>0</v>
      </c>
      <c r="L209" s="312">
        <v>252.39</v>
      </c>
      <c r="M209" s="317"/>
      <c r="N209" s="319">
        <v>0.16569999999999999</v>
      </c>
      <c r="O209" s="319">
        <v>8.0500000000000002E-2</v>
      </c>
      <c r="P209" s="319">
        <v>0.3332</v>
      </c>
      <c r="Q209" s="319">
        <v>7.3899999999999993E-2</v>
      </c>
      <c r="R209" s="319">
        <v>3.8300000000000001E-2</v>
      </c>
      <c r="S209" s="319">
        <v>0.55730000000000002</v>
      </c>
      <c r="T209" s="319">
        <v>0</v>
      </c>
      <c r="U209" s="319">
        <v>0.63149999999999995</v>
      </c>
      <c r="V209" s="319">
        <v>0</v>
      </c>
      <c r="W209" s="319">
        <v>0</v>
      </c>
      <c r="X209" s="319">
        <v>0.15140000000000001</v>
      </c>
      <c r="Y209" s="319">
        <v>0</v>
      </c>
      <c r="Z209" s="319">
        <v>2.4392</v>
      </c>
      <c r="AA209" s="319">
        <v>0.2079</v>
      </c>
      <c r="AB209" s="319">
        <v>0.28749999999999998</v>
      </c>
      <c r="AC209" s="319">
        <v>9.1399999999999995E-2</v>
      </c>
      <c r="AD209" s="319">
        <v>9.2399999999999996E-2</v>
      </c>
      <c r="AE209" s="319">
        <v>7.4399999999999994E-2</v>
      </c>
      <c r="AF209" s="319">
        <v>0.21</v>
      </c>
      <c r="AG209" s="319">
        <v>3.1300000000000001E-2</v>
      </c>
      <c r="AH209" s="319">
        <v>0</v>
      </c>
      <c r="AI209" s="319">
        <v>2.0419999999999998</v>
      </c>
      <c r="AJ209" s="319">
        <v>1.0310999999999999</v>
      </c>
      <c r="AK209" s="319">
        <v>8.0600000000000005E-2</v>
      </c>
      <c r="AL209" s="319">
        <v>0.61570000000000003</v>
      </c>
      <c r="AM209" s="319">
        <v>2.75E-2</v>
      </c>
      <c r="AN209" s="319">
        <v>4.4999999999999997E-3</v>
      </c>
      <c r="AO209" s="319">
        <v>0.33279999999999998</v>
      </c>
      <c r="AP209" s="319">
        <v>0</v>
      </c>
      <c r="AQ209" s="319">
        <v>0</v>
      </c>
      <c r="AR209" s="319">
        <v>0.48</v>
      </c>
      <c r="AS209" s="319">
        <v>0.48</v>
      </c>
      <c r="AT209" s="331">
        <v>0.27889999999999998</v>
      </c>
      <c r="AU209" s="336">
        <v>10.080100000000002</v>
      </c>
      <c r="AV209" s="329">
        <v>10.080100000000002</v>
      </c>
      <c r="AW209" s="337">
        <v>5.8574000000000002</v>
      </c>
      <c r="AX209" s="334"/>
      <c r="AY209" s="323">
        <v>7.9375</v>
      </c>
      <c r="AZ209" s="323">
        <v>7.9375</v>
      </c>
      <c r="BA209" s="323">
        <v>4.8339999999999996</v>
      </c>
      <c r="BB209" s="319"/>
      <c r="BC209" s="321">
        <f t="shared" si="18"/>
        <v>1.2699338582677167</v>
      </c>
      <c r="BD209" s="321">
        <f t="shared" si="19"/>
        <v>1.2699338582677167</v>
      </c>
      <c r="BE209" s="321">
        <f t="shared" si="20"/>
        <v>1.2117087298303684</v>
      </c>
      <c r="BG209" s="22">
        <f t="shared" si="21"/>
        <v>4.2188474935755949E-15</v>
      </c>
      <c r="BH209" s="22">
        <f t="shared" si="22"/>
        <v>0</v>
      </c>
      <c r="BI209" s="22">
        <f t="shared" si="23"/>
        <v>0</v>
      </c>
    </row>
    <row r="210" spans="2:61" x14ac:dyDescent="0.25">
      <c r="B210" s="312">
        <v>203</v>
      </c>
      <c r="C210" s="312" t="s">
        <v>872</v>
      </c>
      <c r="D210" s="312" t="s">
        <v>391</v>
      </c>
      <c r="E210" s="312">
        <v>5</v>
      </c>
      <c r="F210" s="312">
        <v>6</v>
      </c>
      <c r="G210" s="313" t="s">
        <v>150</v>
      </c>
      <c r="H210" s="313"/>
      <c r="I210" s="313">
        <v>4475.74</v>
      </c>
      <c r="J210" s="312">
        <v>4475.74</v>
      </c>
      <c r="K210" s="312">
        <v>0</v>
      </c>
      <c r="L210" s="312">
        <v>0</v>
      </c>
      <c r="M210" s="317"/>
      <c r="N210" s="319">
        <v>0.15540000000000001</v>
      </c>
      <c r="O210" s="319">
        <v>8.4500000000000006E-2</v>
      </c>
      <c r="P210" s="319">
        <v>0.33189999999999997</v>
      </c>
      <c r="Q210" s="319">
        <v>0</v>
      </c>
      <c r="R210" s="319">
        <v>3.1199999999999999E-2</v>
      </c>
      <c r="S210" s="319">
        <v>0.57430000000000003</v>
      </c>
      <c r="T210" s="319">
        <v>0</v>
      </c>
      <c r="U210" s="319">
        <v>0.62080000000000002</v>
      </c>
      <c r="V210" s="319">
        <v>0</v>
      </c>
      <c r="W210" s="319">
        <v>0</v>
      </c>
      <c r="X210" s="319">
        <v>0.28620000000000001</v>
      </c>
      <c r="Y210" s="319">
        <v>0</v>
      </c>
      <c r="Z210" s="319">
        <v>2.5484</v>
      </c>
      <c r="AA210" s="319">
        <v>0.2049</v>
      </c>
      <c r="AB210" s="319">
        <v>0.29980000000000001</v>
      </c>
      <c r="AC210" s="319">
        <v>9.0700000000000003E-2</v>
      </c>
      <c r="AD210" s="319">
        <v>0</v>
      </c>
      <c r="AE210" s="319">
        <v>6.08E-2</v>
      </c>
      <c r="AF210" s="319">
        <v>0.2205</v>
      </c>
      <c r="AG210" s="319">
        <v>3.2199999999999999E-2</v>
      </c>
      <c r="AH210" s="319">
        <v>0</v>
      </c>
      <c r="AI210" s="319">
        <v>2.0663999999999998</v>
      </c>
      <c r="AJ210" s="319">
        <v>1.0650999999999999</v>
      </c>
      <c r="AK210" s="319">
        <v>8.7099999999999997E-2</v>
      </c>
      <c r="AL210" s="319">
        <v>0.60770000000000002</v>
      </c>
      <c r="AM210" s="319">
        <v>5.2200000000000003E-2</v>
      </c>
      <c r="AN210" s="319">
        <v>8.5000000000000006E-3</v>
      </c>
      <c r="AO210" s="319">
        <v>0.18970000000000001</v>
      </c>
      <c r="AP210" s="319">
        <v>0</v>
      </c>
      <c r="AQ210" s="319">
        <v>0</v>
      </c>
      <c r="AR210" s="319">
        <v>0.48089999999999999</v>
      </c>
      <c r="AS210" s="319">
        <v>0.48089999999999999</v>
      </c>
      <c r="AT210" s="331">
        <v>0.28449999999999998</v>
      </c>
      <c r="AU210" s="336">
        <v>10.099199999999998</v>
      </c>
      <c r="AV210" s="329">
        <v>10.099199999999998</v>
      </c>
      <c r="AW210" s="337">
        <v>5.9738999999999987</v>
      </c>
      <c r="AX210" s="334"/>
      <c r="AY210" s="323">
        <v>7.9526000000000003</v>
      </c>
      <c r="AZ210" s="323">
        <v>7.9526000000000003</v>
      </c>
      <c r="BA210" s="323">
        <v>5.0480999999999998</v>
      </c>
      <c r="BB210" s="319"/>
      <c r="BC210" s="321">
        <f t="shared" si="18"/>
        <v>1.269924301486306</v>
      </c>
      <c r="BD210" s="321">
        <f t="shared" si="19"/>
        <v>1.269924301486306</v>
      </c>
      <c r="BE210" s="321">
        <f t="shared" si="20"/>
        <v>1.1833957330480773</v>
      </c>
      <c r="BG210" s="22">
        <f t="shared" si="21"/>
        <v>-3.3306690738754696E-15</v>
      </c>
      <c r="BH210" s="22">
        <f t="shared" si="22"/>
        <v>-1.1379786002407855E-15</v>
      </c>
      <c r="BI210" s="22">
        <f t="shared" si="23"/>
        <v>-2.0261570199409107E-15</v>
      </c>
    </row>
    <row r="211" spans="2:61" x14ac:dyDescent="0.25">
      <c r="B211" s="312">
        <v>204</v>
      </c>
      <c r="C211" s="312" t="s">
        <v>874</v>
      </c>
      <c r="D211" s="312" t="s">
        <v>391</v>
      </c>
      <c r="E211" s="312">
        <v>5</v>
      </c>
      <c r="F211" s="312">
        <v>4</v>
      </c>
      <c r="G211" s="313" t="s">
        <v>151</v>
      </c>
      <c r="H211" s="313"/>
      <c r="I211" s="313">
        <v>2757.58</v>
      </c>
      <c r="J211" s="312">
        <v>2757.58</v>
      </c>
      <c r="K211" s="312">
        <v>0</v>
      </c>
      <c r="L211" s="312">
        <v>0</v>
      </c>
      <c r="M211" s="317"/>
      <c r="N211" s="319">
        <v>0.1666</v>
      </c>
      <c r="O211" s="319">
        <v>9.2399999999999996E-2</v>
      </c>
      <c r="P211" s="319">
        <v>0.32229999999999998</v>
      </c>
      <c r="Q211" s="319">
        <v>0</v>
      </c>
      <c r="R211" s="319">
        <v>2.9000000000000001E-2</v>
      </c>
      <c r="S211" s="319">
        <v>0.49880000000000002</v>
      </c>
      <c r="T211" s="319">
        <v>0</v>
      </c>
      <c r="U211" s="319">
        <v>0.62080000000000002</v>
      </c>
      <c r="V211" s="319">
        <v>0</v>
      </c>
      <c r="W211" s="319">
        <v>0</v>
      </c>
      <c r="X211" s="319">
        <v>0.30969999999999998</v>
      </c>
      <c r="Y211" s="319">
        <v>0</v>
      </c>
      <c r="Z211" s="319">
        <v>2.59</v>
      </c>
      <c r="AA211" s="319">
        <v>0.22090000000000001</v>
      </c>
      <c r="AB211" s="319">
        <v>0.3276</v>
      </c>
      <c r="AC211" s="319">
        <v>8.7400000000000005E-2</v>
      </c>
      <c r="AD211" s="319">
        <v>0</v>
      </c>
      <c r="AE211" s="319">
        <v>5.6399999999999999E-2</v>
      </c>
      <c r="AF211" s="319">
        <v>0.17199999999999999</v>
      </c>
      <c r="AG211" s="319">
        <v>3.3599999999999998E-2</v>
      </c>
      <c r="AH211" s="319">
        <v>0</v>
      </c>
      <c r="AI211" s="319">
        <v>2.3319999999999999</v>
      </c>
      <c r="AJ211" s="319">
        <v>1.1476</v>
      </c>
      <c r="AK211" s="319">
        <v>8.8599999999999998E-2</v>
      </c>
      <c r="AL211" s="319">
        <v>0.65569999999999995</v>
      </c>
      <c r="AM211" s="319">
        <v>5.2999999999999999E-2</v>
      </c>
      <c r="AN211" s="319">
        <v>8.6E-3</v>
      </c>
      <c r="AO211" s="319">
        <v>0.33029999999999998</v>
      </c>
      <c r="AP211" s="319">
        <v>0</v>
      </c>
      <c r="AQ211" s="319">
        <v>0</v>
      </c>
      <c r="AR211" s="319">
        <v>0.50719999999999998</v>
      </c>
      <c r="AS211" s="319">
        <v>0.50719999999999998</v>
      </c>
      <c r="AT211" s="331">
        <v>0.28389999999999999</v>
      </c>
      <c r="AU211" s="336">
        <v>10.650499999999997</v>
      </c>
      <c r="AV211" s="329">
        <v>10.650499999999997</v>
      </c>
      <c r="AW211" s="337">
        <v>5.9615999999999989</v>
      </c>
      <c r="AX211" s="334"/>
      <c r="AY211" s="323">
        <v>8.3867999999999991</v>
      </c>
      <c r="AZ211" s="323">
        <v>8.3867999999999991</v>
      </c>
      <c r="BA211" s="323">
        <v>4.9936999999999996</v>
      </c>
      <c r="BB211" s="319"/>
      <c r="BC211" s="321">
        <f t="shared" si="18"/>
        <v>1.2699122430486001</v>
      </c>
      <c r="BD211" s="321">
        <f t="shared" si="19"/>
        <v>1.2699122430486001</v>
      </c>
      <c r="BE211" s="321">
        <f t="shared" si="20"/>
        <v>1.1938242185153292</v>
      </c>
      <c r="BG211" s="22">
        <f t="shared" si="21"/>
        <v>-2.3314683517128287E-15</v>
      </c>
      <c r="BH211" s="22">
        <f t="shared" si="22"/>
        <v>0</v>
      </c>
      <c r="BI211" s="22">
        <f t="shared" si="23"/>
        <v>-6.9388939039072284E-16</v>
      </c>
    </row>
    <row r="212" spans="2:61" x14ac:dyDescent="0.25">
      <c r="B212" s="312">
        <v>205</v>
      </c>
      <c r="C212" s="312" t="s">
        <v>876</v>
      </c>
      <c r="D212" s="312" t="s">
        <v>391</v>
      </c>
      <c r="E212" s="312">
        <v>5</v>
      </c>
      <c r="F212" s="312">
        <v>6</v>
      </c>
      <c r="G212" s="313" t="s">
        <v>152</v>
      </c>
      <c r="H212" s="313"/>
      <c r="I212" s="313">
        <v>4461.6000000000004</v>
      </c>
      <c r="J212" s="312">
        <v>4461.6000000000004</v>
      </c>
      <c r="K212" s="312">
        <v>0</v>
      </c>
      <c r="L212" s="312">
        <v>0</v>
      </c>
      <c r="M212" s="317"/>
      <c r="N212" s="319">
        <v>0.15590000000000001</v>
      </c>
      <c r="O212" s="319">
        <v>8.48E-2</v>
      </c>
      <c r="P212" s="319">
        <v>0.3322</v>
      </c>
      <c r="Q212" s="319">
        <v>0</v>
      </c>
      <c r="R212" s="319">
        <v>3.1300000000000001E-2</v>
      </c>
      <c r="S212" s="319">
        <v>0.57609999999999995</v>
      </c>
      <c r="T212" s="319">
        <v>0</v>
      </c>
      <c r="U212" s="319">
        <v>0.62080000000000002</v>
      </c>
      <c r="V212" s="319">
        <v>0</v>
      </c>
      <c r="W212" s="319">
        <v>0</v>
      </c>
      <c r="X212" s="319">
        <v>0.28710000000000002</v>
      </c>
      <c r="Y212" s="319">
        <v>0</v>
      </c>
      <c r="Z212" s="319">
        <v>1.9842</v>
      </c>
      <c r="AA212" s="319">
        <v>0.20549999999999999</v>
      </c>
      <c r="AB212" s="319">
        <v>0.30080000000000001</v>
      </c>
      <c r="AC212" s="319">
        <v>9.06E-2</v>
      </c>
      <c r="AD212" s="319">
        <v>0</v>
      </c>
      <c r="AE212" s="319">
        <v>6.0999999999999999E-2</v>
      </c>
      <c r="AF212" s="319">
        <v>0.22120000000000001</v>
      </c>
      <c r="AG212" s="319">
        <v>3.2199999999999999E-2</v>
      </c>
      <c r="AH212" s="319">
        <v>0</v>
      </c>
      <c r="AI212" s="319">
        <v>3.2688000000000001</v>
      </c>
      <c r="AJ212" s="319">
        <v>1.0503</v>
      </c>
      <c r="AK212" s="319">
        <v>8.8200000000000001E-2</v>
      </c>
      <c r="AL212" s="319">
        <v>0.47199999999999998</v>
      </c>
      <c r="AM212" s="319">
        <v>5.1299999999999998E-2</v>
      </c>
      <c r="AN212" s="319">
        <v>8.3000000000000001E-3</v>
      </c>
      <c r="AO212" s="319">
        <v>0.16239999999999999</v>
      </c>
      <c r="AP212" s="319">
        <v>0</v>
      </c>
      <c r="AQ212" s="319">
        <v>0</v>
      </c>
      <c r="AR212" s="319">
        <v>0.50429999999999997</v>
      </c>
      <c r="AS212" s="319">
        <v>0.50429999999999997</v>
      </c>
      <c r="AT212" s="331">
        <v>0.25659999999999999</v>
      </c>
      <c r="AU212" s="336">
        <v>10.5893</v>
      </c>
      <c r="AV212" s="329">
        <v>10.5893</v>
      </c>
      <c r="AW212" s="337">
        <v>5.3880999999999988</v>
      </c>
      <c r="AX212" s="334"/>
      <c r="AY212" s="323">
        <v>8.3384</v>
      </c>
      <c r="AZ212" s="323">
        <v>8.3384</v>
      </c>
      <c r="BA212" s="323">
        <v>4.8563000000000001</v>
      </c>
      <c r="BB212" s="319"/>
      <c r="BC212" s="321">
        <f t="shared" si="18"/>
        <v>1.2699438741245321</v>
      </c>
      <c r="BD212" s="321">
        <f t="shared" si="19"/>
        <v>1.2699438741245321</v>
      </c>
      <c r="BE212" s="321">
        <f t="shared" si="20"/>
        <v>1.1095072380207152</v>
      </c>
      <c r="BG212" s="22">
        <f t="shared" si="21"/>
        <v>0</v>
      </c>
      <c r="BH212" s="22">
        <f t="shared" si="22"/>
        <v>0</v>
      </c>
      <c r="BI212" s="22">
        <f t="shared" si="23"/>
        <v>0</v>
      </c>
    </row>
    <row r="213" spans="2:61" x14ac:dyDescent="0.25">
      <c r="B213" s="312">
        <v>206</v>
      </c>
      <c r="C213" s="312" t="s">
        <v>878</v>
      </c>
      <c r="D213" s="312" t="s">
        <v>391</v>
      </c>
      <c r="E213" s="312">
        <v>14</v>
      </c>
      <c r="F213" s="312">
        <v>1</v>
      </c>
      <c r="G213" s="313" t="s">
        <v>251</v>
      </c>
      <c r="H213" s="313"/>
      <c r="I213" s="313">
        <v>4253.42</v>
      </c>
      <c r="J213" s="312">
        <v>188.99999999999955</v>
      </c>
      <c r="K213" s="312">
        <v>3946.82</v>
      </c>
      <c r="L213" s="312">
        <v>117.6</v>
      </c>
      <c r="M213" s="317"/>
      <c r="N213" s="319">
        <v>0.16550000000000001</v>
      </c>
      <c r="O213" s="319">
        <v>0.1048</v>
      </c>
      <c r="P213" s="319">
        <v>0.28870000000000001</v>
      </c>
      <c r="Q213" s="319">
        <v>7.0499999999999993E-2</v>
      </c>
      <c r="R213" s="319">
        <v>2.1100000000000001E-2</v>
      </c>
      <c r="S213" s="319">
        <v>0.29470000000000002</v>
      </c>
      <c r="T213" s="319">
        <v>0</v>
      </c>
      <c r="U213" s="319">
        <v>0.63149999999999995</v>
      </c>
      <c r="V213" s="319">
        <v>2.0802</v>
      </c>
      <c r="W213" s="319">
        <v>0</v>
      </c>
      <c r="X213" s="319">
        <v>0.15620000000000001</v>
      </c>
      <c r="Y213" s="319">
        <v>0</v>
      </c>
      <c r="Z213" s="319">
        <v>1.8505</v>
      </c>
      <c r="AA213" s="319">
        <v>0.21110000000000001</v>
      </c>
      <c r="AB213" s="319">
        <v>0.3679</v>
      </c>
      <c r="AC213" s="319">
        <v>0.1231</v>
      </c>
      <c r="AD213" s="319">
        <v>0.1234</v>
      </c>
      <c r="AE213" s="319">
        <v>4.1099999999999998E-2</v>
      </c>
      <c r="AF213" s="319">
        <v>9.98E-2</v>
      </c>
      <c r="AG213" s="319">
        <v>0</v>
      </c>
      <c r="AH213" s="319">
        <v>0</v>
      </c>
      <c r="AI213" s="319">
        <v>1.8748</v>
      </c>
      <c r="AJ213" s="319">
        <v>1.8872</v>
      </c>
      <c r="AK213" s="319">
        <v>5.7099999999999998E-2</v>
      </c>
      <c r="AL213" s="319">
        <v>0.35630000000000001</v>
      </c>
      <c r="AM213" s="319">
        <v>2.69E-2</v>
      </c>
      <c r="AN213" s="319">
        <v>4.4000000000000003E-3</v>
      </c>
      <c r="AO213" s="319">
        <v>0.67579999999999996</v>
      </c>
      <c r="AP213" s="319">
        <v>0.78680000000000005</v>
      </c>
      <c r="AQ213" s="319">
        <v>0</v>
      </c>
      <c r="AR213" s="319">
        <v>0.47160000000000002</v>
      </c>
      <c r="AS213" s="319">
        <v>0.61499999999999999</v>
      </c>
      <c r="AT213" s="331">
        <v>0.2319</v>
      </c>
      <c r="AU213" s="336">
        <v>9.9039999999999999</v>
      </c>
      <c r="AV213" s="329">
        <v>12.914399999999999</v>
      </c>
      <c r="AW213" s="337">
        <v>4.8701999999999988</v>
      </c>
      <c r="AX213" s="334"/>
      <c r="AY213" s="323">
        <v>7.9176999999999991</v>
      </c>
      <c r="AZ213" s="323">
        <v>11.346599999999999</v>
      </c>
      <c r="BA213" s="323">
        <v>4.1871999999999989</v>
      </c>
      <c r="BB213" s="319"/>
      <c r="BC213" s="321">
        <f t="shared" si="18"/>
        <v>1.2508683077156246</v>
      </c>
      <c r="BD213" s="321">
        <f t="shared" si="19"/>
        <v>1.138173549785839</v>
      </c>
      <c r="BE213" s="321">
        <f t="shared" si="20"/>
        <v>1.1631161635460452</v>
      </c>
      <c r="BG213" s="22">
        <f t="shared" si="21"/>
        <v>8.8817841970012523E-16</v>
      </c>
      <c r="BH213" s="22">
        <f t="shared" si="22"/>
        <v>-1.7486012637846216E-15</v>
      </c>
      <c r="BI213" s="22">
        <f t="shared" si="23"/>
        <v>-2.1926904736346842E-15</v>
      </c>
    </row>
    <row r="214" spans="2:61" x14ac:dyDescent="0.25">
      <c r="B214" s="312">
        <v>207</v>
      </c>
      <c r="C214" s="312" t="s">
        <v>880</v>
      </c>
      <c r="D214" s="312" t="s">
        <v>391</v>
      </c>
      <c r="E214" s="312">
        <v>9</v>
      </c>
      <c r="F214" s="312">
        <v>4</v>
      </c>
      <c r="G214" s="313" t="s">
        <v>232</v>
      </c>
      <c r="H214" s="313"/>
      <c r="I214" s="313">
        <v>7403.02</v>
      </c>
      <c r="J214" s="312">
        <v>885.63000000000011</v>
      </c>
      <c r="K214" s="312">
        <v>6517.39</v>
      </c>
      <c r="L214" s="312">
        <v>0</v>
      </c>
      <c r="M214" s="317"/>
      <c r="N214" s="319">
        <v>0.13730000000000001</v>
      </c>
      <c r="O214" s="319">
        <v>6.9500000000000006E-2</v>
      </c>
      <c r="P214" s="319">
        <v>0.2601</v>
      </c>
      <c r="Q214" s="319">
        <v>6.9000000000000006E-2</v>
      </c>
      <c r="R214" s="319">
        <v>2.3800000000000002E-2</v>
      </c>
      <c r="S214" s="319">
        <v>0.23719999999999999</v>
      </c>
      <c r="T214" s="319">
        <v>0</v>
      </c>
      <c r="U214" s="319">
        <v>0.63149999999999995</v>
      </c>
      <c r="V214" s="319">
        <v>2.1034000000000002</v>
      </c>
      <c r="W214" s="319">
        <v>0</v>
      </c>
      <c r="X214" s="319">
        <v>0.14099999999999999</v>
      </c>
      <c r="Y214" s="319">
        <v>0</v>
      </c>
      <c r="Z214" s="319">
        <v>2.1898</v>
      </c>
      <c r="AA214" s="319">
        <v>0.18099999999999999</v>
      </c>
      <c r="AB214" s="319">
        <v>0.25080000000000002</v>
      </c>
      <c r="AC214" s="319">
        <v>0.1234</v>
      </c>
      <c r="AD214" s="319">
        <v>9.69E-2</v>
      </c>
      <c r="AE214" s="319">
        <v>4.6199999999999998E-2</v>
      </c>
      <c r="AF214" s="319">
        <v>6.13E-2</v>
      </c>
      <c r="AG214" s="319">
        <v>2.3099999999999999E-2</v>
      </c>
      <c r="AH214" s="319">
        <v>0</v>
      </c>
      <c r="AI214" s="319">
        <v>1.6015999999999999</v>
      </c>
      <c r="AJ214" s="319">
        <v>1.5770999999999999</v>
      </c>
      <c r="AK214" s="319">
        <v>0.14779999999999999</v>
      </c>
      <c r="AL214" s="319">
        <v>0.42</v>
      </c>
      <c r="AM214" s="319">
        <v>5.5599999999999997E-2</v>
      </c>
      <c r="AN214" s="319">
        <v>8.9999999999999993E-3</v>
      </c>
      <c r="AO214" s="319">
        <v>0.22370000000000001</v>
      </c>
      <c r="AP214" s="319">
        <v>0.63529999999999998</v>
      </c>
      <c r="AQ214" s="319">
        <v>0</v>
      </c>
      <c r="AR214" s="319">
        <v>0.42880000000000001</v>
      </c>
      <c r="AS214" s="319">
        <v>0.56579999999999997</v>
      </c>
      <c r="AT214" s="331">
        <v>0.23769999999999999</v>
      </c>
      <c r="AU214" s="336">
        <v>9.0054999999999996</v>
      </c>
      <c r="AV214" s="329">
        <v>11.8812</v>
      </c>
      <c r="AW214" s="337">
        <v>4.9919999999999991</v>
      </c>
      <c r="AX214" s="334"/>
      <c r="AY214" s="323">
        <v>7.0913000000000004</v>
      </c>
      <c r="AZ214" s="323">
        <v>10.305600000000002</v>
      </c>
      <c r="BA214" s="323">
        <v>4.3620000000000001</v>
      </c>
      <c r="BB214" s="319"/>
      <c r="BC214" s="321">
        <f t="shared" si="18"/>
        <v>1.2699364009419993</v>
      </c>
      <c r="BD214" s="321">
        <f t="shared" si="19"/>
        <v>1.1528877503493244</v>
      </c>
      <c r="BE214" s="321">
        <f t="shared" si="20"/>
        <v>1.1444291609353505</v>
      </c>
      <c r="BG214" s="22">
        <f t="shared" si="21"/>
        <v>7.2164496600635175E-16</v>
      </c>
      <c r="BH214" s="22">
        <f t="shared" si="22"/>
        <v>-1.4155343563970746E-15</v>
      </c>
      <c r="BI214" s="22">
        <f t="shared" si="23"/>
        <v>-1.8596235662471372E-15</v>
      </c>
    </row>
    <row r="215" spans="2:61" x14ac:dyDescent="0.25">
      <c r="B215" s="312">
        <v>208</v>
      </c>
      <c r="C215" s="312" t="s">
        <v>882</v>
      </c>
      <c r="D215" s="312" t="s">
        <v>391</v>
      </c>
      <c r="E215" s="312">
        <v>5</v>
      </c>
      <c r="F215" s="312">
        <v>4</v>
      </c>
      <c r="G215" s="313" t="s">
        <v>153</v>
      </c>
      <c r="H215" s="313"/>
      <c r="I215" s="313">
        <v>2762.19</v>
      </c>
      <c r="J215" s="312">
        <v>2762.19</v>
      </c>
      <c r="K215" s="312">
        <v>0</v>
      </c>
      <c r="L215" s="312">
        <v>0</v>
      </c>
      <c r="M215" s="317"/>
      <c r="N215" s="319">
        <v>0.1663</v>
      </c>
      <c r="O215" s="319">
        <v>9.2200000000000004E-2</v>
      </c>
      <c r="P215" s="319">
        <v>0.32429999999999998</v>
      </c>
      <c r="Q215" s="319">
        <v>7.4399999999999994E-2</v>
      </c>
      <c r="R215" s="319">
        <v>2.8899999999999999E-2</v>
      </c>
      <c r="S215" s="319">
        <v>0.498</v>
      </c>
      <c r="T215" s="319">
        <v>0</v>
      </c>
      <c r="U215" s="319">
        <v>0.63149999999999995</v>
      </c>
      <c r="V215" s="319">
        <v>0</v>
      </c>
      <c r="W215" s="319">
        <v>0</v>
      </c>
      <c r="X215" s="319">
        <v>0.17180000000000001</v>
      </c>
      <c r="Y215" s="319">
        <v>0</v>
      </c>
      <c r="Z215" s="319">
        <v>1.7285999999999999</v>
      </c>
      <c r="AA215" s="319">
        <v>0.2205</v>
      </c>
      <c r="AB215" s="319">
        <v>0.32700000000000001</v>
      </c>
      <c r="AC215" s="319">
        <v>8.7999999999999995E-2</v>
      </c>
      <c r="AD215" s="319">
        <v>0.1041</v>
      </c>
      <c r="AE215" s="319">
        <v>5.6300000000000003E-2</v>
      </c>
      <c r="AF215" s="319">
        <v>0.17169999999999999</v>
      </c>
      <c r="AG215" s="319">
        <v>3.3500000000000002E-2</v>
      </c>
      <c r="AH215" s="319">
        <v>0</v>
      </c>
      <c r="AI215" s="319">
        <v>3.1970999999999998</v>
      </c>
      <c r="AJ215" s="319">
        <v>1.1102000000000001</v>
      </c>
      <c r="AK215" s="319">
        <v>9.1700000000000004E-2</v>
      </c>
      <c r="AL215" s="319">
        <v>0.45810000000000001</v>
      </c>
      <c r="AM215" s="319">
        <v>6.1199999999999997E-2</v>
      </c>
      <c r="AN215" s="319">
        <v>9.9000000000000008E-3</v>
      </c>
      <c r="AO215" s="319">
        <v>0.2848</v>
      </c>
      <c r="AP215" s="319">
        <v>0</v>
      </c>
      <c r="AQ215" s="319">
        <v>0</v>
      </c>
      <c r="AR215" s="319">
        <v>0.4965</v>
      </c>
      <c r="AS215" s="319">
        <v>0.4965</v>
      </c>
      <c r="AT215" s="331">
        <v>0.24399999999999999</v>
      </c>
      <c r="AU215" s="336">
        <v>10.426599999999999</v>
      </c>
      <c r="AV215" s="329">
        <v>10.426599999999999</v>
      </c>
      <c r="AW215" s="337">
        <v>5.1238999999999981</v>
      </c>
      <c r="AX215" s="334"/>
      <c r="AY215" s="323">
        <v>8.2104999999999997</v>
      </c>
      <c r="AZ215" s="323">
        <v>8.2104999999999997</v>
      </c>
      <c r="BA215" s="323">
        <v>4.4324000000000003</v>
      </c>
      <c r="BB215" s="319"/>
      <c r="BC215" s="321">
        <f t="shared" si="18"/>
        <v>1.2699104804823091</v>
      </c>
      <c r="BD215" s="321">
        <f t="shared" si="19"/>
        <v>1.2699104804823091</v>
      </c>
      <c r="BE215" s="321">
        <f t="shared" si="20"/>
        <v>1.1560102878801548</v>
      </c>
      <c r="BG215" s="22">
        <f t="shared" si="21"/>
        <v>0</v>
      </c>
      <c r="BH215" s="22">
        <f t="shared" si="22"/>
        <v>0</v>
      </c>
      <c r="BI215" s="22">
        <f t="shared" si="23"/>
        <v>-2.7755575615628914E-15</v>
      </c>
    </row>
    <row r="216" spans="2:61" x14ac:dyDescent="0.25">
      <c r="B216" s="312">
        <v>209</v>
      </c>
      <c r="C216" s="312" t="s">
        <v>884</v>
      </c>
      <c r="D216" s="312" t="s">
        <v>391</v>
      </c>
      <c r="E216" s="312">
        <v>5</v>
      </c>
      <c r="F216" s="312">
        <v>4</v>
      </c>
      <c r="G216" s="313" t="s">
        <v>154</v>
      </c>
      <c r="H216" s="313"/>
      <c r="I216" s="313">
        <v>2749.02</v>
      </c>
      <c r="J216" s="312">
        <v>2749.02</v>
      </c>
      <c r="K216" s="312">
        <v>0</v>
      </c>
      <c r="L216" s="312">
        <v>0</v>
      </c>
      <c r="M216" s="317"/>
      <c r="N216" s="319">
        <v>0.16689999999999999</v>
      </c>
      <c r="O216" s="319">
        <v>9.2700000000000005E-2</v>
      </c>
      <c r="P216" s="319">
        <v>0.3246</v>
      </c>
      <c r="Q216" s="319">
        <v>7.4200000000000002E-2</v>
      </c>
      <c r="R216" s="319">
        <v>2.9100000000000001E-2</v>
      </c>
      <c r="S216" s="319">
        <v>0.50039999999999996</v>
      </c>
      <c r="T216" s="319">
        <v>0</v>
      </c>
      <c r="U216" s="319">
        <v>0.63149999999999995</v>
      </c>
      <c r="V216" s="319">
        <v>0</v>
      </c>
      <c r="W216" s="319">
        <v>0</v>
      </c>
      <c r="X216" s="319">
        <v>0.16969999999999999</v>
      </c>
      <c r="Y216" s="319">
        <v>0</v>
      </c>
      <c r="Z216" s="319">
        <v>2.0424000000000002</v>
      </c>
      <c r="AA216" s="319">
        <v>0.22109999999999999</v>
      </c>
      <c r="AB216" s="319">
        <v>0.3286</v>
      </c>
      <c r="AC216" s="319">
        <v>8.7800000000000003E-2</v>
      </c>
      <c r="AD216" s="319">
        <v>0.1023</v>
      </c>
      <c r="AE216" s="319">
        <v>5.6500000000000002E-2</v>
      </c>
      <c r="AF216" s="319">
        <v>0.17249999999999999</v>
      </c>
      <c r="AG216" s="319">
        <v>3.3599999999999998E-2</v>
      </c>
      <c r="AH216" s="319">
        <v>0</v>
      </c>
      <c r="AI216" s="319">
        <v>3.1661999999999999</v>
      </c>
      <c r="AJ216" s="319">
        <v>1.1232</v>
      </c>
      <c r="AK216" s="319">
        <v>8.2199999999999995E-2</v>
      </c>
      <c r="AL216" s="319">
        <v>0.44779999999999998</v>
      </c>
      <c r="AM216" s="319">
        <v>6.1199999999999997E-2</v>
      </c>
      <c r="AN216" s="319">
        <v>9.9000000000000008E-3</v>
      </c>
      <c r="AO216" s="319">
        <v>0.1318</v>
      </c>
      <c r="AP216" s="319">
        <v>0</v>
      </c>
      <c r="AQ216" s="319">
        <v>0</v>
      </c>
      <c r="AR216" s="319">
        <v>0.50280000000000002</v>
      </c>
      <c r="AS216" s="319">
        <v>0.50280000000000002</v>
      </c>
      <c r="AT216" s="331">
        <v>0.25940000000000002</v>
      </c>
      <c r="AU216" s="336">
        <v>10.559000000000001</v>
      </c>
      <c r="AV216" s="329">
        <v>10.559000000000001</v>
      </c>
      <c r="AW216" s="337">
        <v>5.446600000000001</v>
      </c>
      <c r="AX216" s="334"/>
      <c r="AY216" s="323">
        <v>8.3148</v>
      </c>
      <c r="AZ216" s="323">
        <v>8.3148</v>
      </c>
      <c r="BA216" s="323">
        <v>4.6241000000000003</v>
      </c>
      <c r="BB216" s="319"/>
      <c r="BC216" s="321">
        <f t="shared" si="18"/>
        <v>1.2699042670900083</v>
      </c>
      <c r="BD216" s="321">
        <f t="shared" si="19"/>
        <v>1.2699042670900083</v>
      </c>
      <c r="BE216" s="321">
        <f t="shared" si="20"/>
        <v>1.1778724508553018</v>
      </c>
      <c r="BG216" s="22">
        <f t="shared" si="21"/>
        <v>2.7755575615628914E-15</v>
      </c>
      <c r="BH216" s="22">
        <f t="shared" si="22"/>
        <v>0</v>
      </c>
      <c r="BI216" s="22">
        <f t="shared" si="23"/>
        <v>1.0547118733938987E-15</v>
      </c>
    </row>
    <row r="217" spans="2:61" x14ac:dyDescent="0.25">
      <c r="B217" s="312">
        <v>210</v>
      </c>
      <c r="C217" s="312" t="s">
        <v>886</v>
      </c>
      <c r="D217" s="312" t="s">
        <v>391</v>
      </c>
      <c r="E217" s="312">
        <v>5</v>
      </c>
      <c r="F217" s="312">
        <v>8</v>
      </c>
      <c r="G217" s="313" t="s">
        <v>155</v>
      </c>
      <c r="H217" s="313"/>
      <c r="I217" s="313">
        <v>5834.66</v>
      </c>
      <c r="J217" s="312">
        <v>5834.66</v>
      </c>
      <c r="K217" s="312">
        <v>0</v>
      </c>
      <c r="L217" s="312">
        <v>0</v>
      </c>
      <c r="M217" s="317"/>
      <c r="N217" s="319">
        <v>0.1537</v>
      </c>
      <c r="O217" s="319">
        <v>9.3299999999999994E-2</v>
      </c>
      <c r="P217" s="319">
        <v>0.33289999999999997</v>
      </c>
      <c r="Q217" s="319">
        <v>7.2300000000000003E-2</v>
      </c>
      <c r="R217" s="319">
        <v>4.4499999999999998E-2</v>
      </c>
      <c r="S217" s="319">
        <v>0.71540000000000004</v>
      </c>
      <c r="T217" s="319">
        <v>0</v>
      </c>
      <c r="U217" s="319">
        <v>0.63149999999999995</v>
      </c>
      <c r="V217" s="319">
        <v>0</v>
      </c>
      <c r="W217" s="319">
        <v>0</v>
      </c>
      <c r="X217" s="319">
        <v>0.1613</v>
      </c>
      <c r="Y217" s="319">
        <v>0</v>
      </c>
      <c r="Z217" s="319">
        <v>2.0259</v>
      </c>
      <c r="AA217" s="319">
        <v>0.2026</v>
      </c>
      <c r="AB217" s="319">
        <v>0.30509999999999998</v>
      </c>
      <c r="AC217" s="319">
        <v>9.1499999999999998E-2</v>
      </c>
      <c r="AD217" s="319">
        <v>9.8100000000000007E-2</v>
      </c>
      <c r="AE217" s="319">
        <v>8.6599999999999996E-2</v>
      </c>
      <c r="AF217" s="319">
        <v>0.27500000000000002</v>
      </c>
      <c r="AG217" s="319">
        <v>3.27E-2</v>
      </c>
      <c r="AH217" s="319">
        <v>0</v>
      </c>
      <c r="AI217" s="319">
        <v>2.4125000000000001</v>
      </c>
      <c r="AJ217" s="319">
        <v>1.0525</v>
      </c>
      <c r="AK217" s="319">
        <v>8.6300000000000002E-2</v>
      </c>
      <c r="AL217" s="319">
        <v>0.43049999999999999</v>
      </c>
      <c r="AM217" s="319">
        <v>5.7799999999999997E-2</v>
      </c>
      <c r="AN217" s="319">
        <v>9.4000000000000004E-3</v>
      </c>
      <c r="AO217" s="319">
        <v>0.20230000000000001</v>
      </c>
      <c r="AP217" s="319">
        <v>0</v>
      </c>
      <c r="AQ217" s="319">
        <v>0</v>
      </c>
      <c r="AR217" s="319">
        <v>0.47870000000000001</v>
      </c>
      <c r="AS217" s="319">
        <v>0.47870000000000001</v>
      </c>
      <c r="AT217" s="331">
        <v>0.27379999999999999</v>
      </c>
      <c r="AU217" s="336">
        <v>10.0524</v>
      </c>
      <c r="AV217" s="329">
        <v>10.0524</v>
      </c>
      <c r="AW217" s="337">
        <v>5.7497000000000007</v>
      </c>
      <c r="AX217" s="334"/>
      <c r="AY217" s="323">
        <v>7.9155999999999995</v>
      </c>
      <c r="AZ217" s="323">
        <v>7.9155999999999995</v>
      </c>
      <c r="BA217" s="323">
        <v>5.0331000000000001</v>
      </c>
      <c r="BB217" s="319"/>
      <c r="BC217" s="321">
        <f t="shared" si="18"/>
        <v>1.2699479508818032</v>
      </c>
      <c r="BD217" s="321">
        <f t="shared" si="19"/>
        <v>1.2699479508818032</v>
      </c>
      <c r="BE217" s="321">
        <f t="shared" si="20"/>
        <v>1.1423774612068109</v>
      </c>
      <c r="BG217" s="22">
        <f t="shared" si="21"/>
        <v>0</v>
      </c>
      <c r="BH217" s="22">
        <f t="shared" si="22"/>
        <v>1.4432899320127035E-15</v>
      </c>
      <c r="BI217" s="22">
        <f t="shared" si="23"/>
        <v>5.5511151231257827E-16</v>
      </c>
    </row>
    <row r="218" spans="2:61" x14ac:dyDescent="0.25">
      <c r="B218" s="312">
        <v>211</v>
      </c>
      <c r="C218" s="312" t="s">
        <v>888</v>
      </c>
      <c r="D218" s="312" t="s">
        <v>391</v>
      </c>
      <c r="E218" s="312">
        <v>5</v>
      </c>
      <c r="F218" s="312">
        <v>4</v>
      </c>
      <c r="G218" s="313" t="s">
        <v>156</v>
      </c>
      <c r="H218" s="313"/>
      <c r="I218" s="313">
        <v>2790.82</v>
      </c>
      <c r="J218" s="312">
        <v>2790.82</v>
      </c>
      <c r="K218" s="312">
        <v>0</v>
      </c>
      <c r="L218" s="312">
        <v>0</v>
      </c>
      <c r="M218" s="317"/>
      <c r="N218" s="319">
        <v>0.16470000000000001</v>
      </c>
      <c r="O218" s="319">
        <v>9.1300000000000006E-2</v>
      </c>
      <c r="P218" s="319">
        <v>0.32529999999999998</v>
      </c>
      <c r="Q218" s="319">
        <v>7.1400000000000005E-2</v>
      </c>
      <c r="R218" s="319">
        <v>3.2199999999999999E-2</v>
      </c>
      <c r="S218" s="319">
        <v>0.4929</v>
      </c>
      <c r="T218" s="319">
        <v>0</v>
      </c>
      <c r="U218" s="319">
        <v>0.63149999999999995</v>
      </c>
      <c r="V218" s="319">
        <v>0</v>
      </c>
      <c r="W218" s="319">
        <v>0</v>
      </c>
      <c r="X218" s="319">
        <v>0.17</v>
      </c>
      <c r="Y218" s="319">
        <v>0</v>
      </c>
      <c r="Z218" s="319">
        <v>2.5939000000000001</v>
      </c>
      <c r="AA218" s="319">
        <v>0.22090000000000001</v>
      </c>
      <c r="AB218" s="319">
        <v>0.33279999999999998</v>
      </c>
      <c r="AC218" s="319">
        <v>8.8499999999999995E-2</v>
      </c>
      <c r="AD218" s="319">
        <v>0.1212</v>
      </c>
      <c r="AE218" s="319">
        <v>6.2700000000000006E-2</v>
      </c>
      <c r="AF218" s="319">
        <v>0.1699</v>
      </c>
      <c r="AG218" s="319">
        <v>3.3300000000000003E-2</v>
      </c>
      <c r="AH218" s="319">
        <v>0</v>
      </c>
      <c r="AI218" s="319">
        <v>1.4924999999999999</v>
      </c>
      <c r="AJ218" s="319">
        <v>1.1157999999999999</v>
      </c>
      <c r="AK218" s="319">
        <v>8.6499999999999994E-2</v>
      </c>
      <c r="AL218" s="319">
        <v>0.53049999999999997</v>
      </c>
      <c r="AM218" s="319">
        <v>5.7500000000000002E-2</v>
      </c>
      <c r="AN218" s="319">
        <v>9.2999999999999992E-3</v>
      </c>
      <c r="AO218" s="319">
        <v>0.24110000000000001</v>
      </c>
      <c r="AP218" s="319">
        <v>0</v>
      </c>
      <c r="AQ218" s="319">
        <v>0</v>
      </c>
      <c r="AR218" s="319">
        <v>0.45679999999999998</v>
      </c>
      <c r="AS218" s="319">
        <v>0.45679999999999998</v>
      </c>
      <c r="AT218" s="331">
        <v>0.2878</v>
      </c>
      <c r="AU218" s="336">
        <v>9.5924999999999958</v>
      </c>
      <c r="AV218" s="329">
        <v>9.5924999999999958</v>
      </c>
      <c r="AW218" s="337">
        <v>6.043599999999997</v>
      </c>
      <c r="AX218" s="334"/>
      <c r="AY218" s="323">
        <v>7.5535999999999994</v>
      </c>
      <c r="AZ218" s="323">
        <v>7.5535999999999994</v>
      </c>
      <c r="BA218" s="323">
        <v>4.9210000000000003</v>
      </c>
      <c r="BB218" s="319"/>
      <c r="BC218" s="321">
        <f t="shared" si="18"/>
        <v>1.2699242745181101</v>
      </c>
      <c r="BD218" s="321">
        <f t="shared" si="19"/>
        <v>1.2699242745181101</v>
      </c>
      <c r="BE218" s="321">
        <f t="shared" si="20"/>
        <v>1.2281243649664695</v>
      </c>
      <c r="BG218" s="22">
        <f t="shared" si="21"/>
        <v>-6.4392935428259079E-15</v>
      </c>
      <c r="BH218" s="22">
        <f t="shared" si="22"/>
        <v>-9.4368957093138306E-16</v>
      </c>
      <c r="BI218" s="22">
        <f t="shared" si="23"/>
        <v>-2.7200464103316335E-15</v>
      </c>
    </row>
    <row r="219" spans="2:61" x14ac:dyDescent="0.25">
      <c r="B219" s="312">
        <v>212</v>
      </c>
      <c r="C219" s="312" t="s">
        <v>890</v>
      </c>
      <c r="D219" s="312" t="s">
        <v>391</v>
      </c>
      <c r="E219" s="312">
        <v>5</v>
      </c>
      <c r="F219" s="312">
        <v>2</v>
      </c>
      <c r="G219" s="313" t="s">
        <v>157</v>
      </c>
      <c r="H219" s="313"/>
      <c r="I219" s="313">
        <v>4322.1400000000003</v>
      </c>
      <c r="J219" s="312">
        <v>4322.1400000000003</v>
      </c>
      <c r="K219" s="312">
        <v>0</v>
      </c>
      <c r="L219" s="312">
        <v>0</v>
      </c>
      <c r="M219" s="317"/>
      <c r="N219" s="319">
        <v>0.1593</v>
      </c>
      <c r="O219" s="319">
        <v>8.9700000000000002E-2</v>
      </c>
      <c r="P219" s="319">
        <v>0.32490000000000002</v>
      </c>
      <c r="Q219" s="319">
        <v>7.5600000000000001E-2</v>
      </c>
      <c r="R219" s="319">
        <v>0</v>
      </c>
      <c r="S219" s="319">
        <v>0.28710000000000002</v>
      </c>
      <c r="T219" s="319">
        <v>0</v>
      </c>
      <c r="U219" s="319">
        <v>0.63149999999999995</v>
      </c>
      <c r="V219" s="319">
        <v>0</v>
      </c>
      <c r="W219" s="319">
        <v>0</v>
      </c>
      <c r="X219" s="319">
        <v>0.28720000000000001</v>
      </c>
      <c r="Y219" s="319">
        <v>0</v>
      </c>
      <c r="Z219" s="319">
        <v>0.94669999999999999</v>
      </c>
      <c r="AA219" s="319">
        <v>0.22259999999999999</v>
      </c>
      <c r="AB219" s="319">
        <v>0.30890000000000001</v>
      </c>
      <c r="AC219" s="319">
        <v>8.5199999999999998E-2</v>
      </c>
      <c r="AD219" s="319">
        <v>0.1105</v>
      </c>
      <c r="AE219" s="319">
        <v>0</v>
      </c>
      <c r="AF219" s="319">
        <v>0.1145</v>
      </c>
      <c r="AG219" s="319">
        <v>3.44E-2</v>
      </c>
      <c r="AH219" s="319">
        <v>0</v>
      </c>
      <c r="AI219" s="319">
        <v>3.6955</v>
      </c>
      <c r="AJ219" s="319">
        <v>1.9261999999999999</v>
      </c>
      <c r="AK219" s="319">
        <v>0.1042</v>
      </c>
      <c r="AL219" s="319">
        <v>0.43690000000000001</v>
      </c>
      <c r="AM219" s="319">
        <v>5.79E-2</v>
      </c>
      <c r="AN219" s="319">
        <v>9.4000000000000004E-3</v>
      </c>
      <c r="AO219" s="319">
        <v>0.4</v>
      </c>
      <c r="AP219" s="319">
        <v>0</v>
      </c>
      <c r="AQ219" s="319">
        <v>0</v>
      </c>
      <c r="AR219" s="319">
        <v>0.51539999999999997</v>
      </c>
      <c r="AS219" s="319">
        <v>0.51539999999999997</v>
      </c>
      <c r="AT219" s="331">
        <v>0.1925</v>
      </c>
      <c r="AU219" s="336">
        <v>10.823599999999999</v>
      </c>
      <c r="AV219" s="329">
        <v>10.823599999999999</v>
      </c>
      <c r="AW219" s="337">
        <v>4.0420999999999996</v>
      </c>
      <c r="AX219" s="334"/>
      <c r="AY219" s="323">
        <v>8.5230000000000015</v>
      </c>
      <c r="AZ219" s="323">
        <v>8.5230000000000015</v>
      </c>
      <c r="BA219" s="323">
        <v>3.9402000000000008</v>
      </c>
      <c r="BB219" s="319"/>
      <c r="BC219" s="321">
        <f t="shared" si="18"/>
        <v>1.2699284289569397</v>
      </c>
      <c r="BD219" s="321">
        <f t="shared" si="19"/>
        <v>1.2699284289569397</v>
      </c>
      <c r="BE219" s="321">
        <f t="shared" si="20"/>
        <v>1.0258616313892692</v>
      </c>
      <c r="BG219" s="22">
        <f t="shared" si="21"/>
        <v>-2.4424906541753444E-15</v>
      </c>
      <c r="BH219" s="22">
        <f t="shared" si="22"/>
        <v>0</v>
      </c>
      <c r="BI219" s="22">
        <f t="shared" si="23"/>
        <v>0</v>
      </c>
    </row>
    <row r="220" spans="2:61" x14ac:dyDescent="0.25">
      <c r="B220" s="312">
        <v>213</v>
      </c>
      <c r="C220" s="312" t="s">
        <v>892</v>
      </c>
      <c r="D220" s="312" t="s">
        <v>391</v>
      </c>
      <c r="E220" s="312">
        <v>9</v>
      </c>
      <c r="F220" s="312">
        <v>1</v>
      </c>
      <c r="G220" s="313" t="s">
        <v>233</v>
      </c>
      <c r="H220" s="313"/>
      <c r="I220" s="313">
        <v>3415.63</v>
      </c>
      <c r="J220" s="312">
        <v>433.69000000000005</v>
      </c>
      <c r="K220" s="312">
        <v>2981.94</v>
      </c>
      <c r="L220" s="312">
        <v>0</v>
      </c>
      <c r="M220" s="317"/>
      <c r="N220" s="319">
        <v>0.19189999999999999</v>
      </c>
      <c r="O220" s="319">
        <v>7.3499999999999996E-2</v>
      </c>
      <c r="P220" s="319">
        <v>0.26090000000000002</v>
      </c>
      <c r="Q220" s="319">
        <v>6.4699999999999994E-2</v>
      </c>
      <c r="R220" s="319">
        <v>3.2199999999999999E-2</v>
      </c>
      <c r="S220" s="319">
        <v>0.1384</v>
      </c>
      <c r="T220" s="319">
        <v>0</v>
      </c>
      <c r="U220" s="319">
        <v>0.63149999999999995</v>
      </c>
      <c r="V220" s="319">
        <v>1.1493</v>
      </c>
      <c r="W220" s="319">
        <v>0</v>
      </c>
      <c r="X220" s="319">
        <v>0.1019</v>
      </c>
      <c r="Y220" s="319">
        <v>0</v>
      </c>
      <c r="Z220" s="319">
        <v>1.3118000000000001</v>
      </c>
      <c r="AA220" s="319">
        <v>0.2631</v>
      </c>
      <c r="AB220" s="319">
        <v>0.26300000000000001</v>
      </c>
      <c r="AC220" s="319">
        <v>0.12039999999999999</v>
      </c>
      <c r="AD220" s="319">
        <v>0.1124</v>
      </c>
      <c r="AE220" s="319">
        <v>6.2600000000000003E-2</v>
      </c>
      <c r="AF220" s="319">
        <v>3.9199999999999999E-2</v>
      </c>
      <c r="AG220" s="319">
        <v>2.41E-2</v>
      </c>
      <c r="AH220" s="319">
        <v>0</v>
      </c>
      <c r="AI220" s="319">
        <v>2.1362000000000001</v>
      </c>
      <c r="AJ220" s="319">
        <v>1.4784999999999999</v>
      </c>
      <c r="AK220" s="319">
        <v>0.109</v>
      </c>
      <c r="AL220" s="319">
        <v>0.46160000000000001</v>
      </c>
      <c r="AM220" s="319">
        <v>4.7399999999999998E-2</v>
      </c>
      <c r="AN220" s="319">
        <v>7.7000000000000002E-3</v>
      </c>
      <c r="AO220" s="319">
        <v>0.35460000000000003</v>
      </c>
      <c r="AP220" s="319">
        <v>0.19089999999999999</v>
      </c>
      <c r="AQ220" s="319">
        <v>0</v>
      </c>
      <c r="AR220" s="319">
        <v>0.4143</v>
      </c>
      <c r="AS220" s="319">
        <v>0.48130000000000001</v>
      </c>
      <c r="AT220" s="331">
        <v>0.1928</v>
      </c>
      <c r="AU220" s="336">
        <v>8.7009000000000007</v>
      </c>
      <c r="AV220" s="329">
        <v>10.108099999999999</v>
      </c>
      <c r="AW220" s="337">
        <v>4.0485000000000007</v>
      </c>
      <c r="AX220" s="334"/>
      <c r="AY220" s="323">
        <v>6.8514000000000008</v>
      </c>
      <c r="AZ220" s="323">
        <v>8.654300000000001</v>
      </c>
      <c r="BA220" s="323">
        <v>3.7109000000000005</v>
      </c>
      <c r="BB220" s="319"/>
      <c r="BC220" s="321">
        <f t="shared" si="18"/>
        <v>1.2699448287941151</v>
      </c>
      <c r="BD220" s="321">
        <f t="shared" si="19"/>
        <v>1.1679858567417349</v>
      </c>
      <c r="BE220" s="321">
        <f t="shared" si="20"/>
        <v>1.0909752351181654</v>
      </c>
      <c r="BG220" s="22">
        <f t="shared" si="21"/>
        <v>3.1086244689504383E-15</v>
      </c>
      <c r="BH220" s="22">
        <f t="shared" si="22"/>
        <v>-5.8286708792820718E-16</v>
      </c>
      <c r="BI220" s="22">
        <f t="shared" si="23"/>
        <v>3.0531133177191805E-16</v>
      </c>
    </row>
    <row r="221" spans="2:61" x14ac:dyDescent="0.25">
      <c r="B221" s="312">
        <v>214</v>
      </c>
      <c r="C221" s="312" t="s">
        <v>894</v>
      </c>
      <c r="D221" s="312" t="s">
        <v>391</v>
      </c>
      <c r="E221" s="312">
        <v>5</v>
      </c>
      <c r="F221" s="312">
        <v>4</v>
      </c>
      <c r="G221" s="313" t="s">
        <v>158</v>
      </c>
      <c r="H221" s="313"/>
      <c r="I221" s="313">
        <v>2757.82</v>
      </c>
      <c r="J221" s="312">
        <v>2663.32</v>
      </c>
      <c r="K221" s="312">
        <v>0</v>
      </c>
      <c r="L221" s="312">
        <v>94.5</v>
      </c>
      <c r="M221" s="317"/>
      <c r="N221" s="319">
        <v>0.1641</v>
      </c>
      <c r="O221" s="319">
        <v>9.2399999999999996E-2</v>
      </c>
      <c r="P221" s="319">
        <v>0.32400000000000001</v>
      </c>
      <c r="Q221" s="319">
        <v>7.3899999999999993E-2</v>
      </c>
      <c r="R221" s="319">
        <v>3.2599999999999997E-2</v>
      </c>
      <c r="S221" s="319">
        <v>0.49880000000000002</v>
      </c>
      <c r="T221" s="319">
        <v>0</v>
      </c>
      <c r="U221" s="319">
        <v>0.63149999999999995</v>
      </c>
      <c r="V221" s="319">
        <v>0</v>
      </c>
      <c r="W221" s="319">
        <v>0</v>
      </c>
      <c r="X221" s="319">
        <v>0.16919999999999999</v>
      </c>
      <c r="Y221" s="319">
        <v>0</v>
      </c>
      <c r="Z221" s="319">
        <v>2.2696999999999998</v>
      </c>
      <c r="AA221" s="319">
        <v>0.21940000000000001</v>
      </c>
      <c r="AB221" s="319">
        <v>0.3276</v>
      </c>
      <c r="AC221" s="319">
        <v>8.7800000000000003E-2</v>
      </c>
      <c r="AD221" s="319">
        <v>0.10199999999999999</v>
      </c>
      <c r="AE221" s="319">
        <v>6.3399999999999998E-2</v>
      </c>
      <c r="AF221" s="319">
        <v>0.1719</v>
      </c>
      <c r="AG221" s="319">
        <v>3.2199999999999999E-2</v>
      </c>
      <c r="AH221" s="319">
        <v>0</v>
      </c>
      <c r="AI221" s="319">
        <v>2.2970000000000002</v>
      </c>
      <c r="AJ221" s="319">
        <v>1.2364999999999999</v>
      </c>
      <c r="AK221" s="319">
        <v>9.2299999999999993E-2</v>
      </c>
      <c r="AL221" s="319">
        <v>0.44219999999999998</v>
      </c>
      <c r="AM221" s="319">
        <v>5.8299999999999998E-2</v>
      </c>
      <c r="AN221" s="319">
        <v>9.4999999999999998E-3</v>
      </c>
      <c r="AO221" s="319">
        <v>0.38279999999999997</v>
      </c>
      <c r="AP221" s="319">
        <v>0</v>
      </c>
      <c r="AQ221" s="319">
        <v>0</v>
      </c>
      <c r="AR221" s="319">
        <v>0.48899999999999999</v>
      </c>
      <c r="AS221" s="319">
        <v>0.48899999999999999</v>
      </c>
      <c r="AT221" s="331">
        <v>0.27100000000000002</v>
      </c>
      <c r="AU221" s="336">
        <v>10.268099999999997</v>
      </c>
      <c r="AV221" s="329">
        <v>10.268099999999997</v>
      </c>
      <c r="AW221" s="337">
        <v>5.6915999999999967</v>
      </c>
      <c r="AX221" s="334"/>
      <c r="AY221" s="323">
        <v>8.0854999999999997</v>
      </c>
      <c r="AZ221" s="323">
        <v>8.0854999999999997</v>
      </c>
      <c r="BA221" s="323">
        <v>4.7710999999999988</v>
      </c>
      <c r="BB221" s="319"/>
      <c r="BC221" s="321">
        <f t="shared" si="18"/>
        <v>1.2699400160781642</v>
      </c>
      <c r="BD221" s="321">
        <f t="shared" si="19"/>
        <v>1.2699400160781642</v>
      </c>
      <c r="BE221" s="321">
        <f t="shared" si="20"/>
        <v>1.1929324474439853</v>
      </c>
      <c r="BG221" s="22">
        <f t="shared" si="21"/>
        <v>-2.6090241078691179E-15</v>
      </c>
      <c r="BH221" s="22">
        <f t="shared" si="22"/>
        <v>-8.6042284408449632E-16</v>
      </c>
      <c r="BI221" s="22">
        <f t="shared" si="23"/>
        <v>-2.6367796834847468E-15</v>
      </c>
    </row>
    <row r="222" spans="2:61" x14ac:dyDescent="0.25">
      <c r="B222" s="312">
        <v>215</v>
      </c>
      <c r="C222" s="312" t="s">
        <v>896</v>
      </c>
      <c r="D222" s="312" t="s">
        <v>391</v>
      </c>
      <c r="E222" s="312">
        <v>5</v>
      </c>
      <c r="F222" s="312">
        <v>2</v>
      </c>
      <c r="G222" s="313" t="s">
        <v>159</v>
      </c>
      <c r="H222" s="313"/>
      <c r="I222" s="313">
        <v>2615.1</v>
      </c>
      <c r="J222" s="312">
        <v>2007.6</v>
      </c>
      <c r="K222" s="312">
        <v>0</v>
      </c>
      <c r="L222" s="312">
        <v>607.5</v>
      </c>
      <c r="M222" s="317"/>
      <c r="N222" s="319">
        <v>0.17050000000000001</v>
      </c>
      <c r="O222" s="319">
        <v>7.9200000000000007E-2</v>
      </c>
      <c r="P222" s="319">
        <v>0</v>
      </c>
      <c r="Q222" s="319">
        <v>0</v>
      </c>
      <c r="R222" s="319">
        <v>3.44E-2</v>
      </c>
      <c r="S222" s="319">
        <v>0.22040000000000001</v>
      </c>
      <c r="T222" s="319">
        <v>0</v>
      </c>
      <c r="U222" s="319">
        <v>0.61070000000000002</v>
      </c>
      <c r="V222" s="319">
        <v>0</v>
      </c>
      <c r="W222" s="319">
        <v>0</v>
      </c>
      <c r="X222" s="319">
        <v>0.254</v>
      </c>
      <c r="Y222" s="319">
        <v>0</v>
      </c>
      <c r="Z222" s="319">
        <v>1.2559</v>
      </c>
      <c r="AA222" s="319">
        <v>0.23830000000000001</v>
      </c>
      <c r="AB222" s="319">
        <v>0.312</v>
      </c>
      <c r="AC222" s="319">
        <v>0</v>
      </c>
      <c r="AD222" s="319">
        <v>0</v>
      </c>
      <c r="AE222" s="319">
        <v>6.6900000000000001E-2</v>
      </c>
      <c r="AF222" s="319">
        <v>6.4500000000000002E-2</v>
      </c>
      <c r="AG222" s="319">
        <v>2.87E-2</v>
      </c>
      <c r="AH222" s="319">
        <v>0</v>
      </c>
      <c r="AI222" s="319">
        <v>3.1042000000000001</v>
      </c>
      <c r="AJ222" s="319">
        <v>0.77490000000000003</v>
      </c>
      <c r="AK222" s="319">
        <v>5.9200000000000003E-2</v>
      </c>
      <c r="AL222" s="319">
        <v>0.74409999999999998</v>
      </c>
      <c r="AM222" s="319">
        <v>0</v>
      </c>
      <c r="AN222" s="319">
        <v>0</v>
      </c>
      <c r="AO222" s="319">
        <v>0.67030000000000001</v>
      </c>
      <c r="AP222" s="319">
        <v>0</v>
      </c>
      <c r="AQ222" s="319">
        <v>0</v>
      </c>
      <c r="AR222" s="319">
        <v>0.43440000000000001</v>
      </c>
      <c r="AS222" s="319">
        <v>0.43440000000000001</v>
      </c>
      <c r="AT222" s="331">
        <v>0.16969999999999999</v>
      </c>
      <c r="AU222" s="336">
        <v>9.1225999999999985</v>
      </c>
      <c r="AV222" s="329">
        <v>9.1225999999999985</v>
      </c>
      <c r="AW222" s="337">
        <v>3.5644</v>
      </c>
      <c r="AX222" s="334"/>
      <c r="AY222" s="323">
        <v>7.1834999999999996</v>
      </c>
      <c r="AZ222" s="323">
        <v>7.1834999999999996</v>
      </c>
      <c r="BA222" s="323">
        <v>2.8521999999999994</v>
      </c>
      <c r="BB222" s="319"/>
      <c r="BC222" s="321">
        <f t="shared" si="18"/>
        <v>1.2699380524813808</v>
      </c>
      <c r="BD222" s="321">
        <f t="shared" si="19"/>
        <v>1.2699380524813808</v>
      </c>
      <c r="BE222" s="321">
        <f t="shared" si="20"/>
        <v>1.2497019844330695</v>
      </c>
      <c r="BG222" s="22">
        <f t="shared" si="21"/>
        <v>-1.3322676295501878E-15</v>
      </c>
      <c r="BH222" s="22">
        <f t="shared" si="22"/>
        <v>0</v>
      </c>
      <c r="BI222" s="22">
        <f t="shared" si="23"/>
        <v>-7.4940054162198066E-16</v>
      </c>
    </row>
    <row r="223" spans="2:61" x14ac:dyDescent="0.25">
      <c r="B223" s="312">
        <v>216</v>
      </c>
      <c r="C223" s="312" t="s">
        <v>898</v>
      </c>
      <c r="D223" s="312" t="s">
        <v>391</v>
      </c>
      <c r="E223" s="312">
        <v>5</v>
      </c>
      <c r="F223" s="312">
        <v>4</v>
      </c>
      <c r="G223" s="313" t="s">
        <v>161</v>
      </c>
      <c r="H223" s="313"/>
      <c r="I223" s="313">
        <v>2755.64</v>
      </c>
      <c r="J223" s="312">
        <v>2755.64</v>
      </c>
      <c r="K223" s="312">
        <v>0</v>
      </c>
      <c r="L223" s="312">
        <v>0</v>
      </c>
      <c r="M223" s="317"/>
      <c r="N223" s="319">
        <v>0.16669999999999999</v>
      </c>
      <c r="O223" s="319">
        <v>9.2399999999999996E-2</v>
      </c>
      <c r="P223" s="319">
        <v>0.32419999999999999</v>
      </c>
      <c r="Q223" s="319">
        <v>7.4099999999999999E-2</v>
      </c>
      <c r="R223" s="319">
        <v>3.2599999999999997E-2</v>
      </c>
      <c r="S223" s="319">
        <v>0.49919999999999998</v>
      </c>
      <c r="T223" s="319">
        <v>0</v>
      </c>
      <c r="U223" s="319">
        <v>0.63149999999999995</v>
      </c>
      <c r="V223" s="319">
        <v>0</v>
      </c>
      <c r="W223" s="319">
        <v>0</v>
      </c>
      <c r="X223" s="319">
        <v>0.1779</v>
      </c>
      <c r="Y223" s="319">
        <v>0</v>
      </c>
      <c r="Z223" s="319">
        <v>2.3875999999999999</v>
      </c>
      <c r="AA223" s="319">
        <v>0.221</v>
      </c>
      <c r="AB223" s="319">
        <v>0.33579999999999999</v>
      </c>
      <c r="AC223" s="319">
        <v>8.7800000000000003E-2</v>
      </c>
      <c r="AD223" s="319">
        <v>0.1026</v>
      </c>
      <c r="AE223" s="319">
        <v>6.3500000000000001E-2</v>
      </c>
      <c r="AF223" s="319">
        <v>0.1721</v>
      </c>
      <c r="AG223" s="319">
        <v>3.3599999999999998E-2</v>
      </c>
      <c r="AH223" s="319">
        <v>0</v>
      </c>
      <c r="AI223" s="319">
        <v>1.9832000000000001</v>
      </c>
      <c r="AJ223" s="319">
        <v>1.141</v>
      </c>
      <c r="AK223" s="319">
        <v>9.2399999999999996E-2</v>
      </c>
      <c r="AL223" s="319">
        <v>0.41020000000000001</v>
      </c>
      <c r="AM223" s="319">
        <v>5.8299999999999998E-2</v>
      </c>
      <c r="AN223" s="319">
        <v>9.4999999999999998E-3</v>
      </c>
      <c r="AO223" s="319">
        <v>0.45829999999999999</v>
      </c>
      <c r="AP223" s="319">
        <v>0</v>
      </c>
      <c r="AQ223" s="319">
        <v>0</v>
      </c>
      <c r="AR223" s="319">
        <v>0.4778</v>
      </c>
      <c r="AS223" s="319">
        <v>0.4778</v>
      </c>
      <c r="AT223" s="331">
        <v>0.27810000000000001</v>
      </c>
      <c r="AU223" s="336">
        <v>10.033299999999997</v>
      </c>
      <c r="AV223" s="329">
        <v>10.033299999999997</v>
      </c>
      <c r="AW223" s="337">
        <v>5.8408999999999978</v>
      </c>
      <c r="AX223" s="334"/>
      <c r="AY223" s="323">
        <v>7.900599999999999</v>
      </c>
      <c r="AZ223" s="323">
        <v>7.900599999999999</v>
      </c>
      <c r="BA223" s="323">
        <v>4.8411999999999988</v>
      </c>
      <c r="BB223" s="319"/>
      <c r="BC223" s="321">
        <f t="shared" si="18"/>
        <v>1.2699415234286002</v>
      </c>
      <c r="BD223" s="321">
        <f t="shared" si="19"/>
        <v>1.2699415234286002</v>
      </c>
      <c r="BE223" s="321">
        <f t="shared" si="20"/>
        <v>1.2064983888292158</v>
      </c>
      <c r="BG223" s="22">
        <f t="shared" si="21"/>
        <v>-1.0547118733938987E-15</v>
      </c>
      <c r="BH223" s="22">
        <f t="shared" si="22"/>
        <v>0</v>
      </c>
      <c r="BI223" s="22">
        <f t="shared" si="23"/>
        <v>-1.8041124150158794E-15</v>
      </c>
    </row>
    <row r="224" spans="2:61" x14ac:dyDescent="0.25">
      <c r="B224" s="312">
        <v>217</v>
      </c>
      <c r="C224" s="312" t="s">
        <v>900</v>
      </c>
      <c r="D224" s="312" t="s">
        <v>391</v>
      </c>
      <c r="E224" s="312">
        <v>5</v>
      </c>
      <c r="F224" s="312">
        <v>4</v>
      </c>
      <c r="G224" s="313" t="s">
        <v>162</v>
      </c>
      <c r="H224" s="313"/>
      <c r="I224" s="313">
        <v>2742.99</v>
      </c>
      <c r="J224" s="312">
        <v>2742.99</v>
      </c>
      <c r="K224" s="312">
        <v>0</v>
      </c>
      <c r="L224" s="312">
        <v>0</v>
      </c>
      <c r="M224" s="317"/>
      <c r="N224" s="319">
        <v>0.16719999999999999</v>
      </c>
      <c r="O224" s="319">
        <v>9.2799999999999994E-2</v>
      </c>
      <c r="P224" s="319">
        <v>0.32490000000000002</v>
      </c>
      <c r="Q224" s="319">
        <v>7.4300000000000005E-2</v>
      </c>
      <c r="R224" s="319">
        <v>2.9100000000000001E-2</v>
      </c>
      <c r="S224" s="319">
        <v>0.50149999999999995</v>
      </c>
      <c r="T224" s="319">
        <v>0</v>
      </c>
      <c r="U224" s="319">
        <v>0.63149999999999995</v>
      </c>
      <c r="V224" s="319">
        <v>0</v>
      </c>
      <c r="W224" s="319">
        <v>0</v>
      </c>
      <c r="X224" s="319">
        <v>0.1759</v>
      </c>
      <c r="Y224" s="319">
        <v>0</v>
      </c>
      <c r="Z224" s="319">
        <v>2.3445</v>
      </c>
      <c r="AA224" s="319">
        <v>0.22140000000000001</v>
      </c>
      <c r="AB224" s="319">
        <v>0.32919999999999999</v>
      </c>
      <c r="AC224" s="319">
        <v>8.7800000000000003E-2</v>
      </c>
      <c r="AD224" s="319">
        <v>0.1037</v>
      </c>
      <c r="AE224" s="319">
        <v>5.67E-2</v>
      </c>
      <c r="AF224" s="319">
        <v>0.1729</v>
      </c>
      <c r="AG224" s="319">
        <v>3.3700000000000001E-2</v>
      </c>
      <c r="AH224" s="319">
        <v>0</v>
      </c>
      <c r="AI224" s="319">
        <v>2.3384999999999998</v>
      </c>
      <c r="AJ224" s="319">
        <v>1.1509</v>
      </c>
      <c r="AK224" s="319">
        <v>9.2700000000000005E-2</v>
      </c>
      <c r="AL224" s="319">
        <v>0.41210000000000002</v>
      </c>
      <c r="AM224" s="319">
        <v>5.8500000000000003E-2</v>
      </c>
      <c r="AN224" s="319">
        <v>9.4999999999999998E-3</v>
      </c>
      <c r="AO224" s="319">
        <v>0.41510000000000002</v>
      </c>
      <c r="AP224" s="319">
        <v>0</v>
      </c>
      <c r="AQ224" s="319">
        <v>0</v>
      </c>
      <c r="AR224" s="319">
        <v>0.49120000000000003</v>
      </c>
      <c r="AS224" s="319">
        <v>0.49120000000000003</v>
      </c>
      <c r="AT224" s="331">
        <v>0.27539999999999998</v>
      </c>
      <c r="AU224" s="336">
        <v>10.3156</v>
      </c>
      <c r="AV224" s="329">
        <v>10.3156</v>
      </c>
      <c r="AW224" s="337">
        <v>5.7831999999999999</v>
      </c>
      <c r="AX224" s="334"/>
      <c r="AY224" s="323">
        <v>8.1229999999999993</v>
      </c>
      <c r="AZ224" s="323">
        <v>8.1229999999999993</v>
      </c>
      <c r="BA224" s="323">
        <v>4.7888999999999999</v>
      </c>
      <c r="BB224" s="319"/>
      <c r="BC224" s="321">
        <f t="shared" si="18"/>
        <v>1.2699249045918997</v>
      </c>
      <c r="BD224" s="321">
        <f t="shared" si="19"/>
        <v>1.2699249045918997</v>
      </c>
      <c r="BE224" s="321">
        <f t="shared" si="20"/>
        <v>1.2076259683852242</v>
      </c>
      <c r="BG224" s="22">
        <f t="shared" si="21"/>
        <v>2.4980018054066022E-15</v>
      </c>
      <c r="BH224" s="22">
        <f t="shared" si="22"/>
        <v>-4.7184478546569153E-16</v>
      </c>
      <c r="BI224" s="22">
        <f t="shared" si="23"/>
        <v>-4.7184478546569153E-16</v>
      </c>
    </row>
    <row r="225" spans="2:61" x14ac:dyDescent="0.25">
      <c r="B225" s="312">
        <v>218</v>
      </c>
      <c r="C225" s="312" t="s">
        <v>902</v>
      </c>
      <c r="D225" s="312" t="s">
        <v>391</v>
      </c>
      <c r="E225" s="312">
        <v>9</v>
      </c>
      <c r="F225" s="312">
        <v>1</v>
      </c>
      <c r="G225" s="313" t="s">
        <v>234</v>
      </c>
      <c r="H225" s="313"/>
      <c r="I225" s="313">
        <v>4346.4799999999996</v>
      </c>
      <c r="J225" s="312">
        <v>464.19999999999936</v>
      </c>
      <c r="K225" s="312">
        <v>3882.28</v>
      </c>
      <c r="L225" s="312">
        <v>0</v>
      </c>
      <c r="M225" s="317"/>
      <c r="N225" s="319">
        <v>0.1762</v>
      </c>
      <c r="O225" s="319">
        <v>5.28E-2</v>
      </c>
      <c r="P225" s="319">
        <v>0.28789999999999999</v>
      </c>
      <c r="Q225" s="319">
        <v>5.9700000000000003E-2</v>
      </c>
      <c r="R225" s="319">
        <v>1.3299999999999999E-2</v>
      </c>
      <c r="S225" s="319">
        <v>0.22070000000000001</v>
      </c>
      <c r="T225" s="319">
        <v>0</v>
      </c>
      <c r="U225" s="319">
        <v>0.63149999999999995</v>
      </c>
      <c r="V225" s="319">
        <v>0.88280000000000003</v>
      </c>
      <c r="W225" s="319">
        <v>0</v>
      </c>
      <c r="X225" s="319">
        <v>0.31109999999999999</v>
      </c>
      <c r="Y225" s="319">
        <v>0</v>
      </c>
      <c r="Z225" s="319">
        <v>1.8023</v>
      </c>
      <c r="AA225" s="319">
        <v>0.24030000000000001</v>
      </c>
      <c r="AB225" s="319">
        <v>0.18909999999999999</v>
      </c>
      <c r="AC225" s="319">
        <v>0.10299999999999999</v>
      </c>
      <c r="AD225" s="319">
        <v>4.2099999999999999E-2</v>
      </c>
      <c r="AE225" s="319">
        <v>2.5899999999999999E-2</v>
      </c>
      <c r="AF225" s="319">
        <v>7.0099999999999996E-2</v>
      </c>
      <c r="AG225" s="319">
        <v>2.6499999999999999E-2</v>
      </c>
      <c r="AH225" s="319">
        <v>0</v>
      </c>
      <c r="AI225" s="319">
        <v>1.5528999999999999</v>
      </c>
      <c r="AJ225" s="319">
        <v>2.4500000000000002</v>
      </c>
      <c r="AK225" s="319">
        <v>9.8199999999999996E-2</v>
      </c>
      <c r="AL225" s="319">
        <v>0.46139999999999998</v>
      </c>
      <c r="AM225" s="319">
        <v>4.1599999999999998E-2</v>
      </c>
      <c r="AN225" s="319">
        <v>6.7999999999999996E-3</v>
      </c>
      <c r="AO225" s="319">
        <v>0.26200000000000001</v>
      </c>
      <c r="AP225" s="319">
        <v>0.31330000000000002</v>
      </c>
      <c r="AQ225" s="319">
        <v>0</v>
      </c>
      <c r="AR225" s="319">
        <v>0.45629999999999998</v>
      </c>
      <c r="AS225" s="319">
        <v>0.5161</v>
      </c>
      <c r="AT225" s="331">
        <v>0.22</v>
      </c>
      <c r="AU225" s="336">
        <v>9.5817000000000014</v>
      </c>
      <c r="AV225" s="329">
        <v>10.8376</v>
      </c>
      <c r="AW225" s="337">
        <v>4.6191000000000004</v>
      </c>
      <c r="AX225" s="334"/>
      <c r="AY225" s="323">
        <v>7.546000000000002</v>
      </c>
      <c r="AZ225" s="323">
        <v>9.1434000000000015</v>
      </c>
      <c r="BA225" s="323">
        <v>4.0602000000000018</v>
      </c>
      <c r="BB225" s="319"/>
      <c r="BC225" s="321">
        <f t="shared" si="18"/>
        <v>1.2697720646700237</v>
      </c>
      <c r="BD225" s="321">
        <f t="shared" si="19"/>
        <v>1.1852921232801801</v>
      </c>
      <c r="BE225" s="321">
        <f t="shared" si="20"/>
        <v>1.1376533175705625</v>
      </c>
      <c r="BG225" s="22">
        <f t="shared" si="21"/>
        <v>1.4988010832439613E-15</v>
      </c>
      <c r="BH225" s="22">
        <f t="shared" si="22"/>
        <v>-8.6042284408449632E-16</v>
      </c>
      <c r="BI225" s="22">
        <f t="shared" si="23"/>
        <v>4.7184478546569153E-16</v>
      </c>
    </row>
    <row r="226" spans="2:61" x14ac:dyDescent="0.25">
      <c r="B226" s="312">
        <v>219</v>
      </c>
      <c r="C226" s="312" t="s">
        <v>904</v>
      </c>
      <c r="D226" s="312" t="s">
        <v>391</v>
      </c>
      <c r="E226" s="312">
        <v>5</v>
      </c>
      <c r="F226" s="312">
        <v>3</v>
      </c>
      <c r="G226" s="313" t="s">
        <v>163</v>
      </c>
      <c r="H226" s="313"/>
      <c r="I226" s="313">
        <v>2806.6</v>
      </c>
      <c r="J226" s="312">
        <v>2806.6</v>
      </c>
      <c r="K226" s="312">
        <v>0</v>
      </c>
      <c r="L226" s="312">
        <v>0</v>
      </c>
      <c r="M226" s="317"/>
      <c r="N226" s="319">
        <v>0.20849999999999999</v>
      </c>
      <c r="O226" s="319">
        <v>9.8100000000000007E-2</v>
      </c>
      <c r="P226" s="319">
        <v>0.31659999999999999</v>
      </c>
      <c r="Q226" s="319">
        <v>7.4899999999999994E-2</v>
      </c>
      <c r="R226" s="319">
        <v>2.4199999999999999E-2</v>
      </c>
      <c r="S226" s="319">
        <v>0.43219999999999997</v>
      </c>
      <c r="T226" s="319">
        <v>0</v>
      </c>
      <c r="U226" s="319">
        <v>0.63149999999999995</v>
      </c>
      <c r="V226" s="319">
        <v>0</v>
      </c>
      <c r="W226" s="319">
        <v>0</v>
      </c>
      <c r="X226" s="319">
        <v>0.25359999999999999</v>
      </c>
      <c r="Y226" s="319">
        <v>0</v>
      </c>
      <c r="Z226" s="319">
        <v>1.8628</v>
      </c>
      <c r="AA226" s="319">
        <v>0.25069999999999998</v>
      </c>
      <c r="AB226" s="319">
        <v>0.34789999999999999</v>
      </c>
      <c r="AC226" s="319">
        <v>8.0399999999999999E-2</v>
      </c>
      <c r="AD226" s="319">
        <v>0.1096</v>
      </c>
      <c r="AE226" s="319">
        <v>4.7100000000000003E-2</v>
      </c>
      <c r="AF226" s="319">
        <v>0.15540000000000001</v>
      </c>
      <c r="AG226" s="319">
        <v>3.6299999999999999E-2</v>
      </c>
      <c r="AH226" s="319">
        <v>0</v>
      </c>
      <c r="AI226" s="319">
        <v>3.2103999999999999</v>
      </c>
      <c r="AJ226" s="319">
        <v>1.0867</v>
      </c>
      <c r="AK226" s="319">
        <v>0.10929999999999999</v>
      </c>
      <c r="AL226" s="319">
        <v>0.38829999999999998</v>
      </c>
      <c r="AM226" s="319">
        <v>7.0900000000000005E-2</v>
      </c>
      <c r="AN226" s="319">
        <v>1.15E-2</v>
      </c>
      <c r="AO226" s="319">
        <v>0.66569999999999996</v>
      </c>
      <c r="AP226" s="319">
        <v>0</v>
      </c>
      <c r="AQ226" s="319">
        <v>0</v>
      </c>
      <c r="AR226" s="319">
        <v>0.52359999999999995</v>
      </c>
      <c r="AS226" s="319">
        <v>0.52359999999999995</v>
      </c>
      <c r="AT226" s="331">
        <v>0.25609999999999999</v>
      </c>
      <c r="AU226" s="336">
        <v>10.996199999999998</v>
      </c>
      <c r="AV226" s="329">
        <v>10.996199999999998</v>
      </c>
      <c r="AW226" s="337">
        <v>5.3775999999999993</v>
      </c>
      <c r="AX226" s="334"/>
      <c r="AY226" s="323">
        <v>8.6588000000000012</v>
      </c>
      <c r="AZ226" s="323">
        <v>8.6588000000000012</v>
      </c>
      <c r="BA226" s="323">
        <v>4.7514000000000012</v>
      </c>
      <c r="BB226" s="319"/>
      <c r="BC226" s="321">
        <f t="shared" si="18"/>
        <v>1.2699450270245296</v>
      </c>
      <c r="BD226" s="321">
        <f t="shared" si="19"/>
        <v>1.2699450270245296</v>
      </c>
      <c r="BE226" s="321">
        <f t="shared" si="20"/>
        <v>1.1317927347729086</v>
      </c>
      <c r="BG226" s="22">
        <f t="shared" si="21"/>
        <v>-4.3298697960381105E-15</v>
      </c>
      <c r="BH226" s="22">
        <f t="shared" si="22"/>
        <v>-6.9388939039072284E-16</v>
      </c>
      <c r="BI226" s="22">
        <f t="shared" si="23"/>
        <v>-1.5820678100908481E-15</v>
      </c>
    </row>
    <row r="227" spans="2:61" x14ac:dyDescent="0.25">
      <c r="B227" s="312">
        <v>220</v>
      </c>
      <c r="C227" s="312" t="s">
        <v>906</v>
      </c>
      <c r="D227" s="312" t="s">
        <v>391</v>
      </c>
      <c r="E227" s="312">
        <v>5</v>
      </c>
      <c r="F227" s="312">
        <v>4</v>
      </c>
      <c r="G227" s="313" t="s">
        <v>164</v>
      </c>
      <c r="H227" s="313"/>
      <c r="I227" s="313">
        <v>3200.37</v>
      </c>
      <c r="J227" s="312">
        <v>3200.37</v>
      </c>
      <c r="K227" s="312">
        <v>0</v>
      </c>
      <c r="L227" s="312">
        <v>0</v>
      </c>
      <c r="M227" s="317"/>
      <c r="N227" s="319">
        <v>0.1759</v>
      </c>
      <c r="O227" s="319">
        <v>8.72E-2</v>
      </c>
      <c r="P227" s="319">
        <v>0.308</v>
      </c>
      <c r="Q227" s="319">
        <v>7.3700000000000002E-2</v>
      </c>
      <c r="R227" s="319">
        <v>3.7499999999999999E-2</v>
      </c>
      <c r="S227" s="319">
        <v>0.42980000000000002</v>
      </c>
      <c r="T227" s="319">
        <v>0</v>
      </c>
      <c r="U227" s="319">
        <v>0.63149999999999995</v>
      </c>
      <c r="V227" s="319">
        <v>0</v>
      </c>
      <c r="W227" s="319">
        <v>0</v>
      </c>
      <c r="X227" s="319">
        <v>0.1482</v>
      </c>
      <c r="Y227" s="319">
        <v>0</v>
      </c>
      <c r="Z227" s="319">
        <v>1.4779</v>
      </c>
      <c r="AA227" s="319">
        <v>0.23200000000000001</v>
      </c>
      <c r="AB227" s="319">
        <v>0.28289999999999998</v>
      </c>
      <c r="AC227" s="319">
        <v>9.7000000000000003E-2</v>
      </c>
      <c r="AD227" s="319">
        <v>9.4399999999999998E-2</v>
      </c>
      <c r="AE227" s="319">
        <v>7.2800000000000004E-2</v>
      </c>
      <c r="AF227" s="319">
        <v>0.1482</v>
      </c>
      <c r="AG227" s="319">
        <v>3.09E-2</v>
      </c>
      <c r="AH227" s="319">
        <v>0</v>
      </c>
      <c r="AI227" s="319">
        <v>2.6257000000000001</v>
      </c>
      <c r="AJ227" s="319">
        <v>1.0667</v>
      </c>
      <c r="AK227" s="319">
        <v>0.1031</v>
      </c>
      <c r="AL227" s="319">
        <v>0.57709999999999995</v>
      </c>
      <c r="AM227" s="319">
        <v>6.6799999999999998E-2</v>
      </c>
      <c r="AN227" s="319">
        <v>1.0800000000000001E-2</v>
      </c>
      <c r="AO227" s="319">
        <v>0.3024</v>
      </c>
      <c r="AP227" s="319">
        <v>0</v>
      </c>
      <c r="AQ227" s="319">
        <v>0</v>
      </c>
      <c r="AR227" s="319">
        <v>0.45400000000000001</v>
      </c>
      <c r="AS227" s="319">
        <v>0.45400000000000001</v>
      </c>
      <c r="AT227" s="331">
        <v>0.22539999999999999</v>
      </c>
      <c r="AU227" s="336">
        <v>9.5345000000000013</v>
      </c>
      <c r="AV227" s="329">
        <v>9.5345000000000013</v>
      </c>
      <c r="AW227" s="337">
        <v>4.734</v>
      </c>
      <c r="AX227" s="334"/>
      <c r="AY227" s="323">
        <v>7.5159999999999982</v>
      </c>
      <c r="AZ227" s="323">
        <v>7.5159999999999982</v>
      </c>
      <c r="BA227" s="323">
        <v>3.8932999999999991</v>
      </c>
      <c r="BB227" s="319"/>
      <c r="BC227" s="321">
        <f t="shared" si="18"/>
        <v>1.2685604044704635</v>
      </c>
      <c r="BD227" s="321">
        <f t="shared" si="19"/>
        <v>1.2685604044704635</v>
      </c>
      <c r="BE227" s="321">
        <f t="shared" si="20"/>
        <v>1.2159350679372258</v>
      </c>
      <c r="BG227" s="22">
        <f t="shared" si="21"/>
        <v>7.2164496600635175E-16</v>
      </c>
      <c r="BH227" s="22">
        <f t="shared" si="22"/>
        <v>3.8857805861880479E-16</v>
      </c>
      <c r="BI227" s="22">
        <f t="shared" si="23"/>
        <v>3.8857805861880479E-16</v>
      </c>
    </row>
    <row r="228" spans="2:61" x14ac:dyDescent="0.25">
      <c r="B228" s="312">
        <v>221</v>
      </c>
      <c r="C228" s="312" t="s">
        <v>908</v>
      </c>
      <c r="D228" s="312" t="s">
        <v>391</v>
      </c>
      <c r="E228" s="312">
        <v>9</v>
      </c>
      <c r="F228" s="312">
        <v>1</v>
      </c>
      <c r="G228" s="313" t="s">
        <v>236</v>
      </c>
      <c r="H228" s="313"/>
      <c r="I228" s="313">
        <v>1887.79</v>
      </c>
      <c r="J228" s="312">
        <v>196.8599999999999</v>
      </c>
      <c r="K228" s="312">
        <v>1690.93</v>
      </c>
      <c r="L228" s="312">
        <v>0</v>
      </c>
      <c r="M228" s="317"/>
      <c r="N228" s="319">
        <v>0.1867</v>
      </c>
      <c r="O228" s="319">
        <v>8.7900000000000006E-2</v>
      </c>
      <c r="P228" s="319">
        <v>0.30430000000000001</v>
      </c>
      <c r="Q228" s="319">
        <v>7.4099999999999999E-2</v>
      </c>
      <c r="R228" s="319">
        <v>2.4899999999999999E-2</v>
      </c>
      <c r="S228" s="319">
        <v>0.20430000000000001</v>
      </c>
      <c r="T228" s="319">
        <v>0</v>
      </c>
      <c r="U228" s="319">
        <v>0.63149999999999995</v>
      </c>
      <c r="V228" s="319">
        <v>2.0266999999999999</v>
      </c>
      <c r="W228" s="319">
        <v>0</v>
      </c>
      <c r="X228" s="319">
        <v>0.15079999999999999</v>
      </c>
      <c r="Y228" s="319">
        <v>0</v>
      </c>
      <c r="Z228" s="319">
        <v>2.1667000000000001</v>
      </c>
      <c r="AA228" s="319">
        <v>0.245</v>
      </c>
      <c r="AB228" s="319">
        <v>0.31569999999999998</v>
      </c>
      <c r="AC228" s="319">
        <v>9.9699999999999997E-2</v>
      </c>
      <c r="AD228" s="319">
        <v>0.1051</v>
      </c>
      <c r="AE228" s="319">
        <v>4.8399999999999999E-2</v>
      </c>
      <c r="AF228" s="319">
        <v>3.9100000000000003E-2</v>
      </c>
      <c r="AG228" s="319">
        <v>3.1E-2</v>
      </c>
      <c r="AH228" s="319">
        <v>0</v>
      </c>
      <c r="AI228" s="319">
        <v>2.0083000000000002</v>
      </c>
      <c r="AJ228" s="319">
        <v>1.5817000000000001</v>
      </c>
      <c r="AK228" s="319">
        <v>7.2099999999999997E-2</v>
      </c>
      <c r="AL228" s="319">
        <v>0.4032</v>
      </c>
      <c r="AM228" s="319">
        <v>3.4599999999999999E-2</v>
      </c>
      <c r="AN228" s="319">
        <v>5.5999999999999999E-3</v>
      </c>
      <c r="AO228" s="319">
        <v>0.32900000000000001</v>
      </c>
      <c r="AP228" s="319">
        <v>0.43159999999999998</v>
      </c>
      <c r="AQ228" s="319">
        <v>0</v>
      </c>
      <c r="AR228" s="319">
        <v>0.45750000000000002</v>
      </c>
      <c r="AS228" s="319">
        <v>0.58040000000000003</v>
      </c>
      <c r="AT228" s="331">
        <v>0.2414</v>
      </c>
      <c r="AU228" s="336">
        <v>9.6072000000000006</v>
      </c>
      <c r="AV228" s="329">
        <v>12.188400000000001</v>
      </c>
      <c r="AW228" s="337">
        <v>5.0689000000000002</v>
      </c>
      <c r="AX228" s="334"/>
      <c r="AY228" s="323">
        <v>7.5650999999999993</v>
      </c>
      <c r="AZ228" s="323">
        <v>10.5665</v>
      </c>
      <c r="BA228" s="323">
        <v>4.4585999999999997</v>
      </c>
      <c r="BB228" s="319"/>
      <c r="BC228" s="321">
        <f t="shared" si="18"/>
        <v>1.2699369472974582</v>
      </c>
      <c r="BD228" s="321">
        <f t="shared" si="19"/>
        <v>1.1534945346141108</v>
      </c>
      <c r="BE228" s="321">
        <f t="shared" si="20"/>
        <v>1.1368815323195622</v>
      </c>
      <c r="BG228" s="22">
        <f t="shared" si="21"/>
        <v>8.3266726846886741E-16</v>
      </c>
      <c r="BH228" s="22">
        <f t="shared" si="22"/>
        <v>8.3266726846886741E-16</v>
      </c>
      <c r="BI228" s="22">
        <f t="shared" si="23"/>
        <v>-2.7755575615628914E-16</v>
      </c>
    </row>
    <row r="229" spans="2:61" x14ac:dyDescent="0.25">
      <c r="B229" s="312">
        <v>222</v>
      </c>
      <c r="C229" s="312" t="s">
        <v>910</v>
      </c>
      <c r="D229" s="312" t="s">
        <v>391</v>
      </c>
      <c r="E229" s="312">
        <v>9</v>
      </c>
      <c r="F229" s="312">
        <v>2</v>
      </c>
      <c r="G229" s="313" t="s">
        <v>237</v>
      </c>
      <c r="H229" s="313"/>
      <c r="I229" s="313">
        <v>3778.85</v>
      </c>
      <c r="J229" s="312">
        <v>396.65999999999985</v>
      </c>
      <c r="K229" s="312">
        <v>3382.19</v>
      </c>
      <c r="L229" s="312">
        <v>0</v>
      </c>
      <c r="M229" s="317"/>
      <c r="N229" s="319">
        <v>0.1648</v>
      </c>
      <c r="O229" s="319">
        <v>8.0299999999999996E-2</v>
      </c>
      <c r="P229" s="319">
        <v>0.30159999999999998</v>
      </c>
      <c r="Q229" s="319">
        <v>6.0999999999999999E-2</v>
      </c>
      <c r="R229" s="319">
        <v>2.3300000000000001E-2</v>
      </c>
      <c r="S229" s="319">
        <v>0.2074</v>
      </c>
      <c r="T229" s="319">
        <v>0</v>
      </c>
      <c r="U229" s="319">
        <v>0.63149999999999995</v>
      </c>
      <c r="V229" s="319">
        <v>2.0265</v>
      </c>
      <c r="W229" s="319">
        <v>0</v>
      </c>
      <c r="X229" s="319">
        <v>0.1507</v>
      </c>
      <c r="Y229" s="319">
        <v>0</v>
      </c>
      <c r="Z229" s="319">
        <v>2.2948</v>
      </c>
      <c r="AA229" s="319">
        <v>0.2162</v>
      </c>
      <c r="AB229" s="319">
        <v>0.2888</v>
      </c>
      <c r="AC229" s="319">
        <v>0.1011</v>
      </c>
      <c r="AD229" s="319">
        <v>5.5300000000000002E-2</v>
      </c>
      <c r="AE229" s="319">
        <v>4.5199999999999997E-2</v>
      </c>
      <c r="AF229" s="319">
        <v>4.8500000000000001E-2</v>
      </c>
      <c r="AG229" s="319">
        <v>2.5600000000000001E-2</v>
      </c>
      <c r="AH229" s="319">
        <v>0</v>
      </c>
      <c r="AI229" s="319">
        <v>1.8001</v>
      </c>
      <c r="AJ229" s="319">
        <v>1.5701000000000001</v>
      </c>
      <c r="AK229" s="319">
        <v>7.8700000000000006E-2</v>
      </c>
      <c r="AL229" s="319">
        <v>0.3947</v>
      </c>
      <c r="AM229" s="319">
        <v>3.6499999999999998E-2</v>
      </c>
      <c r="AN229" s="319">
        <v>5.8999999999999999E-3</v>
      </c>
      <c r="AO229" s="319">
        <v>0.33279999999999998</v>
      </c>
      <c r="AP229" s="319">
        <v>0.45910000000000001</v>
      </c>
      <c r="AQ229" s="319">
        <v>0</v>
      </c>
      <c r="AR229" s="319">
        <v>0.44569999999999999</v>
      </c>
      <c r="AS229" s="319">
        <v>0.56999999999999995</v>
      </c>
      <c r="AT229" s="331">
        <v>0.2409</v>
      </c>
      <c r="AU229" s="336">
        <v>9.3606000000000016</v>
      </c>
      <c r="AV229" s="329">
        <v>11.970500000000001</v>
      </c>
      <c r="AW229" s="337">
        <v>5.0580999999999996</v>
      </c>
      <c r="AX229" s="334"/>
      <c r="AY229" s="323">
        <v>7.3709999999999996</v>
      </c>
      <c r="AZ229" s="323">
        <v>10.409599999999998</v>
      </c>
      <c r="BA229" s="323">
        <v>4.3491999999999997</v>
      </c>
      <c r="BB229" s="319"/>
      <c r="BC229" s="321">
        <f t="shared" si="18"/>
        <v>1.2699226699226702</v>
      </c>
      <c r="BD229" s="321">
        <f t="shared" si="19"/>
        <v>1.14994812480787</v>
      </c>
      <c r="BE229" s="321">
        <f t="shared" si="20"/>
        <v>1.162995493424078</v>
      </c>
      <c r="BG229" s="22">
        <f t="shared" si="21"/>
        <v>1.9984014443252818E-15</v>
      </c>
      <c r="BH229" s="22">
        <f t="shared" si="22"/>
        <v>4.4408920985006262E-16</v>
      </c>
      <c r="BI229" s="22">
        <f t="shared" si="23"/>
        <v>-4.4408920985006262E-16</v>
      </c>
    </row>
    <row r="230" spans="2:61" x14ac:dyDescent="0.25">
      <c r="B230" s="312">
        <v>223</v>
      </c>
      <c r="C230" s="312" t="s">
        <v>912</v>
      </c>
      <c r="D230" s="312" t="s">
        <v>391</v>
      </c>
      <c r="E230" s="312">
        <v>5</v>
      </c>
      <c r="F230" s="312">
        <v>8</v>
      </c>
      <c r="G230" s="313" t="s">
        <v>165</v>
      </c>
      <c r="H230" s="313"/>
      <c r="I230" s="313">
        <v>5911.9</v>
      </c>
      <c r="J230" s="312">
        <v>5577.4</v>
      </c>
      <c r="K230" s="312">
        <v>0</v>
      </c>
      <c r="L230" s="312">
        <v>334.5</v>
      </c>
      <c r="M230" s="317"/>
      <c r="N230" s="319">
        <v>0.16350000000000001</v>
      </c>
      <c r="O230" s="319">
        <v>0.1103</v>
      </c>
      <c r="P230" s="319">
        <v>0.33410000000000001</v>
      </c>
      <c r="Q230" s="319">
        <v>7.5399999999999995E-2</v>
      </c>
      <c r="R230" s="319">
        <v>0</v>
      </c>
      <c r="S230" s="319">
        <v>0.73460000000000003</v>
      </c>
      <c r="T230" s="319">
        <v>0</v>
      </c>
      <c r="U230" s="319">
        <v>0.63149999999999995</v>
      </c>
      <c r="V230" s="319">
        <v>0</v>
      </c>
      <c r="W230" s="319">
        <v>0</v>
      </c>
      <c r="X230" s="319">
        <v>0.16850000000000001</v>
      </c>
      <c r="Y230" s="319">
        <v>0</v>
      </c>
      <c r="Z230" s="319">
        <v>1.6801999999999999</v>
      </c>
      <c r="AA230" s="319">
        <v>0.2165</v>
      </c>
      <c r="AB230" s="319">
        <v>0.39119999999999999</v>
      </c>
      <c r="AC230" s="319">
        <v>9.2100000000000001E-2</v>
      </c>
      <c r="AD230" s="319">
        <v>0.10059999999999999</v>
      </c>
      <c r="AE230" s="319">
        <v>0</v>
      </c>
      <c r="AF230" s="319">
        <v>0.28100000000000003</v>
      </c>
      <c r="AG230" s="319">
        <v>3.3700000000000001E-2</v>
      </c>
      <c r="AH230" s="319">
        <v>0</v>
      </c>
      <c r="AI230" s="319">
        <v>1.7092000000000001</v>
      </c>
      <c r="AJ230" s="319">
        <v>1.0857000000000001</v>
      </c>
      <c r="AK230" s="319">
        <v>9.0300000000000005E-2</v>
      </c>
      <c r="AL230" s="319">
        <v>0.54269999999999996</v>
      </c>
      <c r="AM230" s="319">
        <v>5.04E-2</v>
      </c>
      <c r="AN230" s="319">
        <v>8.2000000000000007E-3</v>
      </c>
      <c r="AO230" s="319">
        <v>0.18559999999999999</v>
      </c>
      <c r="AP230" s="319">
        <v>0</v>
      </c>
      <c r="AQ230" s="319">
        <v>0</v>
      </c>
      <c r="AR230" s="319">
        <v>0.43430000000000002</v>
      </c>
      <c r="AS230" s="319">
        <v>0.43430000000000002</v>
      </c>
      <c r="AT230" s="331">
        <v>0.2581</v>
      </c>
      <c r="AU230" s="336">
        <v>9.1195999999999984</v>
      </c>
      <c r="AV230" s="329">
        <v>9.1195999999999984</v>
      </c>
      <c r="AW230" s="337">
        <v>5.4201999999999968</v>
      </c>
      <c r="AX230" s="334"/>
      <c r="AY230" s="323">
        <v>7.400500000000001</v>
      </c>
      <c r="AZ230" s="323">
        <v>7.400500000000001</v>
      </c>
      <c r="BA230" s="323">
        <v>4.6324000000000005</v>
      </c>
      <c r="BB230" s="319"/>
      <c r="BC230" s="321">
        <f t="shared" si="18"/>
        <v>1.2322951151949189</v>
      </c>
      <c r="BD230" s="321">
        <f t="shared" si="19"/>
        <v>1.2322951151949189</v>
      </c>
      <c r="BE230" s="321">
        <f t="shared" si="20"/>
        <v>1.1700630342802858</v>
      </c>
      <c r="BG230" s="22">
        <f t="shared" si="21"/>
        <v>-2.1094237467877974E-15</v>
      </c>
      <c r="BH230" s="22">
        <f t="shared" si="22"/>
        <v>-2.3592239273284576E-15</v>
      </c>
      <c r="BI230" s="22">
        <f t="shared" si="23"/>
        <v>-2.3592239273284576E-15</v>
      </c>
    </row>
    <row r="231" spans="2:61" x14ac:dyDescent="0.25">
      <c r="B231" s="312">
        <v>224</v>
      </c>
      <c r="C231" s="312" t="s">
        <v>914</v>
      </c>
      <c r="D231" s="312" t="s">
        <v>391</v>
      </c>
      <c r="E231" s="312">
        <v>9</v>
      </c>
      <c r="F231" s="312">
        <v>2</v>
      </c>
      <c r="G231" s="313" t="s">
        <v>238</v>
      </c>
      <c r="H231" s="313"/>
      <c r="I231" s="313">
        <v>3928.2</v>
      </c>
      <c r="J231" s="312">
        <v>354.19999999999982</v>
      </c>
      <c r="K231" s="312">
        <v>3574</v>
      </c>
      <c r="L231" s="312">
        <v>0</v>
      </c>
      <c r="M231" s="317"/>
      <c r="N231" s="319">
        <v>0.11509999999999999</v>
      </c>
      <c r="O231" s="319">
        <v>6.6500000000000004E-2</v>
      </c>
      <c r="P231" s="319">
        <v>0.27179999999999999</v>
      </c>
      <c r="Q231" s="319">
        <v>6.54E-2</v>
      </c>
      <c r="R231" s="319">
        <v>2.0299999999999999E-2</v>
      </c>
      <c r="S231" s="319">
        <v>0.252</v>
      </c>
      <c r="T231" s="319">
        <v>0</v>
      </c>
      <c r="U231" s="319">
        <v>0.63149999999999995</v>
      </c>
      <c r="V231" s="319">
        <v>1.9177999999999999</v>
      </c>
      <c r="W231" s="319">
        <v>0</v>
      </c>
      <c r="X231" s="319">
        <v>0.21340000000000001</v>
      </c>
      <c r="Y231" s="319">
        <v>0</v>
      </c>
      <c r="Z231" s="319">
        <v>1.8997999999999999</v>
      </c>
      <c r="AA231" s="319">
        <v>0.1426</v>
      </c>
      <c r="AB231" s="319">
        <v>0.2397</v>
      </c>
      <c r="AC231" s="319">
        <v>0.12859999999999999</v>
      </c>
      <c r="AD231" s="319">
        <v>0.1172</v>
      </c>
      <c r="AE231" s="319">
        <v>3.9600000000000003E-2</v>
      </c>
      <c r="AF231" s="319">
        <v>4.58E-2</v>
      </c>
      <c r="AG231" s="319">
        <v>2.64E-2</v>
      </c>
      <c r="AH231" s="319">
        <v>0</v>
      </c>
      <c r="AI231" s="319">
        <v>1.7152000000000001</v>
      </c>
      <c r="AJ231" s="319">
        <v>1.6772</v>
      </c>
      <c r="AK231" s="319">
        <v>8.6599999999999996E-2</v>
      </c>
      <c r="AL231" s="319">
        <v>0.32440000000000002</v>
      </c>
      <c r="AM231" s="319">
        <v>4.0899999999999999E-2</v>
      </c>
      <c r="AN231" s="319">
        <v>6.6E-3</v>
      </c>
      <c r="AO231" s="319">
        <v>0.69169999999999998</v>
      </c>
      <c r="AP231" s="319">
        <v>0.68059999999999998</v>
      </c>
      <c r="AQ231" s="319">
        <v>0</v>
      </c>
      <c r="AR231" s="319">
        <v>0.44090000000000001</v>
      </c>
      <c r="AS231" s="319">
        <v>0.57079999999999997</v>
      </c>
      <c r="AT231" s="331">
        <v>0.2205</v>
      </c>
      <c r="AU231" s="336">
        <v>9.2591999999999999</v>
      </c>
      <c r="AV231" s="329">
        <v>11.987500000000001</v>
      </c>
      <c r="AW231" s="337">
        <v>4.6303000000000001</v>
      </c>
      <c r="AX231" s="334"/>
      <c r="AY231" s="323">
        <v>7.3643999999999981</v>
      </c>
      <c r="AZ231" s="323">
        <v>10.361499999999998</v>
      </c>
      <c r="BA231" s="323">
        <v>3.9184999999999981</v>
      </c>
      <c r="BB231" s="319"/>
      <c r="BC231" s="321">
        <f t="shared" si="18"/>
        <v>1.2572918364021513</v>
      </c>
      <c r="BD231" s="321">
        <f t="shared" si="19"/>
        <v>1.1569270858466441</v>
      </c>
      <c r="BE231" s="321">
        <f t="shared" si="20"/>
        <v>1.1816511420186302</v>
      </c>
      <c r="BG231" s="22">
        <f t="shared" si="21"/>
        <v>-1.7208456881689926E-15</v>
      </c>
      <c r="BH231" s="22">
        <f t="shared" si="22"/>
        <v>-2.733924198139448E-15</v>
      </c>
      <c r="BI231" s="22">
        <f t="shared" si="23"/>
        <v>5.9674487573602164E-16</v>
      </c>
    </row>
    <row r="232" spans="2:61" x14ac:dyDescent="0.25">
      <c r="B232" s="312">
        <v>225</v>
      </c>
      <c r="C232" s="312" t="s">
        <v>916</v>
      </c>
      <c r="D232" s="312" t="s">
        <v>391</v>
      </c>
      <c r="E232" s="312">
        <v>10</v>
      </c>
      <c r="F232" s="312">
        <v>4</v>
      </c>
      <c r="G232" s="313" t="s">
        <v>243</v>
      </c>
      <c r="H232" s="313"/>
      <c r="I232" s="313">
        <v>9482.3700000000008</v>
      </c>
      <c r="J232" s="312">
        <v>356.90000000000146</v>
      </c>
      <c r="K232" s="312">
        <v>8757.07</v>
      </c>
      <c r="L232" s="312">
        <v>368.4</v>
      </c>
      <c r="M232" s="317"/>
      <c r="N232" s="319">
        <v>0.15740000000000001</v>
      </c>
      <c r="O232" s="319">
        <v>8.9499999999999996E-2</v>
      </c>
      <c r="P232" s="319">
        <v>0.30380000000000001</v>
      </c>
      <c r="Q232" s="319">
        <v>7.2800000000000004E-2</v>
      </c>
      <c r="R232" s="319">
        <v>1.9800000000000002E-2</v>
      </c>
      <c r="S232" s="319">
        <v>0.28749999999999998</v>
      </c>
      <c r="T232" s="319">
        <v>0</v>
      </c>
      <c r="U232" s="319">
        <v>0.63149999999999995</v>
      </c>
      <c r="V232" s="319">
        <v>1.5931999999999999</v>
      </c>
      <c r="W232" s="319">
        <v>0</v>
      </c>
      <c r="X232" s="319">
        <v>0.1293</v>
      </c>
      <c r="Y232" s="319">
        <v>0</v>
      </c>
      <c r="Z232" s="319">
        <v>2.1863000000000001</v>
      </c>
      <c r="AA232" s="319">
        <v>0.2034</v>
      </c>
      <c r="AB232" s="319">
        <v>0.31790000000000002</v>
      </c>
      <c r="AC232" s="319">
        <v>0.11700000000000001</v>
      </c>
      <c r="AD232" s="319">
        <v>7.7499999999999999E-2</v>
      </c>
      <c r="AE232" s="319">
        <v>3.85E-2</v>
      </c>
      <c r="AF232" s="319">
        <v>0.11360000000000001</v>
      </c>
      <c r="AG232" s="319">
        <v>2.8500000000000001E-2</v>
      </c>
      <c r="AH232" s="319">
        <v>0</v>
      </c>
      <c r="AI232" s="319">
        <v>0.93369999999999997</v>
      </c>
      <c r="AJ232" s="319">
        <v>1.3976</v>
      </c>
      <c r="AK232" s="319">
        <v>7.3999999999999996E-2</v>
      </c>
      <c r="AL232" s="319">
        <v>0.2278</v>
      </c>
      <c r="AM232" s="319">
        <v>3.04E-2</v>
      </c>
      <c r="AN232" s="319">
        <v>4.8999999999999998E-3</v>
      </c>
      <c r="AO232" s="319">
        <v>0.4032</v>
      </c>
      <c r="AP232" s="319">
        <v>0.20100000000000001</v>
      </c>
      <c r="AQ232" s="319">
        <v>0</v>
      </c>
      <c r="AR232" s="319">
        <v>0.39229999999999998</v>
      </c>
      <c r="AS232" s="319">
        <v>0.48199999999999998</v>
      </c>
      <c r="AT232" s="331">
        <v>0.2442</v>
      </c>
      <c r="AU232" s="336">
        <v>8.2382000000000009</v>
      </c>
      <c r="AV232" s="329">
        <v>10.1221</v>
      </c>
      <c r="AW232" s="337">
        <v>5.1278000000000006</v>
      </c>
      <c r="AX232" s="334"/>
      <c r="AY232" s="323">
        <v>6.5314999999999994</v>
      </c>
      <c r="AZ232" s="323">
        <v>8.6259999999999994</v>
      </c>
      <c r="BA232" s="323">
        <v>4.2145999999999999</v>
      </c>
      <c r="BB232" s="319"/>
      <c r="BC232" s="321">
        <f t="shared" si="18"/>
        <v>1.2613029166347702</v>
      </c>
      <c r="BD232" s="321">
        <f t="shared" si="19"/>
        <v>1.1734407604915373</v>
      </c>
      <c r="BE232" s="321">
        <f t="shared" si="20"/>
        <v>1.2166753665828314</v>
      </c>
      <c r="BG232" s="22">
        <f t="shared" si="21"/>
        <v>0</v>
      </c>
      <c r="BH232" s="22">
        <f t="shared" si="22"/>
        <v>4.9960036108132044E-16</v>
      </c>
      <c r="BI232" s="22">
        <f t="shared" si="23"/>
        <v>7.2164496600635175E-16</v>
      </c>
    </row>
    <row r="233" spans="2:61" x14ac:dyDescent="0.25">
      <c r="B233" s="312">
        <v>226</v>
      </c>
      <c r="C233" s="312" t="s">
        <v>918</v>
      </c>
      <c r="D233" s="312" t="s">
        <v>391</v>
      </c>
      <c r="E233" s="312">
        <v>10</v>
      </c>
      <c r="F233" s="312">
        <v>1</v>
      </c>
      <c r="G233" s="313" t="s">
        <v>244</v>
      </c>
      <c r="H233" s="313"/>
      <c r="I233" s="313">
        <v>2444.15</v>
      </c>
      <c r="J233" s="312">
        <v>234.05000000000018</v>
      </c>
      <c r="K233" s="312">
        <v>2210.1</v>
      </c>
      <c r="L233" s="312">
        <v>0</v>
      </c>
      <c r="M233" s="317"/>
      <c r="N233" s="319">
        <v>0.16039999999999999</v>
      </c>
      <c r="O233" s="319">
        <v>0.1014</v>
      </c>
      <c r="P233" s="319">
        <v>0.3004</v>
      </c>
      <c r="Q233" s="319">
        <v>6.8900000000000003E-2</v>
      </c>
      <c r="R233" s="319">
        <v>1.9199999999999998E-2</v>
      </c>
      <c r="S233" s="319">
        <v>0.26769999999999999</v>
      </c>
      <c r="T233" s="319">
        <v>0</v>
      </c>
      <c r="U233" s="319">
        <v>0.63149999999999995</v>
      </c>
      <c r="V233" s="319">
        <v>1.5782</v>
      </c>
      <c r="W233" s="319">
        <v>0</v>
      </c>
      <c r="X233" s="319">
        <v>0.12939999999999999</v>
      </c>
      <c r="Y233" s="319">
        <v>0</v>
      </c>
      <c r="Z233" s="319">
        <v>1.3479000000000001</v>
      </c>
      <c r="AA233" s="319">
        <v>0.20979999999999999</v>
      </c>
      <c r="AB233" s="319">
        <v>0.3538</v>
      </c>
      <c r="AC233" s="319">
        <v>0.1268</v>
      </c>
      <c r="AD233" s="319">
        <v>0.1067</v>
      </c>
      <c r="AE233" s="319">
        <v>3.7400000000000003E-2</v>
      </c>
      <c r="AF233" s="319">
        <v>6.8500000000000005E-2</v>
      </c>
      <c r="AG233" s="319">
        <v>2.92E-2</v>
      </c>
      <c r="AH233" s="319">
        <v>0</v>
      </c>
      <c r="AI233" s="319">
        <v>2.3569</v>
      </c>
      <c r="AJ233" s="319">
        <v>1.8788</v>
      </c>
      <c r="AK233" s="319">
        <v>7.6399999999999996E-2</v>
      </c>
      <c r="AL233" s="319">
        <v>0.34160000000000001</v>
      </c>
      <c r="AM233" s="319">
        <v>3.5299999999999998E-2</v>
      </c>
      <c r="AN233" s="319">
        <v>5.7000000000000002E-3</v>
      </c>
      <c r="AO233" s="319">
        <v>0.13980000000000001</v>
      </c>
      <c r="AP233" s="319">
        <v>0.51519999999999999</v>
      </c>
      <c r="AQ233" s="319">
        <v>0</v>
      </c>
      <c r="AR233" s="319">
        <v>0.43969999999999998</v>
      </c>
      <c r="AS233" s="319">
        <v>0.54430000000000001</v>
      </c>
      <c r="AT233" s="331">
        <v>0.20380000000000001</v>
      </c>
      <c r="AU233" s="336">
        <v>9.2331999999999965</v>
      </c>
      <c r="AV233" s="329">
        <v>11.431199999999997</v>
      </c>
      <c r="AW233" s="337">
        <v>4.280199999999998</v>
      </c>
      <c r="AX233" s="334"/>
      <c r="AY233" s="323">
        <v>7.2706999999999979</v>
      </c>
      <c r="AZ233" s="323">
        <v>9.7825999999999986</v>
      </c>
      <c r="BA233" s="323">
        <v>4.038899999999999</v>
      </c>
      <c r="BB233" s="319"/>
      <c r="BC233" s="321">
        <f t="shared" si="18"/>
        <v>1.2699189899184395</v>
      </c>
      <c r="BD233" s="321">
        <f t="shared" si="19"/>
        <v>1.1685237053544046</v>
      </c>
      <c r="BE233" s="321">
        <f t="shared" si="20"/>
        <v>1.0597439897001657</v>
      </c>
      <c r="BG233" s="22">
        <f t="shared" si="21"/>
        <v>-1.4432899320127035E-15</v>
      </c>
      <c r="BH233" s="22">
        <f t="shared" si="22"/>
        <v>3.8857805861880479E-16</v>
      </c>
      <c r="BI233" s="22">
        <f t="shared" si="23"/>
        <v>-2.4980018054066022E-15</v>
      </c>
    </row>
    <row r="234" spans="2:61" x14ac:dyDescent="0.25">
      <c r="B234" s="312">
        <v>227</v>
      </c>
      <c r="C234" s="312" t="s">
        <v>920</v>
      </c>
      <c r="D234" s="312" t="s">
        <v>391</v>
      </c>
      <c r="E234" s="312">
        <v>10</v>
      </c>
      <c r="F234" s="312">
        <v>2</v>
      </c>
      <c r="G234" s="313" t="s">
        <v>245</v>
      </c>
      <c r="H234" s="313"/>
      <c r="I234" s="313">
        <v>4682.6000000000004</v>
      </c>
      <c r="J234" s="312">
        <v>67</v>
      </c>
      <c r="K234" s="312">
        <v>4227</v>
      </c>
      <c r="L234" s="312">
        <v>388.6</v>
      </c>
      <c r="M234" s="317"/>
      <c r="N234" s="319">
        <v>0.1613</v>
      </c>
      <c r="O234" s="319">
        <v>0.10390000000000001</v>
      </c>
      <c r="P234" s="319">
        <v>0.28839999999999999</v>
      </c>
      <c r="Q234" s="319">
        <v>6.6500000000000004E-2</v>
      </c>
      <c r="R234" s="319">
        <v>2.01E-2</v>
      </c>
      <c r="S234" s="319">
        <v>0.23369999999999999</v>
      </c>
      <c r="T234" s="319">
        <v>0</v>
      </c>
      <c r="U234" s="319">
        <v>0.63149999999999995</v>
      </c>
      <c r="V234" s="319">
        <v>1.25</v>
      </c>
      <c r="W234" s="319">
        <v>0</v>
      </c>
      <c r="X234" s="319">
        <v>0.1351</v>
      </c>
      <c r="Y234" s="319">
        <v>0</v>
      </c>
      <c r="Z234" s="319">
        <v>1.7123999999999999</v>
      </c>
      <c r="AA234" s="319">
        <v>0.20899999999999999</v>
      </c>
      <c r="AB234" s="319">
        <v>0.3624</v>
      </c>
      <c r="AC234" s="319">
        <v>0.1273</v>
      </c>
      <c r="AD234" s="319">
        <v>8.7900000000000006E-2</v>
      </c>
      <c r="AE234" s="319">
        <v>3.9E-2</v>
      </c>
      <c r="AF234" s="319">
        <v>7.3999999999999996E-2</v>
      </c>
      <c r="AG234" s="319">
        <v>2.8799999999999999E-2</v>
      </c>
      <c r="AH234" s="319">
        <v>0</v>
      </c>
      <c r="AI234" s="319">
        <v>1.7695000000000001</v>
      </c>
      <c r="AJ234" s="319">
        <v>1.3569</v>
      </c>
      <c r="AK234" s="319">
        <v>6.6199999999999995E-2</v>
      </c>
      <c r="AL234" s="319">
        <v>0.25729999999999997</v>
      </c>
      <c r="AM234" s="319">
        <v>3.4200000000000001E-2</v>
      </c>
      <c r="AN234" s="319">
        <v>5.4999999999999997E-3</v>
      </c>
      <c r="AO234" s="319">
        <v>0.21210000000000001</v>
      </c>
      <c r="AP234" s="319">
        <v>0.53879999999999995</v>
      </c>
      <c r="AQ234" s="319">
        <v>0</v>
      </c>
      <c r="AR234" s="319">
        <v>0.3992</v>
      </c>
      <c r="AS234" s="319">
        <v>0.48859999999999998</v>
      </c>
      <c r="AT234" s="331">
        <v>0.21940000000000001</v>
      </c>
      <c r="AU234" s="336">
        <v>8.382200000000001</v>
      </c>
      <c r="AV234" s="329">
        <v>10.260400000000001</v>
      </c>
      <c r="AW234" s="337">
        <v>4.6066000000000011</v>
      </c>
      <c r="AX234" s="334"/>
      <c r="AY234" s="323">
        <v>6.6020000000000003</v>
      </c>
      <c r="AZ234" s="323">
        <v>8.6256000000000004</v>
      </c>
      <c r="BA234" s="323">
        <v>4.0285000000000011</v>
      </c>
      <c r="BB234" s="319"/>
      <c r="BC234" s="321">
        <f t="shared" si="18"/>
        <v>1.2696455619509242</v>
      </c>
      <c r="BD234" s="321">
        <f t="shared" si="19"/>
        <v>1.1895288443702468</v>
      </c>
      <c r="BE234" s="321">
        <f t="shared" si="20"/>
        <v>1.143502544371354</v>
      </c>
      <c r="BG234" s="22">
        <f t="shared" si="21"/>
        <v>0</v>
      </c>
      <c r="BH234" s="22">
        <f t="shared" si="22"/>
        <v>1.2212453270876722E-15</v>
      </c>
      <c r="BI234" s="22">
        <f t="shared" si="23"/>
        <v>5.5511151231257827E-16</v>
      </c>
    </row>
    <row r="235" spans="2:61" x14ac:dyDescent="0.25">
      <c r="B235" s="312">
        <v>228</v>
      </c>
      <c r="C235" s="312" t="s">
        <v>922</v>
      </c>
      <c r="D235" s="312"/>
      <c r="E235" s="312">
        <v>2</v>
      </c>
      <c r="F235" s="312">
        <v>2</v>
      </c>
      <c r="G235" s="313" t="s">
        <v>35</v>
      </c>
      <c r="H235" s="313"/>
      <c r="I235" s="313">
        <v>395.7</v>
      </c>
      <c r="J235" s="312">
        <v>395.7</v>
      </c>
      <c r="K235" s="312">
        <v>0</v>
      </c>
      <c r="L235" s="312">
        <v>0</v>
      </c>
      <c r="M235" s="317"/>
      <c r="N235" s="319">
        <v>0.18379999999999999</v>
      </c>
      <c r="O235" s="319">
        <v>0.1</v>
      </c>
      <c r="P235" s="319">
        <v>0</v>
      </c>
      <c r="Q235" s="319">
        <v>0</v>
      </c>
      <c r="R235" s="319">
        <v>0</v>
      </c>
      <c r="S235" s="319">
        <v>0.3206</v>
      </c>
      <c r="T235" s="319">
        <v>0</v>
      </c>
      <c r="U235" s="319">
        <v>0.61070000000000002</v>
      </c>
      <c r="V235" s="319">
        <v>0</v>
      </c>
      <c r="W235" s="319">
        <v>0</v>
      </c>
      <c r="X235" s="319">
        <v>0.47960000000000003</v>
      </c>
      <c r="Y235" s="319">
        <v>0</v>
      </c>
      <c r="Z235" s="319">
        <v>1.7875000000000001</v>
      </c>
      <c r="AA235" s="319">
        <v>0.2351</v>
      </c>
      <c r="AB235" s="319">
        <v>0.30819999999999997</v>
      </c>
      <c r="AC235" s="319">
        <v>0</v>
      </c>
      <c r="AD235" s="319">
        <v>0</v>
      </c>
      <c r="AE235" s="319">
        <v>0</v>
      </c>
      <c r="AF235" s="319">
        <v>0.12959999999999999</v>
      </c>
      <c r="AG235" s="319">
        <v>4.7399999999999998E-2</v>
      </c>
      <c r="AH235" s="319">
        <v>0</v>
      </c>
      <c r="AI235" s="319">
        <v>3.1983999999999999</v>
      </c>
      <c r="AJ235" s="319">
        <v>0.94779999999999998</v>
      </c>
      <c r="AK235" s="319">
        <v>0</v>
      </c>
      <c r="AL235" s="319">
        <v>0.94230000000000003</v>
      </c>
      <c r="AM235" s="319">
        <v>0</v>
      </c>
      <c r="AN235" s="319">
        <v>0</v>
      </c>
      <c r="AO235" s="319">
        <v>0.2354</v>
      </c>
      <c r="AP235" s="319">
        <v>0</v>
      </c>
      <c r="AQ235" s="319">
        <v>0</v>
      </c>
      <c r="AR235" s="319">
        <v>0.4763</v>
      </c>
      <c r="AS235" s="319">
        <v>0.4763</v>
      </c>
      <c r="AT235" s="331">
        <v>0.21010000000000001</v>
      </c>
      <c r="AU235" s="336">
        <v>10.002700000000001</v>
      </c>
      <c r="AV235" s="329">
        <v>10.002700000000001</v>
      </c>
      <c r="AW235" s="337">
        <v>4.4126000000000003</v>
      </c>
      <c r="AX235" s="334"/>
      <c r="AY235" s="323">
        <v>7.8766000000000007</v>
      </c>
      <c r="AZ235" s="323">
        <v>7.8766000000000007</v>
      </c>
      <c r="BA235" s="323">
        <v>4.2441000000000004</v>
      </c>
      <c r="BB235" s="319"/>
      <c r="BC235" s="321">
        <f t="shared" si="18"/>
        <v>1.2699261102506156</v>
      </c>
      <c r="BD235" s="321">
        <f t="shared" si="19"/>
        <v>1.2699261102506156</v>
      </c>
      <c r="BE235" s="321">
        <f t="shared" si="20"/>
        <v>1.0397021747838175</v>
      </c>
      <c r="BG235" s="22">
        <f t="shared" si="21"/>
        <v>2.1094237467877974E-15</v>
      </c>
      <c r="BH235" s="22">
        <f t="shared" si="22"/>
        <v>9.4368957093138306E-16</v>
      </c>
      <c r="BI235" s="22">
        <f t="shared" si="23"/>
        <v>9.4368957093138306E-16</v>
      </c>
    </row>
    <row r="236" spans="2:61" x14ac:dyDescent="0.25">
      <c r="B236" s="312">
        <v>229</v>
      </c>
      <c r="C236" s="312" t="s">
        <v>409</v>
      </c>
      <c r="D236" s="312"/>
      <c r="E236" s="312">
        <v>9</v>
      </c>
      <c r="F236" s="312">
        <v>1</v>
      </c>
      <c r="G236" s="313" t="s">
        <v>924</v>
      </c>
      <c r="H236" s="313"/>
      <c r="I236" s="313">
        <v>5636.98</v>
      </c>
      <c r="J236" s="312">
        <v>0</v>
      </c>
      <c r="K236" s="312">
        <v>5636.98</v>
      </c>
      <c r="L236" s="312">
        <v>0</v>
      </c>
      <c r="M236" s="317"/>
      <c r="N236" s="319">
        <v>0.10199999999999999</v>
      </c>
      <c r="O236" s="319">
        <v>4.6399999999999997E-2</v>
      </c>
      <c r="P236" s="319">
        <v>0.32929999999999998</v>
      </c>
      <c r="Q236" s="319">
        <v>0</v>
      </c>
      <c r="R236" s="319">
        <v>2.5499999999999998E-2</v>
      </c>
      <c r="S236" s="319">
        <v>0.2266</v>
      </c>
      <c r="T236" s="319">
        <v>0</v>
      </c>
      <c r="U236" s="319">
        <v>0.62080000000000002</v>
      </c>
      <c r="V236" s="319">
        <v>1.1785000000000001</v>
      </c>
      <c r="W236" s="319">
        <v>9.5600000000000004E-2</v>
      </c>
      <c r="X236" s="319">
        <v>0.15570000000000001</v>
      </c>
      <c r="Y236" s="319">
        <v>0</v>
      </c>
      <c r="Z236" s="319">
        <v>2.2242000000000002</v>
      </c>
      <c r="AA236" s="319">
        <v>0.14660000000000001</v>
      </c>
      <c r="AB236" s="319">
        <v>0.16719999999999999</v>
      </c>
      <c r="AC236" s="319">
        <v>0.1452</v>
      </c>
      <c r="AD236" s="319">
        <v>0</v>
      </c>
      <c r="AE236" s="319">
        <v>4.9599999999999998E-2</v>
      </c>
      <c r="AF236" s="319">
        <v>4.87E-2</v>
      </c>
      <c r="AG236" s="319">
        <v>0</v>
      </c>
      <c r="AH236" s="319">
        <v>0</v>
      </c>
      <c r="AI236" s="319">
        <v>1.0446</v>
      </c>
      <c r="AJ236" s="319">
        <v>3.9712999999999998</v>
      </c>
      <c r="AK236" s="319">
        <v>0.1053</v>
      </c>
      <c r="AL236" s="319">
        <v>0.84619999999999995</v>
      </c>
      <c r="AM236" s="319">
        <v>4.0300000000000002E-2</v>
      </c>
      <c r="AN236" s="319">
        <v>6.4999999999999997E-3</v>
      </c>
      <c r="AO236" s="319">
        <v>0.20019999999999999</v>
      </c>
      <c r="AP236" s="319">
        <v>0.33050000000000002</v>
      </c>
      <c r="AQ236" s="319">
        <v>0</v>
      </c>
      <c r="AR236" s="319">
        <v>0.52510000000000001</v>
      </c>
      <c r="AS236" s="319">
        <v>0.60529999999999995</v>
      </c>
      <c r="AT236" s="331">
        <v>0.222</v>
      </c>
      <c r="AU236" s="336">
        <v>11.0273</v>
      </c>
      <c r="AV236" s="329">
        <v>12.7121</v>
      </c>
      <c r="AW236" s="337">
        <v>4.661900000000001</v>
      </c>
      <c r="AX236" s="334"/>
      <c r="AY236" s="323">
        <v>8.6836000000000002</v>
      </c>
      <c r="AZ236" s="323">
        <v>11.104200000000001</v>
      </c>
      <c r="BA236" s="323">
        <v>4.4830000000000005</v>
      </c>
      <c r="BB236" s="319"/>
      <c r="BC236" s="321">
        <f t="shared" si="18"/>
        <v>1.2698995808190152</v>
      </c>
      <c r="BD236" s="321">
        <f t="shared" si="19"/>
        <v>1.1448010662632155</v>
      </c>
      <c r="BE236" s="321">
        <f t="shared" si="20"/>
        <v>1.0399063127370065</v>
      </c>
      <c r="BG236" s="22">
        <f t="shared" si="21"/>
        <v>0</v>
      </c>
      <c r="BH236" s="22">
        <f t="shared" si="22"/>
        <v>-2.2343238370581275E-15</v>
      </c>
      <c r="BI236" s="22">
        <f t="shared" si="23"/>
        <v>8.7430063189231078E-16</v>
      </c>
    </row>
    <row r="237" spans="2:61" x14ac:dyDescent="0.25">
      <c r="B237" s="312">
        <v>230</v>
      </c>
      <c r="C237" s="312" t="s">
        <v>926</v>
      </c>
      <c r="D237" s="312"/>
      <c r="E237" s="312">
        <v>9</v>
      </c>
      <c r="F237" s="312">
        <v>2</v>
      </c>
      <c r="G237" s="313" t="s">
        <v>239</v>
      </c>
      <c r="H237" s="313"/>
      <c r="I237" s="313">
        <v>4211.3</v>
      </c>
      <c r="J237" s="312">
        <v>452.40000000000009</v>
      </c>
      <c r="K237" s="312">
        <v>3758.9</v>
      </c>
      <c r="L237" s="312">
        <v>0</v>
      </c>
      <c r="M237" s="317"/>
      <c r="N237" s="319">
        <v>0.1653</v>
      </c>
      <c r="O237" s="319">
        <v>0.10929999999999999</v>
      </c>
      <c r="P237" s="319">
        <v>0.26690000000000003</v>
      </c>
      <c r="Q237" s="319">
        <v>0</v>
      </c>
      <c r="R237" s="319">
        <v>2.0899999999999998E-2</v>
      </c>
      <c r="S237" s="319">
        <v>0.21410000000000001</v>
      </c>
      <c r="T237" s="319">
        <v>0</v>
      </c>
      <c r="U237" s="319">
        <v>0.62080000000000002</v>
      </c>
      <c r="V237" s="319">
        <v>1.3095000000000001</v>
      </c>
      <c r="W237" s="319">
        <v>9.5600000000000004E-2</v>
      </c>
      <c r="X237" s="319">
        <v>0.13519999999999999</v>
      </c>
      <c r="Y237" s="319">
        <v>0</v>
      </c>
      <c r="Z237" s="319">
        <v>1.8042</v>
      </c>
      <c r="AA237" s="319">
        <v>0.21690000000000001</v>
      </c>
      <c r="AB237" s="319">
        <v>0.3911</v>
      </c>
      <c r="AC237" s="319">
        <v>0.1305</v>
      </c>
      <c r="AD237" s="319">
        <v>0</v>
      </c>
      <c r="AE237" s="319">
        <v>4.0599999999999997E-2</v>
      </c>
      <c r="AF237" s="319">
        <v>7.7799999999999994E-2</v>
      </c>
      <c r="AG237" s="319">
        <v>2.58E-2</v>
      </c>
      <c r="AH237" s="319">
        <v>0</v>
      </c>
      <c r="AI237" s="319">
        <v>2.5091999999999999</v>
      </c>
      <c r="AJ237" s="319">
        <v>1.2204999999999999</v>
      </c>
      <c r="AK237" s="319">
        <v>7.9200000000000007E-2</v>
      </c>
      <c r="AL237" s="319">
        <v>0.27700000000000002</v>
      </c>
      <c r="AM237" s="319">
        <v>3.8899999999999997E-2</v>
      </c>
      <c r="AN237" s="319">
        <v>6.3E-3</v>
      </c>
      <c r="AO237" s="319">
        <v>0.49159999999999998</v>
      </c>
      <c r="AP237" s="319">
        <v>0.55079999999999996</v>
      </c>
      <c r="AQ237" s="319">
        <v>0</v>
      </c>
      <c r="AR237" s="319">
        <v>0.44209999999999999</v>
      </c>
      <c r="AS237" s="319">
        <v>0.53990000000000005</v>
      </c>
      <c r="AT237" s="331">
        <v>0.2172</v>
      </c>
      <c r="AU237" s="336">
        <v>9.2841999999999985</v>
      </c>
      <c r="AV237" s="329">
        <v>11.337899999999998</v>
      </c>
      <c r="AW237" s="337">
        <v>4.5609999999999999</v>
      </c>
      <c r="AX237" s="334"/>
      <c r="AY237" s="323">
        <v>7.3266000000000009</v>
      </c>
      <c r="AZ237" s="323">
        <v>9.8381000000000007</v>
      </c>
      <c r="BA237" s="323">
        <v>4.0507000000000009</v>
      </c>
      <c r="BB237" s="319"/>
      <c r="BC237" s="321">
        <f t="shared" si="18"/>
        <v>1.2671907842655525</v>
      </c>
      <c r="BD237" s="321">
        <f t="shared" si="19"/>
        <v>1.1524481353106797</v>
      </c>
      <c r="BE237" s="321">
        <f t="shared" si="20"/>
        <v>1.1259782259856319</v>
      </c>
      <c r="BG237" s="22">
        <f t="shared" si="21"/>
        <v>0</v>
      </c>
      <c r="BH237" s="22">
        <f t="shared" si="22"/>
        <v>-7.2164496600635175E-16</v>
      </c>
      <c r="BI237" s="22">
        <f t="shared" si="23"/>
        <v>-1.3877787807814457E-15</v>
      </c>
    </row>
    <row r="238" spans="2:61" x14ac:dyDescent="0.25">
      <c r="B238" s="312">
        <v>231</v>
      </c>
      <c r="C238" s="312" t="s">
        <v>928</v>
      </c>
      <c r="D238" s="312" t="s">
        <v>946</v>
      </c>
      <c r="E238" s="312">
        <v>3</v>
      </c>
      <c r="F238" s="312">
        <v>1</v>
      </c>
      <c r="G238" s="313" t="s">
        <v>929</v>
      </c>
      <c r="H238" s="313"/>
      <c r="I238" s="313">
        <v>1174.8</v>
      </c>
      <c r="J238" s="312">
        <v>1174.8</v>
      </c>
      <c r="K238" s="312">
        <v>0</v>
      </c>
      <c r="L238" s="312">
        <v>0</v>
      </c>
      <c r="M238" s="317"/>
      <c r="N238" s="319">
        <v>0.2742</v>
      </c>
      <c r="O238" s="319">
        <v>0.12529999999999999</v>
      </c>
      <c r="P238" s="319">
        <v>0.28739999999999999</v>
      </c>
      <c r="Q238" s="319">
        <v>0</v>
      </c>
      <c r="R238" s="319">
        <v>0</v>
      </c>
      <c r="S238" s="319">
        <v>0.42970000000000003</v>
      </c>
      <c r="T238" s="319">
        <v>0</v>
      </c>
      <c r="U238" s="319">
        <v>0.62080000000000002</v>
      </c>
      <c r="V238" s="319">
        <v>0</v>
      </c>
      <c r="W238" s="319">
        <v>0</v>
      </c>
      <c r="X238" s="319">
        <v>8.4099999999999994E-2</v>
      </c>
      <c r="Y238" s="319">
        <v>0</v>
      </c>
      <c r="Z238" s="319">
        <v>1.8594999999999999</v>
      </c>
      <c r="AA238" s="319">
        <v>0.24110000000000001</v>
      </c>
      <c r="AB238" s="319">
        <v>0.36680000000000001</v>
      </c>
      <c r="AC238" s="319">
        <v>7.6700000000000004E-2</v>
      </c>
      <c r="AD238" s="319">
        <v>0</v>
      </c>
      <c r="AE238" s="319">
        <v>0</v>
      </c>
      <c r="AF238" s="319">
        <v>5.6000000000000001E-2</v>
      </c>
      <c r="AG238" s="319">
        <v>3.5499999999999997E-2</v>
      </c>
      <c r="AH238" s="319">
        <v>0</v>
      </c>
      <c r="AI238" s="319">
        <v>4.0468999999999999</v>
      </c>
      <c r="AJ238" s="319">
        <v>0.90210000000000001</v>
      </c>
      <c r="AK238" s="319">
        <v>0</v>
      </c>
      <c r="AL238" s="319">
        <v>0.90749999999999997</v>
      </c>
      <c r="AM238" s="319">
        <v>0</v>
      </c>
      <c r="AN238" s="319">
        <v>0</v>
      </c>
      <c r="AO238" s="319">
        <v>2.4716</v>
      </c>
      <c r="AP238" s="319">
        <v>0</v>
      </c>
      <c r="AQ238" s="319">
        <v>0</v>
      </c>
      <c r="AR238" s="319">
        <v>0.63929999999999998</v>
      </c>
      <c r="AS238" s="319">
        <v>0.63929999999999998</v>
      </c>
      <c r="AT238" s="331">
        <v>0.22289999999999999</v>
      </c>
      <c r="AU238" s="336">
        <v>13.424500000000002</v>
      </c>
      <c r="AV238" s="329">
        <v>13.424500000000002</v>
      </c>
      <c r="AW238" s="337">
        <v>4.68</v>
      </c>
      <c r="AX238" s="334"/>
      <c r="AY238" s="323">
        <v>12.526300000000001</v>
      </c>
      <c r="AZ238" s="323">
        <v>12.526300000000001</v>
      </c>
      <c r="BA238" s="323"/>
      <c r="BB238" s="319"/>
      <c r="BC238" s="321">
        <f t="shared" si="18"/>
        <v>1.0717051324014275</v>
      </c>
      <c r="BD238" s="321">
        <f t="shared" si="19"/>
        <v>1.0717051324014275</v>
      </c>
      <c r="BE238" s="321" t="e">
        <f t="shared" si="20"/>
        <v>#DIV/0!</v>
      </c>
      <c r="BG238" s="22">
        <f t="shared" si="21"/>
        <v>1.7763568394002505E-15</v>
      </c>
      <c r="BH238" s="22">
        <f t="shared" si="22"/>
        <v>0</v>
      </c>
      <c r="BI238" s="22">
        <f t="shared" si="23"/>
        <v>0</v>
      </c>
    </row>
    <row r="239" spans="2:61" x14ac:dyDescent="0.25">
      <c r="B239" s="312"/>
      <c r="C239" s="312"/>
      <c r="D239" s="312"/>
      <c r="E239" s="312"/>
      <c r="F239" s="312"/>
      <c r="G239" s="313"/>
      <c r="H239" s="313"/>
      <c r="I239" s="313"/>
      <c r="J239" s="312"/>
      <c r="K239" s="312"/>
      <c r="L239" s="312"/>
      <c r="M239" s="317"/>
      <c r="N239" s="319"/>
      <c r="O239" s="319"/>
      <c r="P239" s="319"/>
      <c r="Q239" s="319"/>
      <c r="R239" s="319"/>
      <c r="S239" s="319"/>
      <c r="T239" s="319"/>
      <c r="U239" s="319"/>
      <c r="V239" s="319"/>
      <c r="W239" s="319"/>
      <c r="X239" s="319"/>
      <c r="Y239" s="319"/>
      <c r="Z239" s="319"/>
      <c r="AA239" s="319"/>
      <c r="AB239" s="319"/>
      <c r="AC239" s="319"/>
      <c r="AD239" s="319"/>
      <c r="AE239" s="319"/>
      <c r="AF239" s="319"/>
      <c r="AG239" s="319"/>
      <c r="AH239" s="319"/>
      <c r="AI239" s="319"/>
      <c r="AJ239" s="319"/>
      <c r="AK239" s="319"/>
      <c r="AL239" s="319"/>
      <c r="AM239" s="319"/>
      <c r="AN239" s="319"/>
      <c r="AO239" s="319"/>
      <c r="AP239" s="319"/>
      <c r="AQ239" s="319"/>
      <c r="AR239" s="319"/>
      <c r="AS239" s="319"/>
      <c r="AT239" s="331"/>
      <c r="AU239" s="336"/>
      <c r="AV239" s="329"/>
      <c r="AW239" s="337"/>
      <c r="AX239" s="334"/>
      <c r="AY239" s="324"/>
      <c r="AZ239" s="324"/>
      <c r="BA239" s="324"/>
      <c r="BB239" s="20"/>
      <c r="BC239" s="20"/>
      <c r="BD239" s="20"/>
      <c r="BE239" s="20"/>
    </row>
    <row r="240" spans="2:61" x14ac:dyDescent="0.25">
      <c r="B240" s="312"/>
      <c r="C240" s="312"/>
      <c r="D240" s="312"/>
      <c r="E240" s="312"/>
      <c r="F240" s="312"/>
      <c r="G240" s="313"/>
      <c r="H240" s="313"/>
      <c r="I240" s="313"/>
      <c r="J240" s="312"/>
      <c r="K240" s="312"/>
      <c r="L240" s="312"/>
      <c r="M240" s="312"/>
      <c r="N240" s="319"/>
      <c r="O240" s="319"/>
      <c r="P240" s="319"/>
      <c r="Q240" s="319"/>
      <c r="R240" s="319"/>
      <c r="S240" s="319"/>
      <c r="T240" s="319"/>
      <c r="U240" s="319"/>
      <c r="V240" s="319"/>
      <c r="W240" s="319"/>
      <c r="X240" s="319"/>
      <c r="Y240" s="319"/>
      <c r="Z240" s="319"/>
      <c r="AA240" s="319"/>
      <c r="AB240" s="319"/>
      <c r="AC240" s="319"/>
      <c r="AD240" s="319"/>
      <c r="AE240" s="319"/>
      <c r="AF240" s="319"/>
      <c r="AG240" s="319"/>
      <c r="AH240" s="319"/>
      <c r="AI240" s="319"/>
      <c r="AJ240" s="319"/>
      <c r="AK240" s="319"/>
      <c r="AL240" s="319"/>
      <c r="AM240" s="319"/>
      <c r="AN240" s="319"/>
      <c r="AO240" s="319"/>
      <c r="AP240" s="319"/>
      <c r="AQ240" s="319"/>
      <c r="AR240" s="319"/>
      <c r="AS240" s="319"/>
      <c r="AT240" s="331"/>
      <c r="AU240" s="336"/>
      <c r="AV240" s="329"/>
      <c r="AW240" s="337"/>
      <c r="AX240" s="334"/>
      <c r="AY240" s="324"/>
      <c r="AZ240" s="324"/>
      <c r="BA240" s="324"/>
      <c r="BB240" s="20"/>
      <c r="BC240" s="20"/>
      <c r="BD240" s="20"/>
      <c r="BE240" s="20"/>
    </row>
    <row r="241" spans="2:57" x14ac:dyDescent="0.25">
      <c r="B241" s="312"/>
      <c r="C241" s="312"/>
      <c r="D241" s="312"/>
      <c r="E241" s="312"/>
      <c r="F241" s="312"/>
      <c r="G241" s="313"/>
      <c r="H241" s="313"/>
      <c r="I241" s="313"/>
      <c r="J241" s="312"/>
      <c r="K241" s="312"/>
      <c r="L241" s="312"/>
      <c r="M241" s="312"/>
      <c r="N241" s="319"/>
      <c r="O241" s="319"/>
      <c r="P241" s="319"/>
      <c r="Q241" s="319"/>
      <c r="R241" s="319"/>
      <c r="S241" s="319"/>
      <c r="T241" s="319"/>
      <c r="U241" s="319"/>
      <c r="V241" s="319"/>
      <c r="W241" s="319"/>
      <c r="X241" s="319"/>
      <c r="Y241" s="319"/>
      <c r="Z241" s="319"/>
      <c r="AA241" s="319"/>
      <c r="AB241" s="319"/>
      <c r="AC241" s="319"/>
      <c r="AD241" s="319"/>
      <c r="AE241" s="319"/>
      <c r="AF241" s="319"/>
      <c r="AG241" s="319"/>
      <c r="AH241" s="319"/>
      <c r="AI241" s="319"/>
      <c r="AJ241" s="319"/>
      <c r="AK241" s="319"/>
      <c r="AL241" s="319"/>
      <c r="AM241" s="319"/>
      <c r="AN241" s="319"/>
      <c r="AO241" s="319"/>
      <c r="AP241" s="319"/>
      <c r="AQ241" s="319"/>
      <c r="AR241" s="319"/>
      <c r="AS241" s="319"/>
      <c r="AT241" s="331"/>
      <c r="AU241" s="336"/>
      <c r="AV241" s="329"/>
      <c r="AW241" s="337"/>
      <c r="AX241" s="334"/>
      <c r="AY241" s="324"/>
      <c r="AZ241" s="324"/>
      <c r="BA241" s="324"/>
      <c r="BB241" s="20"/>
      <c r="BC241" s="20"/>
      <c r="BD241" s="20"/>
      <c r="BE241" s="20"/>
    </row>
    <row r="242" spans="2:57" s="21" customFormat="1" x14ac:dyDescent="0.25">
      <c r="B242" s="314"/>
      <c r="C242" s="314" t="s">
        <v>384</v>
      </c>
      <c r="D242" s="314"/>
      <c r="E242" s="314">
        <v>1368</v>
      </c>
      <c r="F242" s="314">
        <v>767</v>
      </c>
      <c r="G242" s="315">
        <v>0</v>
      </c>
      <c r="H242" s="315"/>
      <c r="I242" s="315">
        <v>840942.55999999982</v>
      </c>
      <c r="J242" s="314">
        <v>448862.12</v>
      </c>
      <c r="K242" s="314">
        <v>383661.88000000012</v>
      </c>
      <c r="L242" s="314">
        <v>8418.5600000000013</v>
      </c>
      <c r="M242" s="318"/>
      <c r="N242" s="320">
        <v>37.521000000000008</v>
      </c>
      <c r="O242" s="320">
        <v>21.130400000000012</v>
      </c>
      <c r="P242" s="320">
        <v>67.387799999999984</v>
      </c>
      <c r="Q242" s="320">
        <v>14.156599999999994</v>
      </c>
      <c r="R242" s="320">
        <v>5.3205999999999953</v>
      </c>
      <c r="S242" s="320">
        <v>94.293099999999967</v>
      </c>
      <c r="T242" s="320">
        <v>0</v>
      </c>
      <c r="U242" s="320">
        <v>143.48750000000007</v>
      </c>
      <c r="V242" s="320">
        <v>124.29859999999999</v>
      </c>
      <c r="W242" s="320">
        <v>1.1883999999999999</v>
      </c>
      <c r="X242" s="320">
        <v>44.570299999999996</v>
      </c>
      <c r="Y242" s="320">
        <v>0</v>
      </c>
      <c r="Z242" s="320">
        <v>444.54350000000022</v>
      </c>
      <c r="AA242" s="320">
        <v>49.060000000000016</v>
      </c>
      <c r="AB242" s="320">
        <v>72.764099999999956</v>
      </c>
      <c r="AC242" s="320">
        <v>20.713100000000008</v>
      </c>
      <c r="AD242" s="320">
        <v>20.224300000000007</v>
      </c>
      <c r="AE242" s="320">
        <v>10.347000000000001</v>
      </c>
      <c r="AF242" s="320">
        <v>31.542699999999993</v>
      </c>
      <c r="AG242" s="320">
        <v>7.2282999999999973</v>
      </c>
      <c r="AH242" s="320">
        <v>0</v>
      </c>
      <c r="AI242" s="320">
        <v>515.63819999999964</v>
      </c>
      <c r="AJ242" s="320">
        <v>296.48850000000004</v>
      </c>
      <c r="AK242" s="320">
        <v>18.799700000000005</v>
      </c>
      <c r="AL242" s="320">
        <v>130.89629999999997</v>
      </c>
      <c r="AM242" s="320">
        <v>12.069699999999996</v>
      </c>
      <c r="AN242" s="320">
        <v>1.9588999999999994</v>
      </c>
      <c r="AO242" s="320">
        <v>81.620999999999995</v>
      </c>
      <c r="AP242" s="320">
        <v>39.567099999999996</v>
      </c>
      <c r="AQ242" s="320">
        <v>0</v>
      </c>
      <c r="AR242" s="320">
        <v>107.08869999999993</v>
      </c>
      <c r="AS242" s="320">
        <v>115.34089999999999</v>
      </c>
      <c r="AT242" s="332">
        <v>55.856500000000004</v>
      </c>
      <c r="AU242" s="336">
        <v>2248.8513000000003</v>
      </c>
      <c r="AV242" s="329">
        <v>2422.1576000000005</v>
      </c>
      <c r="AW242" s="337">
        <v>1172.9750999999997</v>
      </c>
      <c r="AX242" s="335"/>
      <c r="AY242" s="325"/>
      <c r="AZ242" s="325"/>
      <c r="BA242" s="325"/>
      <c r="BB242" s="316"/>
      <c r="BC242" s="316"/>
      <c r="BD242" s="316"/>
      <c r="BE242" s="316"/>
    </row>
    <row r="243" spans="2:57" x14ac:dyDescent="0.25">
      <c r="B243" s="312">
        <v>0</v>
      </c>
      <c r="C243" s="312" t="s">
        <v>385</v>
      </c>
      <c r="D243" s="312"/>
      <c r="E243" s="312">
        <v>1368</v>
      </c>
      <c r="F243" s="312">
        <v>767</v>
      </c>
      <c r="G243" s="313"/>
      <c r="H243" s="313"/>
      <c r="I243" s="313">
        <v>840942.55999999982</v>
      </c>
      <c r="J243" s="312"/>
      <c r="K243" s="312">
        <v>383661.88000000012</v>
      </c>
      <c r="L243" s="312">
        <v>8418.5600000000013</v>
      </c>
      <c r="M243" s="312"/>
      <c r="N243" s="20"/>
      <c r="O243" s="20"/>
      <c r="P243" s="20"/>
      <c r="Q243" s="20"/>
      <c r="R243" s="20"/>
      <c r="S243" s="20"/>
      <c r="T243" s="20"/>
      <c r="U243" s="20"/>
      <c r="V243" s="319">
        <v>124.29859999999999</v>
      </c>
      <c r="W243" s="319">
        <v>1.1883999999999999</v>
      </c>
      <c r="X243" s="319">
        <v>44.570299999999996</v>
      </c>
      <c r="Y243" s="319">
        <v>0</v>
      </c>
      <c r="Z243" s="319">
        <v>444.54350000000022</v>
      </c>
      <c r="AA243" s="319">
        <v>49.060000000000016</v>
      </c>
      <c r="AB243" s="319">
        <v>72.764099999999956</v>
      </c>
      <c r="AC243" s="319">
        <v>20.713100000000008</v>
      </c>
      <c r="AD243" s="319">
        <v>20.224300000000007</v>
      </c>
      <c r="AE243" s="319">
        <v>10.347000000000001</v>
      </c>
      <c r="AF243" s="319">
        <v>31.542699999999993</v>
      </c>
      <c r="AG243" s="319">
        <v>7.2282999999999973</v>
      </c>
      <c r="AH243" s="319">
        <v>0</v>
      </c>
      <c r="AI243" s="319">
        <v>515.63819999999964</v>
      </c>
      <c r="AJ243" s="319">
        <v>296.48850000000004</v>
      </c>
      <c r="AK243" s="319">
        <v>18.799700000000005</v>
      </c>
      <c r="AL243" s="319">
        <v>130.89629999999997</v>
      </c>
      <c r="AM243" s="319">
        <v>12.069699999999996</v>
      </c>
      <c r="AN243" s="319">
        <v>1.9588999999999994</v>
      </c>
      <c r="AO243" s="319">
        <v>81.620999999999995</v>
      </c>
      <c r="AP243" s="319">
        <v>39.567099999999996</v>
      </c>
      <c r="AQ243" s="319">
        <v>0</v>
      </c>
      <c r="AR243" s="319">
        <v>107.09</v>
      </c>
      <c r="AS243" s="319">
        <v>115.3408</v>
      </c>
      <c r="AT243" s="333"/>
      <c r="AU243" s="336">
        <v>2248.8526000000011</v>
      </c>
      <c r="AV243" s="329">
        <v>2422.1575000000012</v>
      </c>
      <c r="AW243" s="338"/>
      <c r="AX243" s="334"/>
      <c r="AY243" s="324"/>
      <c r="AZ243" s="324"/>
      <c r="BA243" s="324"/>
      <c r="BB243" s="20"/>
      <c r="BC243" s="20"/>
      <c r="BD243" s="20"/>
      <c r="BE243" s="20"/>
    </row>
    <row r="244" spans="2:57" ht="14.4" thickBot="1" x14ac:dyDescent="0.3">
      <c r="B244" s="312"/>
      <c r="C244" s="312"/>
      <c r="D244" s="312"/>
      <c r="E244" s="312"/>
      <c r="F244" s="312"/>
      <c r="G244" s="313"/>
      <c r="H244" s="313"/>
      <c r="I244" s="313"/>
      <c r="J244" s="312"/>
      <c r="K244" s="312"/>
      <c r="L244" s="312"/>
      <c r="M244" s="312"/>
      <c r="N244" s="20"/>
      <c r="O244" s="20"/>
      <c r="P244" s="20"/>
      <c r="Q244" s="20"/>
      <c r="R244" s="20"/>
      <c r="S244" s="20"/>
      <c r="T244" s="20"/>
      <c r="U244" s="20"/>
      <c r="V244" s="319">
        <v>0</v>
      </c>
      <c r="W244" s="319">
        <v>0</v>
      </c>
      <c r="X244" s="319">
        <v>0</v>
      </c>
      <c r="Y244" s="319">
        <v>0</v>
      </c>
      <c r="Z244" s="319">
        <v>0</v>
      </c>
      <c r="AA244" s="319">
        <v>0</v>
      </c>
      <c r="AB244" s="319">
        <v>0</v>
      </c>
      <c r="AC244" s="319">
        <v>0</v>
      </c>
      <c r="AD244" s="319">
        <v>0</v>
      </c>
      <c r="AE244" s="319">
        <v>0</v>
      </c>
      <c r="AF244" s="319">
        <v>0</v>
      </c>
      <c r="AG244" s="319">
        <v>0</v>
      </c>
      <c r="AH244" s="319">
        <v>0</v>
      </c>
      <c r="AI244" s="319">
        <v>0</v>
      </c>
      <c r="AJ244" s="319">
        <v>0</v>
      </c>
      <c r="AK244" s="319">
        <v>0</v>
      </c>
      <c r="AL244" s="319">
        <v>0</v>
      </c>
      <c r="AM244" s="319">
        <v>0</v>
      </c>
      <c r="AN244" s="319">
        <v>0</v>
      </c>
      <c r="AO244" s="319">
        <v>0</v>
      </c>
      <c r="AP244" s="319">
        <v>0</v>
      </c>
      <c r="AQ244" s="319">
        <v>0</v>
      </c>
      <c r="AR244" s="20"/>
      <c r="AS244" s="20"/>
      <c r="AT244" s="333"/>
      <c r="AU244" s="339">
        <v>1.3000000008105417E-3</v>
      </c>
      <c r="AV244" s="340">
        <v>-9.999999929277692E-5</v>
      </c>
      <c r="AW244" s="341"/>
      <c r="AX244" s="334"/>
      <c r="AY244" s="324"/>
      <c r="AZ244" s="324"/>
      <c r="BA244" s="324"/>
      <c r="BB244" s="20"/>
      <c r="BC244" s="20"/>
      <c r="BD244" s="20"/>
      <c r="BE244" s="20"/>
    </row>
  </sheetData>
  <sheetProtection algorithmName="SHA-512" hashValue="S/lzAsQ8KWhRKZEIdaz26JjWW6latpDMYJzpxK5gw6ey0OMaLOBpClbuV4tJLIUsoBUinGNJaJM5NFTtktJcJw==" saltValue="9M9Dj3k5w8gKQ+uG+MPtNg==" spinCount="100000" sheet="1" objects="1" scenarios="1"/>
  <autoFilter ref="B7:BI238" xr:uid="{00000000-0009-0000-0000-000003000000}"/>
  <mergeCells count="28">
    <mergeCell ref="V5:V6"/>
    <mergeCell ref="A5:A6"/>
    <mergeCell ref="B5:B6"/>
    <mergeCell ref="C5:C6"/>
    <mergeCell ref="E5:E6"/>
    <mergeCell ref="F5:F6"/>
    <mergeCell ref="G5:G6"/>
    <mergeCell ref="I5:I6"/>
    <mergeCell ref="J5:L5"/>
    <mergeCell ref="N5:U5"/>
    <mergeCell ref="D5:D6"/>
    <mergeCell ref="AO5:AP5"/>
    <mergeCell ref="W5:W6"/>
    <mergeCell ref="X5:X6"/>
    <mergeCell ref="Y5:Y6"/>
    <mergeCell ref="Z5:Z6"/>
    <mergeCell ref="AA5:AG5"/>
    <mergeCell ref="AH5:AH6"/>
    <mergeCell ref="AI5:AI6"/>
    <mergeCell ref="AJ5:AK5"/>
    <mergeCell ref="AL5:AL6"/>
    <mergeCell ref="AM5:AM6"/>
    <mergeCell ref="AN5:AN6"/>
    <mergeCell ref="AQ5:AQ6"/>
    <mergeCell ref="AR5:AT5"/>
    <mergeCell ref="AU5:AW5"/>
    <mergeCell ref="AY5:BA5"/>
    <mergeCell ref="BC5:BE5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F260"/>
  <sheetViews>
    <sheetView topLeftCell="BF6" workbookViewId="0">
      <selection activeCell="BO10" sqref="BO10"/>
    </sheetView>
  </sheetViews>
  <sheetFormatPr defaultColWidth="8.88671875" defaultRowHeight="14.4" x14ac:dyDescent="0.3"/>
  <cols>
    <col min="1" max="1" width="5.5546875" style="32" customWidth="1"/>
    <col min="2" max="3" width="32.109375" style="32" customWidth="1"/>
    <col min="4" max="4" width="7.6640625" style="32" customWidth="1"/>
    <col min="5" max="5" width="8.109375" style="32" customWidth="1"/>
    <col min="6" max="6" width="10.109375" style="32" customWidth="1"/>
    <col min="7" max="7" width="9.109375" style="77" customWidth="1"/>
    <col min="8" max="8" width="20.44140625" style="32" customWidth="1"/>
    <col min="9" max="9" width="14.6640625" style="32" hidden="1" customWidth="1"/>
    <col min="10" max="10" width="13.6640625" style="32" hidden="1" customWidth="1"/>
    <col min="11" max="11" width="13.109375" style="32" hidden="1" customWidth="1"/>
    <col min="12" max="14" width="11.5546875" style="32" customWidth="1"/>
    <col min="15" max="15" width="14.33203125" style="32" customWidth="1"/>
    <col min="16" max="16" width="9" style="32" customWidth="1"/>
    <col min="17" max="17" width="2.33203125" style="32" customWidth="1"/>
    <col min="18" max="18" width="11.5546875" style="32" customWidth="1"/>
    <col min="19" max="19" width="1.6640625" style="32" customWidth="1"/>
    <col min="20" max="21" width="11.5546875" style="32" customWidth="1"/>
    <col min="22" max="22" width="10.33203125" style="32" customWidth="1"/>
    <col min="23" max="24" width="8.44140625" style="32" customWidth="1"/>
    <col min="25" max="25" width="8.33203125" style="32" customWidth="1"/>
    <col min="26" max="26" width="10.6640625" style="32" customWidth="1"/>
    <col min="27" max="27" width="8.44140625" style="32" customWidth="1"/>
    <col min="28" max="28" width="10.6640625" style="32" customWidth="1"/>
    <col min="29" max="29" width="10.33203125" style="32" customWidth="1"/>
    <col min="30" max="30" width="8.44140625" style="32" customWidth="1"/>
    <col min="31" max="31" width="8.88671875" style="32"/>
    <col min="32" max="32" width="10.5546875" style="32" customWidth="1"/>
    <col min="33" max="38" width="8.6640625" style="32" customWidth="1"/>
    <col min="39" max="39" width="11.44140625" style="32" customWidth="1"/>
    <col min="40" max="40" width="8.88671875" style="32"/>
    <col min="41" max="41" width="10.44140625" style="32" customWidth="1"/>
    <col min="42" max="42" width="10.6640625" style="32" customWidth="1"/>
    <col min="43" max="43" width="8.6640625" style="32" customWidth="1"/>
    <col min="44" max="44" width="10.6640625" style="32" customWidth="1"/>
    <col min="45" max="45" width="9.6640625" style="32" customWidth="1"/>
    <col min="46" max="46" width="10" style="32" customWidth="1"/>
    <col min="47" max="47" width="8.88671875" style="82"/>
    <col min="48" max="48" width="9.6640625" style="82" customWidth="1"/>
    <col min="49" max="49" width="9.6640625" style="32" customWidth="1"/>
    <col min="50" max="50" width="9.44140625" style="33" customWidth="1"/>
    <col min="51" max="52" width="9.6640625" style="77" customWidth="1"/>
    <col min="53" max="53" width="11" style="32" customWidth="1"/>
    <col min="54" max="54" width="9.44140625" style="32" customWidth="1"/>
    <col min="55" max="55" width="10.6640625" style="32" customWidth="1"/>
    <col min="56" max="56" width="8.44140625" style="32" customWidth="1"/>
    <col min="57" max="57" width="10.44140625" style="32" customWidth="1"/>
    <col min="58" max="58" width="10.33203125" style="32" customWidth="1"/>
    <col min="59" max="59" width="12.5546875" style="32" customWidth="1"/>
    <col min="60" max="61" width="2.33203125" style="32" customWidth="1"/>
    <col min="62" max="68" width="12" style="32" customWidth="1"/>
    <col min="69" max="69" width="12" style="32" hidden="1" customWidth="1"/>
    <col min="70" max="74" width="5.109375" style="77" hidden="1" customWidth="1"/>
    <col min="75" max="76" width="7.6640625" style="77" hidden="1" customWidth="1"/>
    <col min="77" max="77" width="7.44140625" style="77" hidden="1" customWidth="1"/>
    <col min="78" max="78" width="0.88671875" style="77" hidden="1" customWidth="1"/>
    <col min="79" max="79" width="9.88671875" style="77" hidden="1" customWidth="1"/>
    <col min="80" max="80" width="10.109375" style="77" hidden="1" customWidth="1"/>
    <col min="81" max="82" width="8.88671875" style="77" hidden="1" customWidth="1"/>
    <col min="83" max="85" width="11.6640625" style="77" hidden="1" customWidth="1"/>
    <col min="86" max="87" width="8.88671875" style="77" hidden="1" customWidth="1"/>
    <col min="88" max="88" width="10.88671875" style="77" hidden="1" customWidth="1"/>
    <col min="89" max="89" width="8.88671875" style="77" hidden="1" customWidth="1"/>
    <col min="90" max="90" width="8.88671875" style="83" hidden="1" customWidth="1"/>
    <col min="91" max="91" width="8.88671875" style="77" hidden="1" customWidth="1"/>
    <col min="92" max="92" width="30.44140625" style="77" hidden="1" customWidth="1"/>
    <col min="93" max="119" width="8.88671875" style="77" hidden="1" customWidth="1"/>
    <col min="120" max="120" width="8.88671875" style="84" hidden="1" customWidth="1"/>
    <col min="121" max="129" width="8.88671875" style="77" hidden="1" customWidth="1"/>
    <col min="130" max="130" width="8.88671875" style="84" hidden="1" customWidth="1"/>
    <col min="131" max="131" width="8.88671875" style="77" hidden="1" customWidth="1"/>
    <col min="132" max="132" width="8.88671875" style="84" hidden="1" customWidth="1"/>
    <col min="133" max="133" width="8.88671875" style="77" hidden="1" customWidth="1"/>
    <col min="134" max="134" width="8.88671875" style="84" hidden="1" customWidth="1"/>
    <col min="135" max="145" width="8.88671875" style="77" hidden="1" customWidth="1"/>
    <col min="146" max="146" width="1.33203125" style="32" hidden="1" customWidth="1"/>
    <col min="147" max="147" width="3" style="85" hidden="1" customWidth="1"/>
    <col min="148" max="148" width="2.5546875" style="32" hidden="1" customWidth="1"/>
    <col min="149" max="149" width="7.6640625" style="32" hidden="1" customWidth="1"/>
    <col min="150" max="150" width="7.44140625" style="32" hidden="1" customWidth="1"/>
    <col min="151" max="151" width="0.88671875" style="32" hidden="1" customWidth="1"/>
    <col min="152" max="152" width="9.88671875" style="32" hidden="1" customWidth="1"/>
    <col min="153" max="153" width="10.109375" style="32" hidden="1" customWidth="1"/>
    <col min="154" max="154" width="10.109375" style="79" hidden="1" customWidth="1"/>
    <col min="155" max="155" width="8.88671875" style="79" hidden="1" customWidth="1"/>
    <col min="156" max="156" width="8.88671875" style="32" hidden="1" customWidth="1"/>
    <col min="157" max="157" width="8.88671875" style="77" hidden="1" customWidth="1"/>
    <col min="158" max="162" width="8.88671875" style="32" hidden="1" customWidth="1"/>
    <col min="163" max="163" width="8.88671875" style="79" hidden="1" customWidth="1"/>
    <col min="164" max="164" width="12.33203125" style="79" hidden="1" customWidth="1"/>
    <col min="165" max="165" width="8.88671875" style="79" hidden="1" customWidth="1"/>
    <col min="166" max="166" width="11" style="86" hidden="1" customWidth="1"/>
    <col min="167" max="167" width="8.88671875" style="86" hidden="1" customWidth="1"/>
    <col min="168" max="168" width="11" style="87" hidden="1" customWidth="1"/>
    <col min="169" max="169" width="8.88671875" style="83" hidden="1" customWidth="1"/>
    <col min="170" max="170" width="8.88671875" style="79" hidden="1" customWidth="1"/>
    <col min="171" max="171" width="9.6640625" style="88" hidden="1" customWidth="1"/>
    <col min="172" max="174" width="8.88671875" style="79" hidden="1" customWidth="1"/>
    <col min="175" max="175" width="14.109375" style="79" hidden="1" customWidth="1"/>
    <col min="176" max="186" width="8.88671875" style="79" hidden="1" customWidth="1"/>
    <col min="187" max="187" width="8.88671875" style="32" hidden="1" customWidth="1"/>
    <col min="188" max="188" width="8.88671875" style="32"/>
    <col min="189" max="189" width="10.33203125" style="32" customWidth="1"/>
    <col min="190" max="190" width="11.109375" style="32" customWidth="1"/>
    <col min="191" max="191" width="10.6640625" style="32" customWidth="1"/>
    <col min="192" max="194" width="8.88671875" style="32"/>
    <col min="195" max="197" width="8.88671875" style="32" hidden="1" customWidth="1"/>
    <col min="198" max="198" width="8.88671875" style="77" hidden="1" customWidth="1"/>
    <col min="199" max="202" width="8.88671875" style="32" hidden="1" customWidth="1"/>
    <col min="203" max="205" width="8.88671875" style="32"/>
    <col min="206" max="206" width="11.5546875" style="32" customWidth="1"/>
    <col min="207" max="207" width="8.88671875" style="32"/>
    <col min="208" max="210" width="10.88671875" style="32" bestFit="1" customWidth="1"/>
    <col min="211" max="211" width="10.33203125" style="32" customWidth="1"/>
    <col min="212" max="16384" width="8.88671875" style="32"/>
  </cols>
  <sheetData>
    <row r="1" spans="1:210" x14ac:dyDescent="0.3">
      <c r="B1" s="77" t="s">
        <v>413</v>
      </c>
      <c r="C1" s="77"/>
      <c r="F1" s="78">
        <f>'[1]0 СВОД'!$Q$1</f>
        <v>10.590676593906409</v>
      </c>
      <c r="G1" s="79">
        <f>'[1]0 СВОД'!$A$1</f>
        <v>8.7279137375245721</v>
      </c>
      <c r="H1" s="80">
        <f>F1/G1</f>
        <v>1.2134259013552255</v>
      </c>
      <c r="AD1" s="81" t="s">
        <v>414</v>
      </c>
      <c r="AH1" s="79" t="s">
        <v>415</v>
      </c>
      <c r="AW1" s="82"/>
      <c r="AX1" s="82"/>
      <c r="AY1" s="82"/>
      <c r="AZ1" s="82"/>
      <c r="BA1" s="82"/>
      <c r="BB1" s="82"/>
      <c r="BD1" s="82"/>
      <c r="BF1" s="82"/>
      <c r="BG1" s="82"/>
      <c r="BH1" s="82"/>
      <c r="BQ1" s="32" t="e">
        <f>+BQ:CBQ:GC</f>
        <v>#NAME?</v>
      </c>
    </row>
    <row r="2" spans="1:210" ht="18" x14ac:dyDescent="0.35">
      <c r="B2" s="89" t="s">
        <v>416</v>
      </c>
      <c r="C2" s="89"/>
      <c r="AH2" s="90" t="s">
        <v>417</v>
      </c>
      <c r="AW2" s="82"/>
      <c r="AX2" s="82"/>
      <c r="AY2" s="82"/>
      <c r="AZ2" s="82"/>
      <c r="BA2" s="82"/>
      <c r="BB2" s="82"/>
      <c r="BD2" s="82"/>
      <c r="BF2" s="82"/>
      <c r="BG2" s="82"/>
      <c r="BH2" s="82"/>
      <c r="EF2" s="510">
        <v>8.3902080379129558</v>
      </c>
      <c r="EG2" s="510"/>
    </row>
    <row r="3" spans="1:210" x14ac:dyDescent="0.3">
      <c r="AW3" s="82"/>
      <c r="AX3" s="82"/>
      <c r="AY3" s="82"/>
      <c r="AZ3" s="82"/>
      <c r="BA3" s="82"/>
      <c r="BB3" s="82"/>
      <c r="BD3" s="82"/>
      <c r="BF3" s="82"/>
      <c r="BG3" s="82"/>
      <c r="BH3" s="82"/>
    </row>
    <row r="4" spans="1:210" x14ac:dyDescent="0.3">
      <c r="A4" s="510">
        <f>'[1]0 СВОД'!B1</f>
        <v>10.590676593906409</v>
      </c>
      <c r="B4" s="510"/>
      <c r="C4" s="91"/>
      <c r="AW4" s="82"/>
      <c r="AX4" s="82"/>
      <c r="AY4" s="82"/>
      <c r="AZ4" s="82"/>
      <c r="BA4" s="82"/>
      <c r="BB4" s="82"/>
      <c r="BD4" s="82"/>
      <c r="BF4" s="82"/>
      <c r="BG4" s="82"/>
      <c r="BH4" s="82"/>
    </row>
    <row r="5" spans="1:210" ht="15.6" customHeight="1" x14ac:dyDescent="0.3">
      <c r="A5" s="511" t="s">
        <v>328</v>
      </c>
      <c r="B5" s="513" t="s">
        <v>329</v>
      </c>
      <c r="C5" s="68"/>
      <c r="D5" s="513" t="s">
        <v>396</v>
      </c>
      <c r="E5" s="513" t="s">
        <v>331</v>
      </c>
      <c r="F5" s="513" t="s">
        <v>418</v>
      </c>
      <c r="G5" s="30"/>
      <c r="H5" s="68"/>
      <c r="I5" s="68"/>
      <c r="J5" s="68"/>
      <c r="K5" s="68"/>
      <c r="L5" s="515" t="s">
        <v>397</v>
      </c>
      <c r="M5" s="518" t="s">
        <v>334</v>
      </c>
      <c r="N5" s="519"/>
      <c r="O5" s="519"/>
      <c r="P5" s="520"/>
      <c r="Q5" s="68"/>
      <c r="R5" s="521" t="s">
        <v>419</v>
      </c>
      <c r="S5" s="92"/>
      <c r="T5" s="521" t="s">
        <v>420</v>
      </c>
      <c r="U5" s="93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W5" s="82"/>
      <c r="AX5" s="82"/>
      <c r="AY5" s="82"/>
      <c r="AZ5" s="82"/>
      <c r="BA5" s="82"/>
      <c r="BB5" s="82"/>
      <c r="BD5" s="82"/>
      <c r="BF5" s="82"/>
      <c r="BG5" s="82"/>
      <c r="BH5" s="82"/>
      <c r="CM5" s="523" t="s">
        <v>328</v>
      </c>
      <c r="CN5" s="525" t="s">
        <v>329</v>
      </c>
      <c r="CO5" s="525" t="s">
        <v>396</v>
      </c>
      <c r="CP5" s="525" t="s">
        <v>331</v>
      </c>
      <c r="CQ5" s="94"/>
      <c r="CR5" s="94"/>
      <c r="CS5" s="94"/>
      <c r="CT5" s="94"/>
      <c r="CU5" s="94"/>
      <c r="CV5" s="533" t="s">
        <v>421</v>
      </c>
      <c r="CW5" s="525" t="s">
        <v>334</v>
      </c>
      <c r="CX5" s="525"/>
      <c r="CY5" s="525"/>
      <c r="CZ5" s="94"/>
      <c r="DA5" s="525" t="s">
        <v>419</v>
      </c>
      <c r="DB5" s="94"/>
      <c r="DC5" s="525" t="s">
        <v>420</v>
      </c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6"/>
      <c r="DQ5" s="95"/>
    </row>
    <row r="6" spans="1:210" ht="39.6" customHeight="1" thickBot="1" x14ac:dyDescent="0.35">
      <c r="A6" s="511"/>
      <c r="B6" s="513"/>
      <c r="C6" s="68"/>
      <c r="D6" s="513"/>
      <c r="E6" s="513"/>
      <c r="F6" s="513"/>
      <c r="G6" s="30"/>
      <c r="H6" s="68"/>
      <c r="I6" s="68"/>
      <c r="J6" s="68"/>
      <c r="K6" s="68"/>
      <c r="L6" s="516"/>
      <c r="M6" s="68"/>
      <c r="N6" s="68"/>
      <c r="O6" s="68"/>
      <c r="P6" s="68"/>
      <c r="Q6" s="68"/>
      <c r="R6" s="521"/>
      <c r="S6" s="92"/>
      <c r="T6" s="521"/>
      <c r="U6" s="97"/>
      <c r="V6" s="528" t="s">
        <v>335</v>
      </c>
      <c r="W6" s="529"/>
      <c r="X6" s="529"/>
      <c r="Y6" s="529"/>
      <c r="Z6" s="529"/>
      <c r="AA6" s="530"/>
      <c r="AB6" s="529"/>
      <c r="AC6" s="531"/>
      <c r="AD6" s="34"/>
      <c r="AE6" s="34"/>
      <c r="AF6" s="34"/>
      <c r="AG6" s="528" t="s">
        <v>341</v>
      </c>
      <c r="AH6" s="529"/>
      <c r="AI6" s="529"/>
      <c r="AJ6" s="529"/>
      <c r="AK6" s="529"/>
      <c r="AL6" s="530"/>
      <c r="AM6" s="531"/>
      <c r="AN6" s="34"/>
      <c r="AO6" s="34"/>
      <c r="AP6" s="34"/>
      <c r="AQ6" s="34"/>
      <c r="AR6" s="34"/>
      <c r="AS6" s="34"/>
      <c r="AT6" s="34"/>
      <c r="AU6" s="98"/>
      <c r="AV6" s="98"/>
      <c r="AW6" s="34"/>
      <c r="AX6" s="35"/>
      <c r="AY6" s="99"/>
      <c r="AZ6" s="99"/>
      <c r="BC6" s="34"/>
      <c r="BD6" s="34"/>
      <c r="BE6" s="34"/>
      <c r="BF6" s="34"/>
      <c r="BG6" s="36"/>
      <c r="BH6" s="34"/>
      <c r="BI6" s="34"/>
      <c r="BX6" s="532" t="s">
        <v>422</v>
      </c>
      <c r="BY6" s="532"/>
      <c r="BZ6" s="100"/>
      <c r="CA6" s="532" t="s">
        <v>351</v>
      </c>
      <c r="CB6" s="532"/>
      <c r="CM6" s="523"/>
      <c r="CN6" s="525"/>
      <c r="CO6" s="525"/>
      <c r="CP6" s="525"/>
      <c r="CQ6" s="94"/>
      <c r="CR6" s="94"/>
      <c r="CS6" s="94"/>
      <c r="CT6" s="94"/>
      <c r="CU6" s="94"/>
      <c r="CV6" s="533"/>
      <c r="CW6" s="94"/>
      <c r="CX6" s="94"/>
      <c r="CY6" s="94"/>
      <c r="CZ6" s="94"/>
      <c r="DA6" s="525"/>
      <c r="DB6" s="94"/>
      <c r="DC6" s="525"/>
      <c r="DD6" s="535" t="s">
        <v>335</v>
      </c>
      <c r="DE6" s="536"/>
      <c r="DF6" s="536"/>
      <c r="DG6" s="536"/>
      <c r="DH6" s="536"/>
      <c r="DI6" s="536"/>
      <c r="DJ6" s="536"/>
      <c r="DK6" s="537"/>
      <c r="DL6" s="99"/>
      <c r="DM6" s="99"/>
      <c r="DN6" s="99"/>
      <c r="DO6" s="99"/>
      <c r="DP6" s="101"/>
      <c r="DQ6" s="535" t="s">
        <v>341</v>
      </c>
      <c r="DR6" s="536"/>
      <c r="DS6" s="536"/>
      <c r="DT6" s="536"/>
      <c r="DU6" s="536"/>
      <c r="DV6" s="536"/>
      <c r="DW6" s="537"/>
      <c r="DX6" s="99"/>
      <c r="DY6" s="99"/>
      <c r="DZ6" s="101"/>
      <c r="EA6" s="99"/>
      <c r="EB6" s="101"/>
      <c r="EC6" s="99"/>
      <c r="ED6" s="101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S6" s="538" t="s">
        <v>350</v>
      </c>
      <c r="ET6" s="538"/>
      <c r="EU6" s="37"/>
      <c r="EV6" s="538" t="s">
        <v>351</v>
      </c>
      <c r="EW6" s="538"/>
      <c r="EX6" s="102"/>
      <c r="FO6" s="539" t="s">
        <v>423</v>
      </c>
      <c r="FP6" s="539"/>
      <c r="FS6" s="527" t="s">
        <v>424</v>
      </c>
      <c r="FT6" s="527"/>
      <c r="GG6" s="541">
        <v>2024</v>
      </c>
      <c r="GH6" s="541"/>
      <c r="GI6" s="541"/>
      <c r="GJ6" s="541"/>
      <c r="GN6" s="542" t="s">
        <v>425</v>
      </c>
      <c r="GO6" s="542"/>
      <c r="GP6" s="542"/>
      <c r="GQ6" s="542"/>
      <c r="GV6" s="543" t="s">
        <v>426</v>
      </c>
      <c r="GW6" s="543"/>
      <c r="GX6" s="543"/>
      <c r="GZ6" s="543" t="s">
        <v>427</v>
      </c>
      <c r="HA6" s="543"/>
      <c r="HB6" s="543"/>
    </row>
    <row r="7" spans="1:210" ht="142.94999999999999" customHeight="1" thickBot="1" x14ac:dyDescent="0.35">
      <c r="A7" s="512"/>
      <c r="B7" s="514"/>
      <c r="C7" s="69"/>
      <c r="D7" s="514"/>
      <c r="E7" s="514"/>
      <c r="F7" s="514"/>
      <c r="G7" s="38" t="s">
        <v>332</v>
      </c>
      <c r="H7" s="69"/>
      <c r="I7" s="39" t="s">
        <v>428</v>
      </c>
      <c r="J7" s="103" t="s">
        <v>429</v>
      </c>
      <c r="K7" s="39" t="s">
        <v>398</v>
      </c>
      <c r="L7" s="517"/>
      <c r="M7" s="104" t="s">
        <v>430</v>
      </c>
      <c r="N7" s="104"/>
      <c r="O7" s="104" t="s">
        <v>354</v>
      </c>
      <c r="P7" s="104" t="s">
        <v>431</v>
      </c>
      <c r="Q7" s="69"/>
      <c r="R7" s="522"/>
      <c r="S7" s="104"/>
      <c r="T7" s="522"/>
      <c r="U7" s="105" t="s">
        <v>432</v>
      </c>
      <c r="V7" s="40" t="s">
        <v>355</v>
      </c>
      <c r="W7" s="41" t="s">
        <v>356</v>
      </c>
      <c r="X7" s="41" t="s">
        <v>357</v>
      </c>
      <c r="Y7" s="41" t="s">
        <v>358</v>
      </c>
      <c r="Z7" s="41" t="s">
        <v>359</v>
      </c>
      <c r="AA7" s="41" t="s">
        <v>360</v>
      </c>
      <c r="AB7" s="41" t="s">
        <v>361</v>
      </c>
      <c r="AC7" s="41" t="s">
        <v>362</v>
      </c>
      <c r="AD7" s="41" t="s">
        <v>338</v>
      </c>
      <c r="AE7" s="41" t="s">
        <v>339</v>
      </c>
      <c r="AF7" s="42" t="s">
        <v>340</v>
      </c>
      <c r="AG7" s="41" t="s">
        <v>363</v>
      </c>
      <c r="AH7" s="41" t="s">
        <v>364</v>
      </c>
      <c r="AI7" s="41" t="s">
        <v>365</v>
      </c>
      <c r="AJ7" s="41" t="s">
        <v>366</v>
      </c>
      <c r="AK7" s="41" t="s">
        <v>367</v>
      </c>
      <c r="AL7" s="41" t="s">
        <v>368</v>
      </c>
      <c r="AM7" s="41" t="s">
        <v>369</v>
      </c>
      <c r="AN7" s="41" t="s">
        <v>342</v>
      </c>
      <c r="AO7" s="41" t="s">
        <v>343</v>
      </c>
      <c r="AP7" s="41" t="s">
        <v>399</v>
      </c>
      <c r="AQ7" s="41" t="s">
        <v>400</v>
      </c>
      <c r="AR7" s="41" t="s">
        <v>345</v>
      </c>
      <c r="AS7" s="41" t="s">
        <v>305</v>
      </c>
      <c r="AT7" s="41" t="s">
        <v>307</v>
      </c>
      <c r="AU7" s="106" t="s">
        <v>372</v>
      </c>
      <c r="AV7" s="107" t="s">
        <v>401</v>
      </c>
      <c r="AW7" s="108" t="s">
        <v>433</v>
      </c>
      <c r="AX7" s="43" t="s">
        <v>402</v>
      </c>
      <c r="AY7" s="109"/>
      <c r="AZ7" s="109"/>
      <c r="BA7" s="44" t="s">
        <v>403</v>
      </c>
      <c r="BB7" s="31"/>
      <c r="BC7" s="41" t="s">
        <v>336</v>
      </c>
      <c r="BD7" s="45" t="s">
        <v>337</v>
      </c>
      <c r="BE7" s="41" t="s">
        <v>373</v>
      </c>
      <c r="BF7" s="108" t="s">
        <v>434</v>
      </c>
      <c r="BG7" s="46" t="s">
        <v>404</v>
      </c>
      <c r="BH7" s="110"/>
      <c r="BI7" s="110"/>
      <c r="BJ7" s="47" t="s">
        <v>405</v>
      </c>
      <c r="BK7" s="111"/>
      <c r="BL7" s="108" t="s">
        <v>435</v>
      </c>
      <c r="BM7" s="46" t="s">
        <v>436</v>
      </c>
      <c r="BN7" s="47" t="s">
        <v>406</v>
      </c>
      <c r="BO7" s="47"/>
      <c r="BP7" s="112"/>
      <c r="BW7" s="77" t="s">
        <v>437</v>
      </c>
      <c r="BX7" s="113" t="s">
        <v>378</v>
      </c>
      <c r="BY7" s="113" t="s">
        <v>379</v>
      </c>
      <c r="BZ7" s="114"/>
      <c r="CA7" s="113" t="s">
        <v>380</v>
      </c>
      <c r="CB7" s="113" t="s">
        <v>381</v>
      </c>
      <c r="CD7" s="77" t="s">
        <v>438</v>
      </c>
      <c r="CE7" s="77" t="s">
        <v>439</v>
      </c>
      <c r="CI7" s="77" t="s">
        <v>440</v>
      </c>
      <c r="CJ7" s="77" t="s">
        <v>441</v>
      </c>
      <c r="CM7" s="524"/>
      <c r="CN7" s="526"/>
      <c r="CO7" s="526"/>
      <c r="CP7" s="526"/>
      <c r="CQ7" s="115" t="s">
        <v>332</v>
      </c>
      <c r="CR7" s="115"/>
      <c r="CS7" s="116" t="s">
        <v>442</v>
      </c>
      <c r="CT7" s="117" t="s">
        <v>443</v>
      </c>
      <c r="CU7" s="116" t="s">
        <v>444</v>
      </c>
      <c r="CV7" s="534"/>
      <c r="CW7" s="115" t="s">
        <v>430</v>
      </c>
      <c r="CX7" s="115" t="s">
        <v>354</v>
      </c>
      <c r="CY7" s="115" t="s">
        <v>431</v>
      </c>
      <c r="CZ7" s="115"/>
      <c r="DA7" s="526"/>
      <c r="DB7" s="115"/>
      <c r="DC7" s="526"/>
      <c r="DD7" s="118" t="s">
        <v>355</v>
      </c>
      <c r="DE7" s="119" t="s">
        <v>356</v>
      </c>
      <c r="DF7" s="119" t="s">
        <v>357</v>
      </c>
      <c r="DG7" s="119" t="s">
        <v>358</v>
      </c>
      <c r="DH7" s="119" t="s">
        <v>359</v>
      </c>
      <c r="DI7" s="119" t="s">
        <v>360</v>
      </c>
      <c r="DJ7" s="119" t="s">
        <v>361</v>
      </c>
      <c r="DK7" s="119" t="s">
        <v>362</v>
      </c>
      <c r="DL7" s="120" t="s">
        <v>337</v>
      </c>
      <c r="DM7" s="120" t="s">
        <v>338</v>
      </c>
      <c r="DN7" s="120" t="s">
        <v>339</v>
      </c>
      <c r="DO7" s="121" t="s">
        <v>340</v>
      </c>
      <c r="DP7" s="122" t="s">
        <v>445</v>
      </c>
      <c r="DQ7" s="119" t="s">
        <v>363</v>
      </c>
      <c r="DR7" s="119" t="s">
        <v>364</v>
      </c>
      <c r="DS7" s="119" t="s">
        <v>365</v>
      </c>
      <c r="DT7" s="119" t="s">
        <v>366</v>
      </c>
      <c r="DU7" s="119" t="s">
        <v>367</v>
      </c>
      <c r="DV7" s="119" t="s">
        <v>368</v>
      </c>
      <c r="DW7" s="119" t="s">
        <v>369</v>
      </c>
      <c r="DX7" s="120" t="s">
        <v>342</v>
      </c>
      <c r="DY7" s="119" t="s">
        <v>343</v>
      </c>
      <c r="DZ7" s="123"/>
      <c r="EA7" s="119" t="s">
        <v>446</v>
      </c>
      <c r="EB7" s="123"/>
      <c r="EC7" s="119" t="s">
        <v>345</v>
      </c>
      <c r="ED7" s="123"/>
      <c r="EE7" s="120" t="s">
        <v>305</v>
      </c>
      <c r="EF7" s="120" t="s">
        <v>307</v>
      </c>
      <c r="EG7" s="119" t="s">
        <v>372</v>
      </c>
      <c r="EH7" s="118" t="s">
        <v>401</v>
      </c>
      <c r="EI7" s="124" t="s">
        <v>402</v>
      </c>
      <c r="EJ7" s="125" t="s">
        <v>403</v>
      </c>
      <c r="EK7" s="95"/>
      <c r="EL7" s="119" t="s">
        <v>336</v>
      </c>
      <c r="EM7" s="119" t="s">
        <v>373</v>
      </c>
      <c r="EN7" s="126" t="s">
        <v>404</v>
      </c>
      <c r="EO7" s="127" t="s">
        <v>405</v>
      </c>
      <c r="ES7" s="48" t="s">
        <v>378</v>
      </c>
      <c r="ET7" s="48" t="s">
        <v>379</v>
      </c>
      <c r="EU7" s="49"/>
      <c r="EV7" s="48" t="s">
        <v>380</v>
      </c>
      <c r="EW7" s="48" t="s">
        <v>381</v>
      </c>
      <c r="EX7" s="128"/>
      <c r="FJ7" s="86" t="s">
        <v>447</v>
      </c>
      <c r="FO7" s="88" t="s">
        <v>448</v>
      </c>
      <c r="FP7" s="79" t="s">
        <v>449</v>
      </c>
      <c r="FS7" s="79">
        <v>1</v>
      </c>
      <c r="FT7" s="79" t="s">
        <v>450</v>
      </c>
      <c r="GG7" s="44" t="s">
        <v>403</v>
      </c>
      <c r="GI7" s="47" t="s">
        <v>405</v>
      </c>
      <c r="GN7" s="32" t="s">
        <v>451</v>
      </c>
      <c r="GO7" s="32" t="s">
        <v>452</v>
      </c>
      <c r="GP7" s="77" t="s">
        <v>453</v>
      </c>
      <c r="GQ7" s="32" t="s">
        <v>450</v>
      </c>
      <c r="GR7" s="32" t="s">
        <v>452</v>
      </c>
      <c r="GS7" s="77" t="s">
        <v>453</v>
      </c>
      <c r="GV7" s="129" t="s">
        <v>454</v>
      </c>
      <c r="GW7" s="129" t="s">
        <v>455</v>
      </c>
      <c r="GX7" s="129" t="s">
        <v>456</v>
      </c>
      <c r="GZ7" s="129" t="s">
        <v>454</v>
      </c>
      <c r="HA7" s="129" t="s">
        <v>455</v>
      </c>
      <c r="HB7" s="129" t="s">
        <v>457</v>
      </c>
    </row>
    <row r="8" spans="1:210" ht="15.6" x14ac:dyDescent="0.3">
      <c r="A8" s="67"/>
      <c r="B8" s="68"/>
      <c r="C8" s="68"/>
      <c r="D8" s="68"/>
      <c r="E8" s="68">
        <v>0</v>
      </c>
      <c r="F8" s="68"/>
      <c r="G8" s="30"/>
      <c r="H8" s="68"/>
      <c r="I8" s="68"/>
      <c r="J8" s="68"/>
      <c r="K8" s="68"/>
      <c r="L8" s="92"/>
      <c r="M8" s="68"/>
      <c r="N8" s="68"/>
      <c r="O8" s="68"/>
      <c r="P8" s="68"/>
      <c r="Q8" s="68"/>
      <c r="R8" s="68"/>
      <c r="S8" s="68"/>
      <c r="T8" s="68"/>
      <c r="U8" s="13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4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131"/>
      <c r="AV8" s="131"/>
      <c r="AW8" s="132"/>
      <c r="AX8" s="133">
        <v>0.05</v>
      </c>
      <c r="AY8" s="134"/>
      <c r="AZ8" s="134"/>
      <c r="BA8" s="135"/>
      <c r="BB8" s="31"/>
      <c r="BC8" s="70"/>
      <c r="BD8" s="70"/>
      <c r="BE8" s="70"/>
      <c r="BF8" s="70"/>
      <c r="BG8" s="136">
        <v>0.05</v>
      </c>
      <c r="BH8" s="137"/>
      <c r="BI8" s="137"/>
      <c r="BJ8" s="138"/>
      <c r="BK8" s="139"/>
      <c r="BL8" s="139"/>
      <c r="BM8" s="139"/>
      <c r="BN8" s="138"/>
      <c r="BO8" s="138"/>
      <c r="BP8" s="140"/>
      <c r="BX8" s="95"/>
      <c r="BY8" s="95"/>
      <c r="BZ8" s="95"/>
      <c r="CA8" s="95"/>
      <c r="CB8" s="95"/>
      <c r="CM8" s="141"/>
      <c r="CN8" s="94"/>
      <c r="CO8" s="94"/>
      <c r="CP8" s="94"/>
      <c r="CQ8" s="94"/>
      <c r="CR8" s="94"/>
      <c r="CS8" s="94"/>
      <c r="CT8" s="94"/>
      <c r="CU8" s="94"/>
      <c r="CV8" s="30"/>
      <c r="CW8" s="94"/>
      <c r="CX8" s="94"/>
      <c r="CY8" s="94"/>
      <c r="CZ8" s="94"/>
      <c r="DA8" s="94"/>
      <c r="DB8" s="94"/>
      <c r="DC8" s="94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3"/>
      <c r="DP8" s="144"/>
      <c r="DQ8" s="142"/>
      <c r="DR8" s="142"/>
      <c r="DS8" s="142"/>
      <c r="DT8" s="142"/>
      <c r="DU8" s="142"/>
      <c r="DV8" s="142"/>
      <c r="DW8" s="142"/>
      <c r="DX8" s="142"/>
      <c r="DY8" s="142"/>
      <c r="DZ8" s="145"/>
      <c r="EA8" s="142"/>
      <c r="EB8" s="145"/>
      <c r="EC8" s="142"/>
      <c r="ED8" s="145"/>
      <c r="EE8" s="142"/>
      <c r="EF8" s="142"/>
      <c r="EG8" s="142"/>
      <c r="EH8" s="142"/>
      <c r="EI8" s="134"/>
      <c r="EJ8" s="146"/>
      <c r="EK8" s="95"/>
      <c r="EL8" s="142"/>
      <c r="EM8" s="142"/>
      <c r="EN8" s="147"/>
      <c r="EO8" s="148"/>
      <c r="ES8" s="31"/>
      <c r="ET8" s="31"/>
      <c r="EU8" s="31"/>
      <c r="EV8" s="31"/>
      <c r="EW8" s="31"/>
      <c r="FJ8" s="86" t="s">
        <v>451</v>
      </c>
      <c r="GG8" s="135"/>
      <c r="GI8" s="138"/>
    </row>
    <row r="9" spans="1:210" ht="19.2" customHeight="1" x14ac:dyDescent="0.3">
      <c r="A9" s="149">
        <v>1</v>
      </c>
      <c r="B9" s="150" t="s">
        <v>458</v>
      </c>
      <c r="C9" s="150" t="s">
        <v>459</v>
      </c>
      <c r="D9" s="63">
        <v>9</v>
      </c>
      <c r="E9" s="63">
        <v>2</v>
      </c>
      <c r="F9" s="63">
        <v>72</v>
      </c>
      <c r="G9" s="54" t="s">
        <v>172</v>
      </c>
      <c r="H9" s="151" t="s">
        <v>173</v>
      </c>
      <c r="I9" s="55">
        <f>L9-J9-K9</f>
        <v>394.69999999999982</v>
      </c>
      <c r="J9" s="55">
        <f t="shared" ref="J9:J72" si="0">T9</f>
        <v>3421.04</v>
      </c>
      <c r="K9" s="55">
        <f t="shared" ref="K9:K72" si="1">O9</f>
        <v>0</v>
      </c>
      <c r="L9" s="56">
        <v>3815.74</v>
      </c>
      <c r="M9" s="56">
        <v>3815.74</v>
      </c>
      <c r="N9" s="56">
        <f>L9-O9-T9</f>
        <v>394.69999999999982</v>
      </c>
      <c r="O9" s="56">
        <v>0</v>
      </c>
      <c r="P9" s="56">
        <v>0</v>
      </c>
      <c r="Q9" s="55"/>
      <c r="R9" s="55">
        <v>3815.74</v>
      </c>
      <c r="S9" s="55"/>
      <c r="T9" s="55">
        <v>3421.04</v>
      </c>
      <c r="U9" s="152">
        <v>394.69999999999982</v>
      </c>
      <c r="V9" s="57">
        <v>0.1789</v>
      </c>
      <c r="W9" s="57">
        <v>0.11459999999999999</v>
      </c>
      <c r="X9" s="153">
        <v>0.29110000000000003</v>
      </c>
      <c r="Y9" s="153">
        <v>6.7500000000000004E-2</v>
      </c>
      <c r="Z9" s="57">
        <v>2.3E-2</v>
      </c>
      <c r="AA9" s="57">
        <v>0.22819999999999999</v>
      </c>
      <c r="AB9" s="57">
        <v>0</v>
      </c>
      <c r="AC9" s="153">
        <v>0.63149999999999995</v>
      </c>
      <c r="AD9" s="57">
        <v>0.1492</v>
      </c>
      <c r="AE9" s="57">
        <v>0</v>
      </c>
      <c r="AF9" s="57">
        <v>2.8820999999999999</v>
      </c>
      <c r="AG9" s="57">
        <v>0.2331</v>
      </c>
      <c r="AH9" s="57">
        <v>0.40849999999999997</v>
      </c>
      <c r="AI9" s="57">
        <v>7.1099999999999997E-2</v>
      </c>
      <c r="AJ9" s="57">
        <v>6.1199999999999997E-2</v>
      </c>
      <c r="AK9" s="57">
        <v>4.48E-2</v>
      </c>
      <c r="AL9" s="57">
        <v>7.9899999999999999E-2</v>
      </c>
      <c r="AM9" s="57">
        <v>2.9899999999999999E-2</v>
      </c>
      <c r="AN9" s="57">
        <v>0</v>
      </c>
      <c r="AO9" s="57">
        <v>1.1332</v>
      </c>
      <c r="AP9" s="153">
        <v>1.4844999999999999</v>
      </c>
      <c r="AQ9" s="153">
        <v>7.6700000000000004E-2</v>
      </c>
      <c r="AR9" s="57">
        <v>0.3488</v>
      </c>
      <c r="AS9" s="57">
        <v>3.4599999999999999E-2</v>
      </c>
      <c r="AT9" s="153">
        <v>5.5999999999999999E-3</v>
      </c>
      <c r="AU9" s="153">
        <v>0.13289999999999999</v>
      </c>
      <c r="AV9" s="153">
        <v>0</v>
      </c>
      <c r="AW9" s="154">
        <v>8.7109000000000005</v>
      </c>
      <c r="AX9" s="58">
        <v>0.4355</v>
      </c>
      <c r="AY9" s="155">
        <f t="shared" ref="AY9:AY72" si="2">ROUND((V9+W9+X9+Y9+Z9+AA9+AB9+AC9+AD9+AE9+AF9+AG9+AH9+AI9+AJ9+AK9+AL9+AM9+AN9+AO9+AP9+AR9+AS9+AT9+AU9+AV9)*0.05,4)</f>
        <v>0.43169999999999997</v>
      </c>
      <c r="AZ9" s="155">
        <f t="shared" ref="AZ9:AZ72" si="3">AX9-AY9</f>
        <v>3.8000000000000256E-3</v>
      </c>
      <c r="BA9" s="14">
        <v>9.1463999999999999</v>
      </c>
      <c r="BB9" s="59">
        <f>BA9-'[1]Тариф 26 свод без  ПДВ'!AU9</f>
        <v>3.3999999999991815E-3</v>
      </c>
      <c r="BC9" s="57">
        <v>1.3607</v>
      </c>
      <c r="BD9" s="57">
        <v>5.2499999999999998E-2</v>
      </c>
      <c r="BE9" s="57">
        <v>0.67779999999999996</v>
      </c>
      <c r="BF9" s="156">
        <v>10.8019</v>
      </c>
      <c r="BG9" s="59">
        <v>0.54010000000000002</v>
      </c>
      <c r="BH9" s="59"/>
      <c r="BI9" s="59"/>
      <c r="BJ9" s="14">
        <v>11.342000000000001</v>
      </c>
      <c r="BK9" s="60"/>
      <c r="BL9" s="60">
        <v>5.6115000000000013</v>
      </c>
      <c r="BM9" s="60">
        <v>0.28060000000000002</v>
      </c>
      <c r="BN9" s="14">
        <v>5.892100000000001</v>
      </c>
      <c r="BO9" s="14"/>
      <c r="BP9" s="157"/>
      <c r="BQ9" s="158">
        <f>BJ9-'[1]Тариф 26 свод без  ПДВ'!BG9</f>
        <v>0</v>
      </c>
      <c r="BR9" s="77">
        <f>'[1]Тариф 26 свод без  ПДВ'!BG9</f>
        <v>11.342000000000001</v>
      </c>
      <c r="BS9" s="159">
        <f t="shared" ref="BS9:BS72" si="4">BJ9-BR9</f>
        <v>0</v>
      </c>
      <c r="BU9" s="77">
        <f>'[1]Тариф 26 свод без  ПДВ'!AU9</f>
        <v>9.1430000000000007</v>
      </c>
      <c r="BV9" s="159">
        <f t="shared" ref="BV9:BV72" si="5">BA9-BU9</f>
        <v>3.3999999999991815E-3</v>
      </c>
      <c r="BX9" s="95">
        <v>4.3253000000000004</v>
      </c>
      <c r="BY9" s="95">
        <v>5.8689</v>
      </c>
      <c r="BZ9" s="95"/>
      <c r="CA9" s="62">
        <f t="shared" ref="CA9:CA72" si="6">BA9/BX9</f>
        <v>2.1146278870829769</v>
      </c>
      <c r="CB9" s="62">
        <f t="shared" ref="CB9:CB72" si="7">BJ9/BY9</f>
        <v>1.9325597641806813</v>
      </c>
      <c r="CD9" s="160">
        <f t="shared" ref="CD9:CD16" si="8">L9-CE9</f>
        <v>394.69999999999982</v>
      </c>
      <c r="CE9" s="160">
        <f t="shared" ref="CE9:CE16" si="9">T9</f>
        <v>3421.04</v>
      </c>
      <c r="CF9" s="77">
        <f t="shared" ref="CF9:CF16" si="10">CD9*BA9</f>
        <v>3610.0840799999983</v>
      </c>
      <c r="CG9" s="77">
        <f t="shared" ref="CG9:CG16" si="11">BJ9*CE9</f>
        <v>38801.435680000002</v>
      </c>
      <c r="CI9" s="160">
        <f>'[1]0 СВОД'!AYY24</f>
        <v>42412.679863760852</v>
      </c>
      <c r="CJ9" s="77">
        <f t="shared" ref="CJ9:CJ72" si="12">CI9*12</f>
        <v>508952.15836513019</v>
      </c>
      <c r="CM9" s="161">
        <v>1</v>
      </c>
      <c r="CN9" s="162" t="s">
        <v>460</v>
      </c>
      <c r="CO9" s="163">
        <v>9</v>
      </c>
      <c r="CP9" s="163">
        <v>2</v>
      </c>
      <c r="CQ9" s="164" t="s">
        <v>172</v>
      </c>
      <c r="CR9" s="165" t="s">
        <v>173</v>
      </c>
      <c r="CS9" s="166">
        <v>394.69999999999982</v>
      </c>
      <c r="CT9" s="166">
        <v>3417.3700000000003</v>
      </c>
      <c r="CU9" s="167">
        <v>0</v>
      </c>
      <c r="CV9" s="168">
        <v>3812.07</v>
      </c>
      <c r="CW9" s="166">
        <v>3812.07</v>
      </c>
      <c r="CX9" s="167">
        <v>0</v>
      </c>
      <c r="CY9" s="166">
        <v>0</v>
      </c>
      <c r="CZ9" s="166"/>
      <c r="DA9" s="166">
        <v>3812.07</v>
      </c>
      <c r="DB9" s="166"/>
      <c r="DC9" s="166">
        <v>3417.3700000000003</v>
      </c>
      <c r="DD9" s="59">
        <v>0.1759</v>
      </c>
      <c r="DE9" s="59">
        <v>0.18640000000000001</v>
      </c>
      <c r="DF9" s="59">
        <v>0.1915</v>
      </c>
      <c r="DG9" s="59">
        <v>0.04</v>
      </c>
      <c r="DH9" s="59">
        <v>8.6999999999999994E-3</v>
      </c>
      <c r="DI9" s="59">
        <v>9.9299999999999999E-2</v>
      </c>
      <c r="DJ9" s="59">
        <v>4.8099999999999997E-2</v>
      </c>
      <c r="DK9" s="59">
        <v>0.3458</v>
      </c>
      <c r="DL9" s="169">
        <v>0</v>
      </c>
      <c r="DM9" s="59">
        <v>9.0899999999999995E-2</v>
      </c>
      <c r="DN9" s="169">
        <v>0</v>
      </c>
      <c r="DO9" s="170">
        <v>1.6979</v>
      </c>
      <c r="DP9" s="171">
        <f t="shared" ref="DP9:DP72" si="13">AF9</f>
        <v>2.8820999999999999</v>
      </c>
      <c r="DQ9" s="59">
        <v>0.1123</v>
      </c>
      <c r="DR9" s="59">
        <v>0.24479999999999999</v>
      </c>
      <c r="DS9" s="59">
        <v>1.8100000000000002E-2</v>
      </c>
      <c r="DT9" s="59">
        <v>2.9000000000000001E-2</v>
      </c>
      <c r="DU9" s="59">
        <v>1.89E-2</v>
      </c>
      <c r="DV9" s="59">
        <v>2.7799999999999998E-2</v>
      </c>
      <c r="DW9" s="59">
        <v>7.4999999999999997E-3</v>
      </c>
      <c r="DX9" s="169">
        <v>0</v>
      </c>
      <c r="DY9" s="59">
        <v>0.58799999999999997</v>
      </c>
      <c r="DZ9" s="171">
        <f t="shared" ref="DZ9:DZ72" si="14">AO9/DY9</f>
        <v>1.9272108843537417</v>
      </c>
      <c r="EA9" s="59">
        <v>0.86509999999999998</v>
      </c>
      <c r="EB9" s="171">
        <f t="shared" ref="EB9:EB72" si="15">(AP9+AQ9)/EA9</f>
        <v>1.8046468616344931</v>
      </c>
      <c r="EC9" s="59">
        <v>0.18379999999999999</v>
      </c>
      <c r="ED9" s="171">
        <f t="shared" ref="ED9:ED72" si="16">AR9/EC9</f>
        <v>1.8977149075081612</v>
      </c>
      <c r="EE9" s="59">
        <v>2.6499999999999999E-2</v>
      </c>
      <c r="EF9" s="59">
        <v>3.7000000000000002E-3</v>
      </c>
      <c r="EG9" s="59">
        <v>9.1899999999999996E-2</v>
      </c>
      <c r="EH9" s="59">
        <v>0</v>
      </c>
      <c r="EI9" s="155">
        <v>0.1275</v>
      </c>
      <c r="EJ9" s="172">
        <v>5.2294</v>
      </c>
      <c r="EK9" s="173"/>
      <c r="EL9" s="59">
        <v>1.7336</v>
      </c>
      <c r="EM9" s="59">
        <v>0.33339999999999997</v>
      </c>
      <c r="EN9" s="59">
        <v>0.1792</v>
      </c>
      <c r="EO9" s="172">
        <v>7.3480999999999996</v>
      </c>
      <c r="ES9" s="57">
        <f>EJ9</f>
        <v>5.2294</v>
      </c>
      <c r="ET9" s="57">
        <f>EO9</f>
        <v>7.3480999999999996</v>
      </c>
      <c r="EU9" s="31"/>
      <c r="EV9" s="61">
        <f t="shared" ref="EV9:EV72" si="17">BA9/ES9</f>
        <v>1.7490343060389337</v>
      </c>
      <c r="EW9" s="61">
        <f t="shared" ref="EW9:EW16" si="18">BJ9/ET9</f>
        <v>1.5435282590057295</v>
      </c>
      <c r="EX9" s="174">
        <v>6.8388999999999998</v>
      </c>
      <c r="EY9" s="174">
        <v>8.9938000000000002</v>
      </c>
      <c r="EZ9" s="158">
        <f t="shared" ref="EZ9:EZ72" si="19">BA9</f>
        <v>9.1463999999999999</v>
      </c>
      <c r="FA9" s="158">
        <f t="shared" ref="FA9:FA72" si="20">BJ9</f>
        <v>11.342000000000001</v>
      </c>
      <c r="FB9" s="158">
        <f>BA9-EX9</f>
        <v>2.3075000000000001</v>
      </c>
      <c r="FC9" s="158">
        <f>BJ9-EY9</f>
        <v>2.3482000000000003</v>
      </c>
      <c r="FD9" s="175">
        <f>FB9/EX9</f>
        <v>0.33740806270014184</v>
      </c>
      <c r="FE9" s="175">
        <f>FC9/FA9</f>
        <v>0.2070357961558808</v>
      </c>
      <c r="FF9" s="158"/>
      <c r="FG9" s="174"/>
      <c r="FH9" s="174">
        <f>L9*BA9</f>
        <v>34900.284335999997</v>
      </c>
      <c r="FI9" s="174"/>
      <c r="FJ9" s="176">
        <v>1.3078000000000001</v>
      </c>
      <c r="FK9" s="176">
        <f>EV9/FJ9</f>
        <v>1.3373866845381048</v>
      </c>
      <c r="FL9" s="87">
        <v>1.224</v>
      </c>
      <c r="FM9" s="177">
        <f>EW9/FL9</f>
        <v>1.2610524991876875</v>
      </c>
      <c r="FO9" s="88">
        <f t="shared" ref="FO9:FO72" si="21">BA9*L9</f>
        <v>34900.284335999997</v>
      </c>
      <c r="FP9" s="79">
        <f t="shared" ref="FP9:FP72" si="22">T9*BJ9</f>
        <v>38801.435680000002</v>
      </c>
      <c r="FS9" s="79">
        <f t="shared" ref="FS9:FS72" si="23">ES9*L9</f>
        <v>19954.030756</v>
      </c>
      <c r="FT9" s="79">
        <f t="shared" ref="FT9:FT72" si="24">ET9*T9</f>
        <v>25138.144023999997</v>
      </c>
      <c r="FU9" s="79">
        <f>FO9/FS9</f>
        <v>1.7490343060389335</v>
      </c>
      <c r="FV9" s="79">
        <f>FP9/FT9</f>
        <v>1.5435282590057295</v>
      </c>
      <c r="FY9" s="79">
        <f>(L9-T9)*BA9</f>
        <v>3610.0840799999983</v>
      </c>
      <c r="FZ9" s="79">
        <f>T9*BJ9</f>
        <v>38801.435680000002</v>
      </c>
      <c r="GB9" s="178">
        <f>L9-T9</f>
        <v>394.69999999999982</v>
      </c>
      <c r="GC9" s="178">
        <f>T9</f>
        <v>3421.04</v>
      </c>
      <c r="GG9" s="14">
        <v>7.2030000000000003</v>
      </c>
      <c r="GH9" s="175">
        <f>BA9/GG9</f>
        <v>1.2698042482299041</v>
      </c>
      <c r="GI9" s="14">
        <v>9.4853000000000005</v>
      </c>
      <c r="GJ9" s="175">
        <f>BJ9/GI9</f>
        <v>1.1957449948868248</v>
      </c>
      <c r="GK9" s="175">
        <f>GH9-GJ9</f>
        <v>7.4059253343079279E-2</v>
      </c>
      <c r="GN9" s="14">
        <v>9.1915999999999976</v>
      </c>
      <c r="GO9" s="175">
        <f>GN9/GG9</f>
        <v>1.2760794113563789</v>
      </c>
      <c r="GP9" s="179">
        <f>BA9/GN9</f>
        <v>0.99508246659993937</v>
      </c>
      <c r="GQ9" s="14">
        <v>11.040299999999998</v>
      </c>
      <c r="GR9" s="175">
        <f>GQ9/GI9</f>
        <v>1.1639378828292197</v>
      </c>
      <c r="GS9" s="175">
        <f>BJ9/GQ9</f>
        <v>1.0273271559649648</v>
      </c>
      <c r="GV9" s="32">
        <f t="shared" ref="GV9:GV73" si="25">BA9*(L9-T9)</f>
        <v>3610.0840799999983</v>
      </c>
      <c r="GW9" s="32">
        <f t="shared" ref="GW9:GW73" si="26">BJ9*T9</f>
        <v>38801.435680000002</v>
      </c>
      <c r="GX9" s="180">
        <f>GV9+GW9</f>
        <v>42411.519760000003</v>
      </c>
      <c r="GZ9" s="32">
        <f>GV9/(L9-T9)</f>
        <v>9.1463999999999999</v>
      </c>
      <c r="HA9" s="32">
        <f>GW9/T9</f>
        <v>11.342000000000001</v>
      </c>
      <c r="HB9" s="32">
        <f>GX9/L9</f>
        <v>11.114887219779126</v>
      </c>
    </row>
    <row r="10" spans="1:210" ht="19.2" customHeight="1" x14ac:dyDescent="0.3">
      <c r="A10" s="50">
        <v>2</v>
      </c>
      <c r="B10" s="51" t="s">
        <v>461</v>
      </c>
      <c r="C10" s="150" t="s">
        <v>459</v>
      </c>
      <c r="D10" s="52">
        <v>9</v>
      </c>
      <c r="E10" s="52">
        <v>4</v>
      </c>
      <c r="F10" s="63">
        <v>144</v>
      </c>
      <c r="G10" s="54" t="s">
        <v>174</v>
      </c>
      <c r="H10" s="181" t="s">
        <v>173</v>
      </c>
      <c r="I10" s="55">
        <f t="shared" ref="I10:I73" si="27">L10-J10-K10</f>
        <v>786.0600000000004</v>
      </c>
      <c r="J10" s="55">
        <f t="shared" si="0"/>
        <v>6806.44</v>
      </c>
      <c r="K10" s="55">
        <f t="shared" si="1"/>
        <v>0</v>
      </c>
      <c r="L10" s="56">
        <v>7592.5</v>
      </c>
      <c r="M10" s="56">
        <v>7592.5</v>
      </c>
      <c r="N10" s="56">
        <f t="shared" ref="N10:N73" si="28">L10-O10-T10</f>
        <v>786.0600000000004</v>
      </c>
      <c r="O10" s="56">
        <v>0</v>
      </c>
      <c r="P10" s="56">
        <v>0</v>
      </c>
      <c r="Q10" s="55"/>
      <c r="R10" s="55">
        <v>7592.5</v>
      </c>
      <c r="S10" s="55"/>
      <c r="T10" s="55">
        <v>6806.44</v>
      </c>
      <c r="U10" s="152">
        <v>786.0600000000004</v>
      </c>
      <c r="V10" s="57">
        <v>0.2014</v>
      </c>
      <c r="W10" s="57">
        <v>0.1022</v>
      </c>
      <c r="X10" s="153">
        <v>0.31</v>
      </c>
      <c r="Y10" s="153">
        <v>7.2999999999999995E-2</v>
      </c>
      <c r="Z10" s="57">
        <v>2.3199999999999998E-2</v>
      </c>
      <c r="AA10" s="57">
        <v>0.31209999999999999</v>
      </c>
      <c r="AB10" s="57">
        <v>0</v>
      </c>
      <c r="AC10" s="153">
        <v>0.63149999999999995</v>
      </c>
      <c r="AD10" s="57">
        <v>0.1479</v>
      </c>
      <c r="AE10" s="57">
        <v>0</v>
      </c>
      <c r="AF10" s="57">
        <v>2.8300999999999998</v>
      </c>
      <c r="AG10" s="57">
        <v>0.2681</v>
      </c>
      <c r="AH10" s="57">
        <v>0.36630000000000001</v>
      </c>
      <c r="AI10" s="57">
        <v>0.12239999999999999</v>
      </c>
      <c r="AJ10" s="57">
        <v>0.1075</v>
      </c>
      <c r="AK10" s="57">
        <v>4.4999999999999998E-2</v>
      </c>
      <c r="AL10" s="57">
        <v>0.13250000000000001</v>
      </c>
      <c r="AM10" s="57">
        <v>3.1399999999999997E-2</v>
      </c>
      <c r="AN10" s="57">
        <v>0</v>
      </c>
      <c r="AO10" s="57">
        <v>1.3943000000000001</v>
      </c>
      <c r="AP10" s="153">
        <v>1.2030000000000001</v>
      </c>
      <c r="AQ10" s="153">
        <v>7.0699999999999999E-2</v>
      </c>
      <c r="AR10" s="57">
        <v>0.30009999999999998</v>
      </c>
      <c r="AS10" s="57">
        <v>3.3500000000000002E-2</v>
      </c>
      <c r="AT10" s="153">
        <v>5.4000000000000003E-3</v>
      </c>
      <c r="AU10" s="153">
        <v>0.30680000000000002</v>
      </c>
      <c r="AV10" s="153">
        <v>0</v>
      </c>
      <c r="AW10" s="154">
        <v>9.0184000000000015</v>
      </c>
      <c r="AX10" s="58">
        <v>0.45090000000000002</v>
      </c>
      <c r="AY10" s="155">
        <f t="shared" si="2"/>
        <v>0.44740000000000002</v>
      </c>
      <c r="AZ10" s="155">
        <f t="shared" si="3"/>
        <v>3.5000000000000031E-3</v>
      </c>
      <c r="BA10" s="14">
        <v>9.4693000000000023</v>
      </c>
      <c r="BB10" s="59">
        <f>BA10-'[1]Тариф 26 свод без  ПДВ'!AU10</f>
        <v>-4.799999999997695E-3</v>
      </c>
      <c r="BC10" s="57">
        <v>1.7302</v>
      </c>
      <c r="BD10" s="57">
        <v>5.28E-2</v>
      </c>
      <c r="BE10" s="57">
        <v>0.441</v>
      </c>
      <c r="BF10" s="156">
        <v>11.242400000000002</v>
      </c>
      <c r="BG10" s="59">
        <v>0.56210000000000004</v>
      </c>
      <c r="BH10" s="59"/>
      <c r="BI10" s="59"/>
      <c r="BJ10" s="14">
        <v>11.804500000000001</v>
      </c>
      <c r="BK10" s="60"/>
      <c r="BL10" s="60">
        <v>5.8141999999999996</v>
      </c>
      <c r="BM10" s="60">
        <v>0.29070000000000001</v>
      </c>
      <c r="BN10" s="14">
        <v>6.1048999999999998</v>
      </c>
      <c r="BO10" s="14"/>
      <c r="BP10" s="157"/>
      <c r="BQ10" s="158">
        <f>BJ10-'[1]Тариф 26 свод без  ПДВ'!BG10</f>
        <v>-1.5999999999998238E-3</v>
      </c>
      <c r="BR10" s="77">
        <f>'[1]Тариф 26 свод без  ПДВ'!BG10</f>
        <v>11.806100000000001</v>
      </c>
      <c r="BS10" s="159">
        <f t="shared" si="4"/>
        <v>-1.5999999999998238E-3</v>
      </c>
      <c r="BU10" s="77">
        <f>'[1]Тариф 26 свод без  ПДВ'!AU10</f>
        <v>9.4741</v>
      </c>
      <c r="BV10" s="159">
        <f t="shared" si="5"/>
        <v>-4.799999999997695E-3</v>
      </c>
      <c r="BX10" s="95">
        <v>4.5172999999999996</v>
      </c>
      <c r="BY10" s="95">
        <v>6.0210999999999997</v>
      </c>
      <c r="BZ10" s="95"/>
      <c r="CA10" s="182">
        <f t="shared" si="6"/>
        <v>2.0962300489230299</v>
      </c>
      <c r="CB10" s="182">
        <f t="shared" si="7"/>
        <v>1.9605221637242367</v>
      </c>
      <c r="CD10" s="160">
        <f t="shared" si="8"/>
        <v>786.0600000000004</v>
      </c>
      <c r="CE10" s="160">
        <f t="shared" si="9"/>
        <v>6806.44</v>
      </c>
      <c r="CF10" s="77">
        <f t="shared" si="10"/>
        <v>7443.4379580000059</v>
      </c>
      <c r="CG10" s="77">
        <f t="shared" si="11"/>
        <v>80346.620980000007</v>
      </c>
      <c r="CI10" s="160">
        <f>'[1]0 СВОД'!AYY25</f>
        <v>87790.895733547004</v>
      </c>
      <c r="CJ10" s="77">
        <f t="shared" si="12"/>
        <v>1053490.7488025641</v>
      </c>
      <c r="CM10" s="161">
        <v>2</v>
      </c>
      <c r="CN10" s="183" t="s">
        <v>462</v>
      </c>
      <c r="CO10" s="163">
        <v>9</v>
      </c>
      <c r="CP10" s="163">
        <v>4</v>
      </c>
      <c r="CQ10" s="164" t="s">
        <v>174</v>
      </c>
      <c r="CR10" s="165" t="s">
        <v>173</v>
      </c>
      <c r="CS10" s="166">
        <v>786.04</v>
      </c>
      <c r="CT10" s="166">
        <v>6803.66</v>
      </c>
      <c r="CU10" s="167">
        <v>0</v>
      </c>
      <c r="CV10" s="168">
        <v>7589.7</v>
      </c>
      <c r="CW10" s="166">
        <v>7589.7</v>
      </c>
      <c r="CX10" s="167">
        <v>0</v>
      </c>
      <c r="CY10" s="166">
        <v>0</v>
      </c>
      <c r="CZ10" s="166"/>
      <c r="DA10" s="166">
        <v>7589.7</v>
      </c>
      <c r="DB10" s="166"/>
      <c r="DC10" s="166">
        <v>6803.66</v>
      </c>
      <c r="DD10" s="59">
        <v>0.1956</v>
      </c>
      <c r="DE10" s="59">
        <v>0.16600000000000001</v>
      </c>
      <c r="DF10" s="59">
        <v>0.2039</v>
      </c>
      <c r="DG10" s="59">
        <v>4.2999999999999997E-2</v>
      </c>
      <c r="DH10" s="59">
        <v>8.6999999999999994E-3</v>
      </c>
      <c r="DI10" s="59">
        <v>0.13719999999999999</v>
      </c>
      <c r="DJ10" s="59">
        <v>4.8099999999999997E-2</v>
      </c>
      <c r="DK10" s="59">
        <v>0.3458</v>
      </c>
      <c r="DL10" s="59">
        <v>2.1399999999999999E-2</v>
      </c>
      <c r="DM10" s="59">
        <v>0.09</v>
      </c>
      <c r="DN10" s="169">
        <v>0</v>
      </c>
      <c r="DO10" s="184">
        <v>1.8322000000000001</v>
      </c>
      <c r="DP10" s="171">
        <f t="shared" si="13"/>
        <v>2.8300999999999998</v>
      </c>
      <c r="DQ10" s="59">
        <v>0.129</v>
      </c>
      <c r="DR10" s="59">
        <v>0.21959999999999999</v>
      </c>
      <c r="DS10" s="59">
        <v>3.2000000000000001E-2</v>
      </c>
      <c r="DT10" s="59">
        <v>5.0700000000000002E-2</v>
      </c>
      <c r="DU10" s="59">
        <v>1.9E-2</v>
      </c>
      <c r="DV10" s="59">
        <v>4.6199999999999998E-2</v>
      </c>
      <c r="DW10" s="59">
        <v>8.2000000000000007E-3</v>
      </c>
      <c r="DX10" s="169">
        <v>0</v>
      </c>
      <c r="DY10" s="59">
        <v>0.72670000000000001</v>
      </c>
      <c r="DZ10" s="171">
        <f t="shared" si="14"/>
        <v>1.9186734553460851</v>
      </c>
      <c r="EA10" s="59">
        <v>0.7056</v>
      </c>
      <c r="EB10" s="171">
        <f t="shared" si="15"/>
        <v>1.8051303854875285</v>
      </c>
      <c r="EC10" s="59">
        <v>0.1646</v>
      </c>
      <c r="ED10" s="171">
        <f t="shared" si="16"/>
        <v>1.8232077764277035</v>
      </c>
      <c r="EE10" s="59">
        <v>2.5700000000000001E-2</v>
      </c>
      <c r="EF10" s="59">
        <v>3.5999999999999999E-3</v>
      </c>
      <c r="EG10" s="59">
        <v>0.22389999999999999</v>
      </c>
      <c r="EH10" s="59">
        <v>0</v>
      </c>
      <c r="EI10" s="155">
        <v>0.13619999999999999</v>
      </c>
      <c r="EJ10" s="172">
        <v>5.5828999999999995</v>
      </c>
      <c r="EK10" s="173"/>
      <c r="EL10" s="59">
        <v>1.6023000000000001</v>
      </c>
      <c r="EM10" s="59">
        <v>0.30549999999999999</v>
      </c>
      <c r="EN10" s="59">
        <v>0.18390000000000001</v>
      </c>
      <c r="EO10" s="172">
        <v>7.5384000000000002</v>
      </c>
      <c r="ES10" s="57">
        <f t="shared" ref="ES10:ES73" si="29">EJ10</f>
        <v>5.5828999999999995</v>
      </c>
      <c r="ET10" s="57">
        <f t="shared" ref="ET10:ET73" si="30">EO10</f>
        <v>7.5384000000000002</v>
      </c>
      <c r="EU10" s="31"/>
      <c r="EV10" s="61">
        <f t="shared" si="17"/>
        <v>1.6961256694549434</v>
      </c>
      <c r="EW10" s="61">
        <f t="shared" si="18"/>
        <v>1.5659158442109733</v>
      </c>
      <c r="EX10" s="185">
        <v>6.9930000000000003</v>
      </c>
      <c r="EY10" s="174">
        <v>9.7696000000000005</v>
      </c>
      <c r="EZ10" s="158">
        <f t="shared" si="19"/>
        <v>9.4693000000000023</v>
      </c>
      <c r="FA10" s="158">
        <f t="shared" si="20"/>
        <v>11.804500000000001</v>
      </c>
      <c r="FB10" s="158">
        <f>BA10-EX10</f>
        <v>2.4763000000000019</v>
      </c>
      <c r="FC10" s="158">
        <f>BJ10-EY10</f>
        <v>2.0349000000000004</v>
      </c>
      <c r="FD10" s="175">
        <f t="shared" ref="FD10:FD12" si="31">FB10/EX10</f>
        <v>0.35411125411125438</v>
      </c>
      <c r="FE10" s="175">
        <f t="shared" ref="FE10:FE12" si="32">FC10/FA10</f>
        <v>0.17238341310517177</v>
      </c>
      <c r="FF10" s="158"/>
      <c r="FG10" s="174"/>
      <c r="FH10" s="174">
        <f t="shared" ref="FH10:FH73" si="33">L10*BA10</f>
        <v>71895.660250000015</v>
      </c>
      <c r="FI10" s="174"/>
      <c r="FJ10" s="176">
        <v>1.2465999999999999</v>
      </c>
      <c r="FK10" s="176">
        <f t="shared" ref="FK10:FK73" si="34">EV10/FJ10</f>
        <v>1.360601371293874</v>
      </c>
      <c r="FL10" s="87">
        <v>1.2915000000000001</v>
      </c>
      <c r="FM10" s="177">
        <f t="shared" ref="FM10:FM73" si="35">EW10/FL10</f>
        <v>1.2124783927301379</v>
      </c>
      <c r="FO10" s="88">
        <f t="shared" si="21"/>
        <v>71895.660250000015</v>
      </c>
      <c r="FP10" s="79">
        <f t="shared" si="22"/>
        <v>80346.620980000007</v>
      </c>
      <c r="FS10" s="79">
        <f t="shared" si="23"/>
        <v>42388.168249999995</v>
      </c>
      <c r="FT10" s="79">
        <f t="shared" si="24"/>
        <v>51309.667296</v>
      </c>
      <c r="FU10" s="79">
        <f t="shared" ref="FU10:FV73" si="36">FO10/FS10</f>
        <v>1.6961256694549434</v>
      </c>
      <c r="FV10" s="79">
        <f t="shared" si="36"/>
        <v>1.5659158442109733</v>
      </c>
      <c r="FY10" s="79">
        <f t="shared" ref="FY10:FY73" si="37">(L10-T10)*BA10</f>
        <v>7443.4379580000059</v>
      </c>
      <c r="FZ10" s="79">
        <f t="shared" ref="FZ10:FZ73" si="38">T10*BJ10</f>
        <v>80346.620980000007</v>
      </c>
      <c r="GB10" s="178">
        <f t="shared" ref="GB10:GB73" si="39">L10-T10</f>
        <v>786.0600000000004</v>
      </c>
      <c r="GC10" s="178">
        <f t="shared" ref="GC10:GC73" si="40">T10</f>
        <v>6806.44</v>
      </c>
      <c r="GG10" s="14">
        <v>7.4701000000000004</v>
      </c>
      <c r="GH10" s="175">
        <f t="shared" ref="GH10:GH73" si="41">BA10/GG10</f>
        <v>1.2676269393984019</v>
      </c>
      <c r="GI10" s="14">
        <v>10.225100000000001</v>
      </c>
      <c r="GJ10" s="175">
        <f t="shared" ref="GJ10:GJ73" si="42">BJ10/GI10</f>
        <v>1.1544630370363125</v>
      </c>
      <c r="GK10" s="175">
        <f t="shared" ref="GK10:GK16" si="43">GH10-GJ10</f>
        <v>0.1131639023620894</v>
      </c>
      <c r="GN10" s="14">
        <v>9.3289999999999988</v>
      </c>
      <c r="GO10" s="175">
        <f t="shared" ref="GO10:GO73" si="44">GN10/GG10</f>
        <v>1.2488453969826372</v>
      </c>
      <c r="GP10" s="179">
        <f t="shared" ref="GP10:GP73" si="45">BA10/GN10</f>
        <v>1.0150391253081792</v>
      </c>
      <c r="GQ10" s="14">
        <v>11.543699999999998</v>
      </c>
      <c r="GR10" s="175">
        <f t="shared" ref="GR10:GR73" si="46">GQ10/GI10</f>
        <v>1.1289571740129678</v>
      </c>
      <c r="GS10" s="175">
        <f t="shared" ref="GS10:GS73" si="47">BJ10/GQ10</f>
        <v>1.0225924097126573</v>
      </c>
      <c r="GV10" s="32">
        <f t="shared" si="25"/>
        <v>7443.4379580000059</v>
      </c>
      <c r="GW10" s="32">
        <f t="shared" si="26"/>
        <v>80346.620980000007</v>
      </c>
      <c r="GX10" s="180">
        <f t="shared" ref="GX10:GX73" si="48">GV10+GW10</f>
        <v>87790.058938000016</v>
      </c>
      <c r="GZ10" s="32">
        <f t="shared" ref="GZ10:GZ73" si="49">GV10/(L10-T10)</f>
        <v>9.4693000000000023</v>
      </c>
      <c r="HA10" s="32">
        <f t="shared" ref="HA10:HA73" si="50">GW10/T10</f>
        <v>11.804500000000001</v>
      </c>
      <c r="HB10" s="32">
        <f t="shared" ref="HB10:HB73" si="51">GX10/L10</f>
        <v>11.562734137372409</v>
      </c>
    </row>
    <row r="11" spans="1:210" ht="19.2" customHeight="1" x14ac:dyDescent="0.3">
      <c r="A11" s="149">
        <v>3</v>
      </c>
      <c r="B11" s="150" t="s">
        <v>463</v>
      </c>
      <c r="C11" s="150" t="s">
        <v>459</v>
      </c>
      <c r="D11" s="63">
        <v>9</v>
      </c>
      <c r="E11" s="63">
        <v>2</v>
      </c>
      <c r="F11" s="63">
        <v>72</v>
      </c>
      <c r="G11" s="54" t="s">
        <v>175</v>
      </c>
      <c r="H11" s="151" t="s">
        <v>173</v>
      </c>
      <c r="I11" s="55">
        <f t="shared" si="27"/>
        <v>339.7600000000001</v>
      </c>
      <c r="J11" s="55">
        <f t="shared" si="0"/>
        <v>3377.06</v>
      </c>
      <c r="K11" s="55">
        <f t="shared" si="1"/>
        <v>60.1</v>
      </c>
      <c r="L11" s="56">
        <v>3776.92</v>
      </c>
      <c r="M11" s="56">
        <v>3716.82</v>
      </c>
      <c r="N11" s="56">
        <f t="shared" si="28"/>
        <v>339.76000000000022</v>
      </c>
      <c r="O11" s="56">
        <v>60.1</v>
      </c>
      <c r="P11" s="56">
        <v>0</v>
      </c>
      <c r="Q11" s="55"/>
      <c r="R11" s="55">
        <v>3776.92</v>
      </c>
      <c r="S11" s="55"/>
      <c r="T11" s="55">
        <v>3377.06</v>
      </c>
      <c r="U11" s="152">
        <v>399.86000000000013</v>
      </c>
      <c r="V11" s="57">
        <v>0.18049999999999999</v>
      </c>
      <c r="W11" s="57">
        <v>0.1027</v>
      </c>
      <c r="X11" s="153">
        <v>0.29139999999999999</v>
      </c>
      <c r="Y11" s="153">
        <v>7.9000000000000001E-2</v>
      </c>
      <c r="Z11" s="57">
        <v>2.3300000000000001E-2</v>
      </c>
      <c r="AA11" s="57">
        <v>0.2306</v>
      </c>
      <c r="AB11" s="57">
        <v>0</v>
      </c>
      <c r="AC11" s="153">
        <v>0.63149999999999995</v>
      </c>
      <c r="AD11" s="57">
        <v>0.1507</v>
      </c>
      <c r="AE11" s="57">
        <v>0</v>
      </c>
      <c r="AF11" s="57">
        <v>3.0047999999999999</v>
      </c>
      <c r="AG11" s="57">
        <v>0.23519999999999999</v>
      </c>
      <c r="AH11" s="57">
        <v>0.36820000000000003</v>
      </c>
      <c r="AI11" s="57">
        <v>7.0800000000000002E-2</v>
      </c>
      <c r="AJ11" s="57">
        <v>0.16209999999999999</v>
      </c>
      <c r="AK11" s="57">
        <v>4.53E-2</v>
      </c>
      <c r="AL11" s="57">
        <v>8.0699999999999994E-2</v>
      </c>
      <c r="AM11" s="57">
        <v>3.0099999999999998E-2</v>
      </c>
      <c r="AN11" s="57">
        <v>0</v>
      </c>
      <c r="AO11" s="57">
        <v>0.68859999999999999</v>
      </c>
      <c r="AP11" s="153">
        <v>1.5181</v>
      </c>
      <c r="AQ11" s="153">
        <v>7.0599999999999996E-2</v>
      </c>
      <c r="AR11" s="57">
        <v>0.36</v>
      </c>
      <c r="AS11" s="57">
        <v>3.1399999999999997E-2</v>
      </c>
      <c r="AT11" s="153">
        <v>5.1000000000000004E-3</v>
      </c>
      <c r="AU11" s="153">
        <v>0.24790000000000001</v>
      </c>
      <c r="AV11" s="153">
        <v>0</v>
      </c>
      <c r="AW11" s="154">
        <v>8.6085999999999991</v>
      </c>
      <c r="AX11" s="58">
        <v>0.4304</v>
      </c>
      <c r="AY11" s="155">
        <f t="shared" si="2"/>
        <v>0.4269</v>
      </c>
      <c r="AZ11" s="155">
        <f t="shared" si="3"/>
        <v>3.5000000000000031E-3</v>
      </c>
      <c r="BA11" s="14">
        <v>9.0389999999999997</v>
      </c>
      <c r="BB11" s="59">
        <f>BA11-'[1]Тариф 26 свод без  ПДВ'!AU11</f>
        <v>-1.4000000000002899E-3</v>
      </c>
      <c r="BC11" s="57">
        <v>2.0295999999999998</v>
      </c>
      <c r="BD11" s="57">
        <v>0</v>
      </c>
      <c r="BE11" s="57">
        <v>0.45369999999999999</v>
      </c>
      <c r="BF11" s="156">
        <v>11.091899999999999</v>
      </c>
      <c r="BG11" s="59">
        <v>0.55459999999999998</v>
      </c>
      <c r="BH11" s="59"/>
      <c r="BI11" s="59"/>
      <c r="BJ11" s="14">
        <v>11.6465</v>
      </c>
      <c r="BK11" s="60"/>
      <c r="BL11" s="60">
        <v>5.7939999999999996</v>
      </c>
      <c r="BM11" s="60">
        <v>0.28970000000000001</v>
      </c>
      <c r="BN11" s="14">
        <v>6.0836999999999994</v>
      </c>
      <c r="BO11" s="14"/>
      <c r="BP11" s="157"/>
      <c r="BQ11" s="158">
        <f>BJ11-'[1]Тариф 26 свод без  ПДВ'!BG11</f>
        <v>2.7999999999988034E-3</v>
      </c>
      <c r="BR11" s="77">
        <f>'[1]Тариф 26 свод без  ПДВ'!BG11</f>
        <v>11.643700000000001</v>
      </c>
      <c r="BS11" s="159">
        <f t="shared" si="4"/>
        <v>2.7999999999988034E-3</v>
      </c>
      <c r="BU11" s="77">
        <f>'[1]Тариф 26 свод без  ПДВ'!AU11</f>
        <v>9.0404</v>
      </c>
      <c r="BV11" s="159">
        <f t="shared" si="5"/>
        <v>-1.4000000000002899E-3</v>
      </c>
      <c r="BX11" s="95">
        <v>4.2746000000000004</v>
      </c>
      <c r="BY11" s="95">
        <v>5.8864000000000001</v>
      </c>
      <c r="BZ11" s="95"/>
      <c r="CA11" s="182">
        <f t="shared" si="6"/>
        <v>2.1145838207083703</v>
      </c>
      <c r="CB11" s="182">
        <f t="shared" si="7"/>
        <v>1.9785437618918182</v>
      </c>
      <c r="CD11" s="160">
        <f t="shared" si="8"/>
        <v>399.86000000000013</v>
      </c>
      <c r="CE11" s="160">
        <f t="shared" si="9"/>
        <v>3377.06</v>
      </c>
      <c r="CF11" s="77">
        <f t="shared" si="10"/>
        <v>3614.3345400000012</v>
      </c>
      <c r="CG11" s="77">
        <f t="shared" si="11"/>
        <v>39330.92929</v>
      </c>
      <c r="CI11" s="160">
        <f>'[1]0 СВОД'!AYY26</f>
        <v>42767.141863055542</v>
      </c>
      <c r="CJ11" s="77">
        <f t="shared" si="12"/>
        <v>513205.7023566665</v>
      </c>
      <c r="CM11" s="161">
        <v>3</v>
      </c>
      <c r="CN11" s="183" t="s">
        <v>464</v>
      </c>
      <c r="CO11" s="163">
        <v>9</v>
      </c>
      <c r="CP11" s="163">
        <v>2</v>
      </c>
      <c r="CQ11" s="164" t="s">
        <v>175</v>
      </c>
      <c r="CR11" s="165" t="s">
        <v>173</v>
      </c>
      <c r="CS11" s="166">
        <v>339.7600000000001</v>
      </c>
      <c r="CT11" s="166">
        <v>3371.8599999999997</v>
      </c>
      <c r="CU11" s="167">
        <v>60.1</v>
      </c>
      <c r="CV11" s="168">
        <v>3771.72</v>
      </c>
      <c r="CW11" s="166">
        <v>3711.62</v>
      </c>
      <c r="CX11" s="167">
        <v>60.1</v>
      </c>
      <c r="CY11" s="166">
        <v>-9.2370555648813024E-14</v>
      </c>
      <c r="CZ11" s="166"/>
      <c r="DA11" s="166">
        <v>3771.72</v>
      </c>
      <c r="DB11" s="166"/>
      <c r="DC11" s="166">
        <v>3371.8599999999997</v>
      </c>
      <c r="DD11" s="59">
        <v>0.17760000000000001</v>
      </c>
      <c r="DE11" s="59">
        <v>0.16700000000000001</v>
      </c>
      <c r="DF11" s="59">
        <v>0.19170000000000001</v>
      </c>
      <c r="DG11" s="59">
        <v>4.6600000000000003E-2</v>
      </c>
      <c r="DH11" s="59">
        <v>8.8000000000000005E-3</v>
      </c>
      <c r="DI11" s="59">
        <v>0.1004</v>
      </c>
      <c r="DJ11" s="59">
        <v>4.8099999999999997E-2</v>
      </c>
      <c r="DK11" s="59">
        <v>0.3458</v>
      </c>
      <c r="DL11" s="169">
        <v>0</v>
      </c>
      <c r="DM11" s="59">
        <v>9.1899999999999996E-2</v>
      </c>
      <c r="DN11" s="169">
        <v>0</v>
      </c>
      <c r="DO11" s="184">
        <v>1.9634</v>
      </c>
      <c r="DP11" s="171">
        <f t="shared" si="13"/>
        <v>3.0047999999999999</v>
      </c>
      <c r="DQ11" s="59">
        <v>0.1133</v>
      </c>
      <c r="DR11" s="59">
        <v>0.221</v>
      </c>
      <c r="DS11" s="59">
        <v>1.8100000000000002E-2</v>
      </c>
      <c r="DT11" s="59">
        <v>7.6700000000000004E-2</v>
      </c>
      <c r="DU11" s="59">
        <v>1.9099999999999999E-2</v>
      </c>
      <c r="DV11" s="59">
        <v>2.81E-2</v>
      </c>
      <c r="DW11" s="59">
        <v>7.4999999999999997E-3</v>
      </c>
      <c r="DX11" s="169">
        <v>0</v>
      </c>
      <c r="DY11" s="59">
        <v>0.3634</v>
      </c>
      <c r="DZ11" s="171">
        <f t="shared" si="14"/>
        <v>1.8948816730875069</v>
      </c>
      <c r="EA11" s="59">
        <v>0.89910000000000001</v>
      </c>
      <c r="EB11" s="171">
        <f t="shared" si="15"/>
        <v>1.7669892114336558</v>
      </c>
      <c r="EC11" s="59">
        <v>0.19789999999999999</v>
      </c>
      <c r="ED11" s="171">
        <f t="shared" si="16"/>
        <v>1.8191005558362809</v>
      </c>
      <c r="EE11" s="59">
        <v>2.6200000000000001E-2</v>
      </c>
      <c r="EF11" s="59">
        <v>3.5999999999999999E-3</v>
      </c>
      <c r="EG11" s="59">
        <v>0.10580000000000001</v>
      </c>
      <c r="EH11" s="59">
        <v>0</v>
      </c>
      <c r="EI11" s="155">
        <v>0.1305</v>
      </c>
      <c r="EJ11" s="172">
        <v>5.3515999999999995</v>
      </c>
      <c r="EK11" s="173"/>
      <c r="EL11" s="59">
        <v>1.7569999999999999</v>
      </c>
      <c r="EM11" s="59">
        <v>0.13930000000000001</v>
      </c>
      <c r="EN11" s="59">
        <v>0.1779</v>
      </c>
      <c r="EO11" s="172">
        <v>7.2953000000000001</v>
      </c>
      <c r="ES11" s="57">
        <f t="shared" si="29"/>
        <v>5.3515999999999995</v>
      </c>
      <c r="ET11" s="57">
        <f t="shared" si="30"/>
        <v>7.2953000000000001</v>
      </c>
      <c r="EU11" s="31"/>
      <c r="EV11" s="61">
        <f t="shared" si="17"/>
        <v>1.6890275805366621</v>
      </c>
      <c r="EW11" s="61">
        <f t="shared" si="18"/>
        <v>1.596438803064987</v>
      </c>
      <c r="EX11" s="174">
        <v>6.8141999999999996</v>
      </c>
      <c r="EY11" s="174">
        <v>9.4934999999999992</v>
      </c>
      <c r="EZ11" s="158">
        <f t="shared" si="19"/>
        <v>9.0389999999999997</v>
      </c>
      <c r="FA11" s="158">
        <f t="shared" si="20"/>
        <v>11.6465</v>
      </c>
      <c r="FB11" s="158">
        <f>BA11-EX11</f>
        <v>2.2248000000000001</v>
      </c>
      <c r="FC11" s="158">
        <f>BJ11-EY11</f>
        <v>2.1530000000000005</v>
      </c>
      <c r="FD11" s="175">
        <f t="shared" si="31"/>
        <v>0.32649467288896722</v>
      </c>
      <c r="FE11" s="175">
        <f t="shared" si="32"/>
        <v>0.18486240501438206</v>
      </c>
      <c r="FF11" s="158"/>
      <c r="FG11" s="174"/>
      <c r="FH11" s="174">
        <f t="shared" si="33"/>
        <v>34139.579879999998</v>
      </c>
      <c r="FI11" s="174"/>
      <c r="FJ11" s="176">
        <v>1.2408999999999999</v>
      </c>
      <c r="FK11" s="176">
        <f t="shared" si="34"/>
        <v>1.3611310988288035</v>
      </c>
      <c r="FL11" s="87">
        <v>1.2775000000000001</v>
      </c>
      <c r="FM11" s="177">
        <f t="shared" si="35"/>
        <v>1.2496585542583067</v>
      </c>
      <c r="FO11" s="88">
        <f t="shared" si="21"/>
        <v>34139.579879999998</v>
      </c>
      <c r="FP11" s="79">
        <f t="shared" si="22"/>
        <v>39330.92929</v>
      </c>
      <c r="FS11" s="79">
        <f t="shared" si="23"/>
        <v>20212.565071999998</v>
      </c>
      <c r="FT11" s="79">
        <f t="shared" si="24"/>
        <v>24636.665818000001</v>
      </c>
      <c r="FU11" s="79">
        <f t="shared" si="36"/>
        <v>1.6890275805366619</v>
      </c>
      <c r="FV11" s="79">
        <f t="shared" si="36"/>
        <v>1.596438803064987</v>
      </c>
      <c r="FY11" s="79">
        <f t="shared" si="37"/>
        <v>3614.3345400000012</v>
      </c>
      <c r="FZ11" s="79">
        <f t="shared" si="38"/>
        <v>39330.92929</v>
      </c>
      <c r="GB11" s="178">
        <f t="shared" si="39"/>
        <v>399.86000000000013</v>
      </c>
      <c r="GC11" s="178">
        <f t="shared" si="40"/>
        <v>3377.06</v>
      </c>
      <c r="GG11" s="14">
        <v>7.117799999999999</v>
      </c>
      <c r="GH11" s="175">
        <f t="shared" si="41"/>
        <v>1.2699148613335582</v>
      </c>
      <c r="GI11" s="14">
        <v>9.9159000000000006</v>
      </c>
      <c r="GJ11" s="175">
        <f t="shared" si="42"/>
        <v>1.1745277786181787</v>
      </c>
      <c r="GK11" s="175">
        <f t="shared" si="43"/>
        <v>9.5387082715379545E-2</v>
      </c>
      <c r="GN11" s="14">
        <v>8.9558999999999997</v>
      </c>
      <c r="GO11" s="175">
        <f t="shared" si="44"/>
        <v>1.2582399055888056</v>
      </c>
      <c r="GP11" s="179">
        <f t="shared" si="45"/>
        <v>1.0092787994506414</v>
      </c>
      <c r="GQ11" s="14">
        <v>11.195499999999999</v>
      </c>
      <c r="GR11" s="175">
        <f t="shared" si="46"/>
        <v>1.1290452707268124</v>
      </c>
      <c r="GS11" s="175">
        <f t="shared" si="47"/>
        <v>1.0402840426957261</v>
      </c>
      <c r="GV11" s="32">
        <f t="shared" si="25"/>
        <v>3614.3345400000012</v>
      </c>
      <c r="GW11" s="32">
        <f t="shared" si="26"/>
        <v>39330.92929</v>
      </c>
      <c r="GX11" s="180">
        <f t="shared" si="48"/>
        <v>42945.263830000004</v>
      </c>
      <c r="GZ11" s="32">
        <f t="shared" si="49"/>
        <v>9.0389999999999997</v>
      </c>
      <c r="HA11" s="32">
        <f t="shared" si="50"/>
        <v>11.6465</v>
      </c>
      <c r="HB11" s="32">
        <f t="shared" si="51"/>
        <v>11.37044571502706</v>
      </c>
    </row>
    <row r="12" spans="1:210" ht="19.2" customHeight="1" x14ac:dyDescent="0.3">
      <c r="A12" s="50">
        <v>4</v>
      </c>
      <c r="B12" s="51" t="s">
        <v>465</v>
      </c>
      <c r="C12" s="150" t="s">
        <v>459</v>
      </c>
      <c r="D12" s="52">
        <v>9</v>
      </c>
      <c r="E12" s="52">
        <v>4</v>
      </c>
      <c r="F12" s="63">
        <v>144</v>
      </c>
      <c r="G12" s="54" t="s">
        <v>176</v>
      </c>
      <c r="H12" s="181" t="s">
        <v>173</v>
      </c>
      <c r="I12" s="55">
        <f t="shared" si="27"/>
        <v>789.82000000000062</v>
      </c>
      <c r="J12" s="55">
        <f t="shared" si="0"/>
        <v>6774.07</v>
      </c>
      <c r="K12" s="55">
        <f t="shared" si="1"/>
        <v>0</v>
      </c>
      <c r="L12" s="56">
        <v>7563.89</v>
      </c>
      <c r="M12" s="56">
        <v>7563.89</v>
      </c>
      <c r="N12" s="56">
        <f t="shared" si="28"/>
        <v>789.82000000000062</v>
      </c>
      <c r="O12" s="56">
        <v>0</v>
      </c>
      <c r="P12" s="56">
        <v>0</v>
      </c>
      <c r="Q12" s="55"/>
      <c r="R12" s="55">
        <v>7563.89</v>
      </c>
      <c r="S12" s="55"/>
      <c r="T12" s="55">
        <v>6774.07</v>
      </c>
      <c r="U12" s="152">
        <v>789.82000000000062</v>
      </c>
      <c r="V12" s="57">
        <v>0.17929999999999999</v>
      </c>
      <c r="W12" s="57">
        <v>0.1162</v>
      </c>
      <c r="X12" s="153">
        <v>0.3014</v>
      </c>
      <c r="Y12" s="153">
        <v>7.2800000000000004E-2</v>
      </c>
      <c r="Z12" s="57">
        <v>2.3199999999999998E-2</v>
      </c>
      <c r="AA12" s="57">
        <v>0.29459999999999997</v>
      </c>
      <c r="AB12" s="57">
        <v>0</v>
      </c>
      <c r="AC12" s="153">
        <v>0.63149999999999995</v>
      </c>
      <c r="AD12" s="57">
        <v>0.15049999999999999</v>
      </c>
      <c r="AE12" s="57">
        <v>0</v>
      </c>
      <c r="AF12" s="57">
        <v>2.8296000000000001</v>
      </c>
      <c r="AG12" s="57">
        <v>0.23300000000000001</v>
      </c>
      <c r="AH12" s="57">
        <v>0.40510000000000002</v>
      </c>
      <c r="AI12" s="57">
        <v>0.1215</v>
      </c>
      <c r="AJ12" s="57">
        <v>0.1065</v>
      </c>
      <c r="AK12" s="57">
        <v>4.5199999999999997E-2</v>
      </c>
      <c r="AL12" s="57">
        <v>0.1197</v>
      </c>
      <c r="AM12" s="57">
        <v>2.9700000000000001E-2</v>
      </c>
      <c r="AN12" s="57">
        <v>0</v>
      </c>
      <c r="AO12" s="57">
        <v>0.94630000000000003</v>
      </c>
      <c r="AP12" s="153">
        <v>1.5411999999999999</v>
      </c>
      <c r="AQ12" s="153">
        <v>7.7399999999999997E-2</v>
      </c>
      <c r="AR12" s="57">
        <v>0.38069999999999998</v>
      </c>
      <c r="AS12" s="57">
        <v>3.4299999999999997E-2</v>
      </c>
      <c r="AT12" s="153">
        <v>5.5999999999999999E-3</v>
      </c>
      <c r="AU12" s="153">
        <v>9.5799999999999996E-2</v>
      </c>
      <c r="AV12" s="153">
        <v>0</v>
      </c>
      <c r="AW12" s="154">
        <v>8.7410999999999994</v>
      </c>
      <c r="AX12" s="58">
        <v>0.43709999999999999</v>
      </c>
      <c r="AY12" s="155">
        <f t="shared" si="2"/>
        <v>0.43319999999999997</v>
      </c>
      <c r="AZ12" s="155">
        <f t="shared" si="3"/>
        <v>3.9000000000000146E-3</v>
      </c>
      <c r="BA12" s="14">
        <v>9.1781999999999986</v>
      </c>
      <c r="BB12" s="59">
        <f>BA12-'[1]Тариф 26 свод без  ПДВ'!AU12</f>
        <v>4.6999999999979281E-3</v>
      </c>
      <c r="BC12" s="57">
        <v>2.0236999999999998</v>
      </c>
      <c r="BD12" s="57">
        <v>0</v>
      </c>
      <c r="BE12" s="57">
        <v>0.58069999999999999</v>
      </c>
      <c r="BF12" s="156">
        <v>11.345499999999999</v>
      </c>
      <c r="BG12" s="59">
        <v>0.56730000000000003</v>
      </c>
      <c r="BH12" s="59"/>
      <c r="BI12" s="59"/>
      <c r="BJ12" s="14">
        <v>11.912799999999999</v>
      </c>
      <c r="BK12" s="60"/>
      <c r="BL12" s="60">
        <v>5.7770999999999999</v>
      </c>
      <c r="BM12" s="60">
        <v>0.28889999999999999</v>
      </c>
      <c r="BN12" s="14">
        <v>6.0659999999999998</v>
      </c>
      <c r="BO12" s="14"/>
      <c r="BP12" s="157"/>
      <c r="BQ12" s="158">
        <f>BJ12-'[1]Тариф 26 свод без  ПДВ'!BG12</f>
        <v>2.8999999999985704E-3</v>
      </c>
      <c r="BR12" s="77">
        <f>'[1]Тариф 26 свод без  ПДВ'!BG12</f>
        <v>11.9099</v>
      </c>
      <c r="BS12" s="159">
        <f t="shared" si="4"/>
        <v>2.8999999999985704E-3</v>
      </c>
      <c r="BU12" s="77">
        <f>'[1]Тариф 26 свод без  ПДВ'!AU12</f>
        <v>9.1735000000000007</v>
      </c>
      <c r="BV12" s="159">
        <f t="shared" si="5"/>
        <v>4.6999999999979281E-3</v>
      </c>
      <c r="BX12" s="95">
        <v>4.3000999999999996</v>
      </c>
      <c r="BY12" s="95">
        <v>5.9915000000000003</v>
      </c>
      <c r="BZ12" s="95"/>
      <c r="CA12" s="182">
        <f t="shared" si="6"/>
        <v>2.1344154787097973</v>
      </c>
      <c r="CB12" s="182">
        <f t="shared" si="7"/>
        <v>1.9882834014854374</v>
      </c>
      <c r="CD12" s="160">
        <f t="shared" si="8"/>
        <v>789.82000000000062</v>
      </c>
      <c r="CE12" s="160">
        <f t="shared" si="9"/>
        <v>6774.07</v>
      </c>
      <c r="CF12" s="77">
        <f t="shared" si="10"/>
        <v>7249.1259240000045</v>
      </c>
      <c r="CG12" s="77">
        <f t="shared" si="11"/>
        <v>80698.141095999992</v>
      </c>
      <c r="CI12" s="160">
        <f>'[1]0 СВОД'!AYY27</f>
        <v>87948.618811228182</v>
      </c>
      <c r="CJ12" s="77">
        <f t="shared" si="12"/>
        <v>1055383.4257347381</v>
      </c>
      <c r="CM12" s="161">
        <v>4</v>
      </c>
      <c r="CN12" s="183" t="s">
        <v>466</v>
      </c>
      <c r="CO12" s="163">
        <v>9</v>
      </c>
      <c r="CP12" s="163">
        <v>4</v>
      </c>
      <c r="CQ12" s="164" t="s">
        <v>176</v>
      </c>
      <c r="CR12" s="165" t="s">
        <v>173</v>
      </c>
      <c r="CS12" s="166">
        <v>789.81999999999971</v>
      </c>
      <c r="CT12" s="166">
        <v>6760.92</v>
      </c>
      <c r="CU12" s="167">
        <v>0</v>
      </c>
      <c r="CV12" s="168">
        <v>7550.74</v>
      </c>
      <c r="CW12" s="166">
        <v>7550.74</v>
      </c>
      <c r="CX12" s="167">
        <v>0</v>
      </c>
      <c r="CY12" s="166">
        <v>0</v>
      </c>
      <c r="CZ12" s="166"/>
      <c r="DA12" s="166">
        <v>7550.74</v>
      </c>
      <c r="DB12" s="166"/>
      <c r="DC12" s="166">
        <v>6760.92</v>
      </c>
      <c r="DD12" s="59">
        <v>0.17649999999999999</v>
      </c>
      <c r="DE12" s="59">
        <v>0.18590000000000001</v>
      </c>
      <c r="DF12" s="59">
        <v>0.19850000000000001</v>
      </c>
      <c r="DG12" s="59">
        <v>4.2999999999999997E-2</v>
      </c>
      <c r="DH12" s="59">
        <v>8.6999999999999994E-3</v>
      </c>
      <c r="DI12" s="59">
        <v>0.12939999999999999</v>
      </c>
      <c r="DJ12" s="59">
        <v>4.8099999999999997E-2</v>
      </c>
      <c r="DK12" s="59">
        <v>0.3458</v>
      </c>
      <c r="DL12" s="169">
        <v>0</v>
      </c>
      <c r="DM12" s="59">
        <v>9.1800000000000007E-2</v>
      </c>
      <c r="DN12" s="169">
        <v>0</v>
      </c>
      <c r="DO12" s="184">
        <v>1.9569999999999999</v>
      </c>
      <c r="DP12" s="171">
        <f t="shared" si="13"/>
        <v>2.8296000000000001</v>
      </c>
      <c r="DQ12" s="59">
        <v>0.1123</v>
      </c>
      <c r="DR12" s="59">
        <v>0.24329999999999999</v>
      </c>
      <c r="DS12" s="59">
        <v>3.1699999999999999E-2</v>
      </c>
      <c r="DT12" s="59">
        <v>5.0299999999999997E-2</v>
      </c>
      <c r="DU12" s="59">
        <v>1.9099999999999999E-2</v>
      </c>
      <c r="DV12" s="59">
        <v>4.1799999999999997E-2</v>
      </c>
      <c r="DW12" s="59">
        <v>7.4000000000000003E-3</v>
      </c>
      <c r="DX12" s="169">
        <v>0</v>
      </c>
      <c r="DY12" s="59">
        <v>0.4269</v>
      </c>
      <c r="DZ12" s="171">
        <f t="shared" si="14"/>
        <v>2.2166783790114781</v>
      </c>
      <c r="EA12" s="59">
        <v>0.89659999999999995</v>
      </c>
      <c r="EB12" s="171">
        <f t="shared" si="15"/>
        <v>1.8052643319205888</v>
      </c>
      <c r="EC12" s="59">
        <v>0.14910000000000001</v>
      </c>
      <c r="ED12" s="171">
        <f t="shared" si="16"/>
        <v>2.5533199195171021</v>
      </c>
      <c r="EE12" s="59">
        <v>2.63E-2</v>
      </c>
      <c r="EF12" s="59">
        <v>3.7000000000000002E-3</v>
      </c>
      <c r="EG12" s="59">
        <v>5.91E-2</v>
      </c>
      <c r="EH12" s="59">
        <v>0</v>
      </c>
      <c r="EI12" s="155">
        <v>0.1313</v>
      </c>
      <c r="EJ12" s="172">
        <v>5.3836000000000004</v>
      </c>
      <c r="EK12" s="173"/>
      <c r="EL12" s="59">
        <v>1.7524999999999999</v>
      </c>
      <c r="EM12" s="59">
        <v>0.26419999999999999</v>
      </c>
      <c r="EN12" s="59">
        <v>0.1817</v>
      </c>
      <c r="EO12" s="172">
        <v>7.4506999999999994</v>
      </c>
      <c r="ES12" s="57">
        <f t="shared" si="29"/>
        <v>5.3836000000000004</v>
      </c>
      <c r="ET12" s="57">
        <f t="shared" si="30"/>
        <v>7.4506999999999994</v>
      </c>
      <c r="EU12" s="31"/>
      <c r="EV12" s="61">
        <f t="shared" si="17"/>
        <v>1.7048443420759338</v>
      </c>
      <c r="EW12" s="61">
        <f t="shared" si="18"/>
        <v>1.5988833263988618</v>
      </c>
      <c r="EX12" s="185">
        <v>6.8548999999999998</v>
      </c>
      <c r="EY12" s="174">
        <v>9.7364999999999995</v>
      </c>
      <c r="EZ12" s="158">
        <f t="shared" si="19"/>
        <v>9.1781999999999986</v>
      </c>
      <c r="FA12" s="158">
        <f t="shared" si="20"/>
        <v>11.912799999999999</v>
      </c>
      <c r="FB12" s="158">
        <f>BA12-EX12</f>
        <v>2.3232999999999988</v>
      </c>
      <c r="FC12" s="158">
        <f>BJ12-EY12</f>
        <v>2.1762999999999995</v>
      </c>
      <c r="FD12" s="175">
        <f t="shared" si="31"/>
        <v>0.33892544019606397</v>
      </c>
      <c r="FE12" s="175">
        <f t="shared" si="32"/>
        <v>0.18268585051373309</v>
      </c>
      <c r="FF12" s="158"/>
      <c r="FG12" s="174"/>
      <c r="FH12" s="174">
        <f t="shared" si="33"/>
        <v>69422.895197999998</v>
      </c>
      <c r="FI12" s="174"/>
      <c r="FJ12" s="176">
        <v>1.2733000000000001</v>
      </c>
      <c r="FK12" s="176">
        <f t="shared" si="34"/>
        <v>1.3389180413696173</v>
      </c>
      <c r="FL12" s="87">
        <v>1.2826</v>
      </c>
      <c r="FM12" s="177">
        <f t="shared" si="35"/>
        <v>1.2465954517377684</v>
      </c>
      <c r="FO12" s="88">
        <f t="shared" si="21"/>
        <v>69422.895197999998</v>
      </c>
      <c r="FP12" s="79">
        <f t="shared" si="22"/>
        <v>80698.141095999992</v>
      </c>
      <c r="FS12" s="79">
        <f t="shared" si="23"/>
        <v>40720.958204000002</v>
      </c>
      <c r="FT12" s="79">
        <f t="shared" si="24"/>
        <v>50471.563348999996</v>
      </c>
      <c r="FU12" s="79">
        <f t="shared" si="36"/>
        <v>1.7048443420759343</v>
      </c>
      <c r="FV12" s="79">
        <f t="shared" si="36"/>
        <v>1.5988833263988618</v>
      </c>
      <c r="FY12" s="79">
        <f t="shared" si="37"/>
        <v>7249.1259240000045</v>
      </c>
      <c r="FZ12" s="79">
        <f t="shared" si="38"/>
        <v>80698.141095999992</v>
      </c>
      <c r="GB12" s="178">
        <f t="shared" si="39"/>
        <v>789.82000000000062</v>
      </c>
      <c r="GC12" s="178">
        <f t="shared" si="40"/>
        <v>6774.07</v>
      </c>
      <c r="GG12" s="14">
        <v>7.2272999999999996</v>
      </c>
      <c r="GH12" s="175">
        <f t="shared" si="41"/>
        <v>1.2699348304346021</v>
      </c>
      <c r="GI12" s="14">
        <v>10.323099999999998</v>
      </c>
      <c r="GJ12" s="175">
        <f t="shared" si="42"/>
        <v>1.153994439654755</v>
      </c>
      <c r="GK12" s="175">
        <f t="shared" si="43"/>
        <v>0.11594039077984708</v>
      </c>
      <c r="GN12" s="14">
        <v>9.2625000000000011</v>
      </c>
      <c r="GO12" s="175">
        <f t="shared" si="44"/>
        <v>1.2815989373625007</v>
      </c>
      <c r="GP12" s="179">
        <f t="shared" si="45"/>
        <v>0.9908987854251009</v>
      </c>
      <c r="GQ12" s="14">
        <v>11.733600000000001</v>
      </c>
      <c r="GR12" s="175">
        <f t="shared" si="46"/>
        <v>1.1366353130358131</v>
      </c>
      <c r="GS12" s="175">
        <f t="shared" si="47"/>
        <v>1.0152723801731778</v>
      </c>
      <c r="GV12" s="32">
        <f t="shared" si="25"/>
        <v>7249.1259240000045</v>
      </c>
      <c r="GW12" s="32">
        <f t="shared" si="26"/>
        <v>80698.141095999992</v>
      </c>
      <c r="GX12" s="180">
        <f t="shared" si="48"/>
        <v>87947.267019999999</v>
      </c>
      <c r="GZ12" s="32">
        <f t="shared" si="49"/>
        <v>9.1781999999999986</v>
      </c>
      <c r="HA12" s="32">
        <f t="shared" si="50"/>
        <v>11.912799999999999</v>
      </c>
      <c r="HB12" s="32">
        <f t="shared" si="51"/>
        <v>11.627253571905461</v>
      </c>
    </row>
    <row r="13" spans="1:210" ht="19.2" customHeight="1" x14ac:dyDescent="0.3">
      <c r="A13" s="50">
        <v>5</v>
      </c>
      <c r="B13" s="51" t="s">
        <v>467</v>
      </c>
      <c r="C13" s="150" t="s">
        <v>459</v>
      </c>
      <c r="D13" s="52">
        <v>10</v>
      </c>
      <c r="E13" s="52">
        <v>1</v>
      </c>
      <c r="F13" s="63">
        <v>40</v>
      </c>
      <c r="G13" s="54" t="s">
        <v>240</v>
      </c>
      <c r="H13" s="181" t="s">
        <v>241</v>
      </c>
      <c r="I13" s="55">
        <f t="shared" si="27"/>
        <v>233.70000000000027</v>
      </c>
      <c r="J13" s="55">
        <f t="shared" si="0"/>
        <v>2207.6</v>
      </c>
      <c r="K13" s="55">
        <f t="shared" si="1"/>
        <v>0</v>
      </c>
      <c r="L13" s="56">
        <v>2441.3000000000002</v>
      </c>
      <c r="M13" s="56">
        <v>2441.3000000000002</v>
      </c>
      <c r="N13" s="56">
        <f t="shared" si="28"/>
        <v>233.70000000000027</v>
      </c>
      <c r="O13" s="56">
        <v>0</v>
      </c>
      <c r="P13" s="56">
        <v>0</v>
      </c>
      <c r="Q13" s="55"/>
      <c r="R13" s="55">
        <v>2441.3000000000002</v>
      </c>
      <c r="S13" s="55"/>
      <c r="T13" s="55">
        <v>2207.6</v>
      </c>
      <c r="U13" s="152">
        <v>233.70000000000027</v>
      </c>
      <c r="V13" s="57">
        <v>0.1605</v>
      </c>
      <c r="W13" s="57">
        <v>0.10150000000000001</v>
      </c>
      <c r="X13" s="153">
        <v>0.31569999999999998</v>
      </c>
      <c r="Y13" s="153">
        <v>6.8099999999999994E-2</v>
      </c>
      <c r="Z13" s="57">
        <v>1.9199999999999998E-2</v>
      </c>
      <c r="AA13" s="57">
        <v>0.26319999999999999</v>
      </c>
      <c r="AB13" s="57">
        <v>0</v>
      </c>
      <c r="AC13" s="153">
        <v>0.63149999999999995</v>
      </c>
      <c r="AD13" s="57">
        <v>0.12959999999999999</v>
      </c>
      <c r="AE13" s="57">
        <v>0</v>
      </c>
      <c r="AF13" s="57">
        <v>1.5746</v>
      </c>
      <c r="AG13" s="57">
        <v>0.21010000000000001</v>
      </c>
      <c r="AH13" s="57">
        <v>0.3543</v>
      </c>
      <c r="AI13" s="57">
        <v>0.1206</v>
      </c>
      <c r="AJ13" s="57">
        <v>8.2199999999999995E-2</v>
      </c>
      <c r="AK13" s="57">
        <v>3.7400000000000003E-2</v>
      </c>
      <c r="AL13" s="57">
        <v>6.8699999999999997E-2</v>
      </c>
      <c r="AM13" s="57">
        <v>2.92E-2</v>
      </c>
      <c r="AN13" s="57">
        <v>0</v>
      </c>
      <c r="AO13" s="57">
        <v>3.2534999999999998</v>
      </c>
      <c r="AP13" s="153">
        <v>1.2014</v>
      </c>
      <c r="AQ13" s="153">
        <v>7.8899999999999998E-2</v>
      </c>
      <c r="AR13" s="57">
        <v>0.35210000000000002</v>
      </c>
      <c r="AS13" s="57">
        <v>3.7400000000000003E-2</v>
      </c>
      <c r="AT13" s="153">
        <v>6.1000000000000004E-3</v>
      </c>
      <c r="AU13" s="153">
        <v>0.36470000000000002</v>
      </c>
      <c r="AV13" s="153">
        <v>0</v>
      </c>
      <c r="AW13" s="154">
        <v>9.4604999999999997</v>
      </c>
      <c r="AX13" s="58">
        <v>0.47299999999999998</v>
      </c>
      <c r="AY13" s="155">
        <f t="shared" si="2"/>
        <v>0.46910000000000002</v>
      </c>
      <c r="AZ13" s="155">
        <f t="shared" si="3"/>
        <v>3.8999999999999591E-3</v>
      </c>
      <c r="BA13" s="14">
        <v>9.9335000000000004</v>
      </c>
      <c r="BB13" s="59">
        <f>BA13-'[1]Тариф 26 свод без  ПДВ'!AU13</f>
        <v>4.5000000000001705E-3</v>
      </c>
      <c r="BC13" s="57">
        <v>1.1335</v>
      </c>
      <c r="BD13" s="57">
        <v>8.14E-2</v>
      </c>
      <c r="BE13" s="57">
        <v>0.51580000000000004</v>
      </c>
      <c r="BF13" s="156">
        <v>11.1912</v>
      </c>
      <c r="BG13" s="59">
        <v>0.55959999999999999</v>
      </c>
      <c r="BH13" s="59"/>
      <c r="BI13" s="59"/>
      <c r="BJ13" s="14">
        <v>11.7508</v>
      </c>
      <c r="BK13" s="60"/>
      <c r="BL13" s="60">
        <v>4.2888000000000011</v>
      </c>
      <c r="BM13" s="60">
        <v>0.21440000000000001</v>
      </c>
      <c r="BN13" s="14">
        <v>4.5032000000000014</v>
      </c>
      <c r="BO13" s="14"/>
      <c r="BP13" s="157"/>
      <c r="BQ13" s="158">
        <f>BJ13-'[1]Тариф 26 свод без  ПДВ'!BG13</f>
        <v>-4.7999999999994714E-3</v>
      </c>
      <c r="BR13" s="77">
        <f>'[1]Тариф 26 свод без  ПДВ'!BG13</f>
        <v>11.755599999999999</v>
      </c>
      <c r="BS13" s="159">
        <f t="shared" si="4"/>
        <v>-4.7999999999994714E-3</v>
      </c>
      <c r="BU13" s="77">
        <f>'[1]Тариф 26 свод без  ПДВ'!AU13</f>
        <v>9.9290000000000003</v>
      </c>
      <c r="BV13" s="159">
        <f t="shared" si="5"/>
        <v>4.5000000000001705E-3</v>
      </c>
      <c r="BX13" s="95">
        <v>4.7538</v>
      </c>
      <c r="BY13" s="95">
        <v>5.7164000000000001</v>
      </c>
      <c r="BZ13" s="95"/>
      <c r="CA13" s="186">
        <f t="shared" si="6"/>
        <v>2.0895914847069714</v>
      </c>
      <c r="CB13" s="186">
        <f t="shared" si="7"/>
        <v>2.055629417115667</v>
      </c>
      <c r="CD13" s="160">
        <f t="shared" si="8"/>
        <v>233.70000000000027</v>
      </c>
      <c r="CE13" s="160">
        <f t="shared" si="9"/>
        <v>2207.6</v>
      </c>
      <c r="CF13" s="77">
        <f t="shared" si="10"/>
        <v>2321.4589500000029</v>
      </c>
      <c r="CG13" s="77">
        <f t="shared" si="11"/>
        <v>25941.066080000001</v>
      </c>
      <c r="CI13" s="160">
        <f>'[1]0 СВОД'!AYY28</f>
        <v>28262.564555096451</v>
      </c>
      <c r="CJ13" s="77">
        <f t="shared" si="12"/>
        <v>339150.7746611574</v>
      </c>
      <c r="CM13" s="161">
        <v>5</v>
      </c>
      <c r="CN13" s="183" t="s">
        <v>468</v>
      </c>
      <c r="CO13" s="163">
        <v>10</v>
      </c>
      <c r="CP13" s="163">
        <v>1</v>
      </c>
      <c r="CQ13" s="164" t="s">
        <v>240</v>
      </c>
      <c r="CR13" s="165" t="s">
        <v>241</v>
      </c>
      <c r="CS13" s="166">
        <v>233.69999999999982</v>
      </c>
      <c r="CT13" s="166">
        <v>2207.8000000000002</v>
      </c>
      <c r="CU13" s="167">
        <v>0</v>
      </c>
      <c r="CV13" s="168">
        <v>2441.5</v>
      </c>
      <c r="CW13" s="166">
        <v>2441.5</v>
      </c>
      <c r="CX13" s="167">
        <v>0</v>
      </c>
      <c r="CY13" s="166">
        <v>0</v>
      </c>
      <c r="CZ13" s="166"/>
      <c r="DA13" s="166">
        <v>2441.5</v>
      </c>
      <c r="DB13" s="166"/>
      <c r="DC13" s="166">
        <v>2207.8000000000002</v>
      </c>
      <c r="DD13" s="59">
        <v>0.1575</v>
      </c>
      <c r="DE13" s="59">
        <v>0.1623</v>
      </c>
      <c r="DF13" s="59">
        <v>0.20730000000000001</v>
      </c>
      <c r="DG13" s="59">
        <v>4.0099999999999997E-2</v>
      </c>
      <c r="DH13" s="59">
        <v>7.1999999999999998E-3</v>
      </c>
      <c r="DI13" s="59">
        <v>0.11119999999999999</v>
      </c>
      <c r="DJ13" s="59">
        <v>4.8099999999999997E-2</v>
      </c>
      <c r="DK13" s="59">
        <v>0.3458</v>
      </c>
      <c r="DL13" s="59">
        <v>6.6500000000000004E-2</v>
      </c>
      <c r="DM13" s="59">
        <v>7.8799999999999995E-2</v>
      </c>
      <c r="DN13" s="169">
        <v>0</v>
      </c>
      <c r="DO13" s="184">
        <v>1.4204999999999999</v>
      </c>
      <c r="DP13" s="171">
        <f t="shared" si="13"/>
        <v>1.5746</v>
      </c>
      <c r="DQ13" s="59">
        <v>0.1011</v>
      </c>
      <c r="DR13" s="59">
        <v>0.21229999999999999</v>
      </c>
      <c r="DS13" s="59">
        <v>3.1399999999999997E-2</v>
      </c>
      <c r="DT13" s="59">
        <v>3.8899999999999997E-2</v>
      </c>
      <c r="DU13" s="59">
        <v>1.5800000000000002E-2</v>
      </c>
      <c r="DV13" s="59">
        <v>2.3900000000000001E-2</v>
      </c>
      <c r="DW13" s="59">
        <v>7.1000000000000004E-3</v>
      </c>
      <c r="DX13" s="169">
        <v>0</v>
      </c>
      <c r="DY13" s="59">
        <v>1.5906</v>
      </c>
      <c r="DZ13" s="171">
        <f t="shared" si="14"/>
        <v>2.0454545454545454</v>
      </c>
      <c r="EA13" s="59">
        <v>0.72330000000000005</v>
      </c>
      <c r="EB13" s="171">
        <f t="shared" si="15"/>
        <v>1.7700815705792892</v>
      </c>
      <c r="EC13" s="59">
        <v>0.13350000000000001</v>
      </c>
      <c r="ED13" s="171">
        <f t="shared" si="16"/>
        <v>2.6374531835205994</v>
      </c>
      <c r="EE13" s="59">
        <v>2.86E-2</v>
      </c>
      <c r="EF13" s="59">
        <v>4.0000000000000001E-3</v>
      </c>
      <c r="EG13" s="59">
        <v>0.25700000000000001</v>
      </c>
      <c r="EH13" s="59">
        <v>0</v>
      </c>
      <c r="EI13" s="155">
        <v>0.14530000000000001</v>
      </c>
      <c r="EJ13" s="172">
        <v>5.9580999999999982</v>
      </c>
      <c r="EK13" s="173"/>
      <c r="EL13" s="59">
        <v>0.6754</v>
      </c>
      <c r="EM13" s="59">
        <v>0.35570000000000002</v>
      </c>
      <c r="EN13" s="59">
        <v>0.1711</v>
      </c>
      <c r="EO13" s="172">
        <v>7.0149999999999979</v>
      </c>
      <c r="ES13" s="57">
        <f t="shared" si="29"/>
        <v>5.9580999999999982</v>
      </c>
      <c r="ET13" s="57">
        <f t="shared" si="30"/>
        <v>7.0149999999999979</v>
      </c>
      <c r="EU13" s="31"/>
      <c r="EV13" s="61">
        <f t="shared" si="17"/>
        <v>1.6672261291351276</v>
      </c>
      <c r="EW13" s="61">
        <f t="shared" si="18"/>
        <v>1.6750962223806134</v>
      </c>
      <c r="EX13" s="185">
        <v>7.4615</v>
      </c>
      <c r="EY13" s="174">
        <v>9.4504999999999999</v>
      </c>
      <c r="EZ13" s="158">
        <f t="shared" si="19"/>
        <v>9.9335000000000004</v>
      </c>
      <c r="FA13" s="158">
        <f t="shared" si="20"/>
        <v>11.7508</v>
      </c>
      <c r="FH13" s="174">
        <f t="shared" si="33"/>
        <v>24250.653550000003</v>
      </c>
      <c r="FJ13" s="87">
        <v>1.2523</v>
      </c>
      <c r="FK13" s="176">
        <f t="shared" si="34"/>
        <v>1.3313312538011079</v>
      </c>
      <c r="FL13" s="87">
        <v>1.3472</v>
      </c>
      <c r="FM13" s="87">
        <f t="shared" si="35"/>
        <v>1.243390901410788</v>
      </c>
      <c r="FO13" s="88">
        <f t="shared" si="21"/>
        <v>24250.653550000003</v>
      </c>
      <c r="FP13" s="79">
        <f t="shared" si="22"/>
        <v>25941.066080000001</v>
      </c>
      <c r="FS13" s="79">
        <f t="shared" si="23"/>
        <v>14545.509529999996</v>
      </c>
      <c r="FT13" s="79">
        <f t="shared" si="24"/>
        <v>15486.313999999995</v>
      </c>
      <c r="FU13" s="79">
        <f t="shared" si="36"/>
        <v>1.6672261291351276</v>
      </c>
      <c r="FV13" s="79">
        <f t="shared" si="36"/>
        <v>1.6750962223806136</v>
      </c>
      <c r="FY13" s="79">
        <f t="shared" si="37"/>
        <v>2321.4589500000029</v>
      </c>
      <c r="FZ13" s="79">
        <f t="shared" si="38"/>
        <v>25941.066080000001</v>
      </c>
      <c r="GB13" s="178">
        <f t="shared" si="39"/>
        <v>233.70000000000027</v>
      </c>
      <c r="GC13" s="178">
        <f t="shared" si="40"/>
        <v>2207.6</v>
      </c>
      <c r="GG13" s="14">
        <v>7.8219999999999983</v>
      </c>
      <c r="GH13" s="175">
        <f t="shared" si="41"/>
        <v>1.2699437484019436</v>
      </c>
      <c r="GI13" s="14">
        <v>9.8863000000000003</v>
      </c>
      <c r="GJ13" s="175">
        <f t="shared" si="42"/>
        <v>1.1885943173887097</v>
      </c>
      <c r="GK13" s="175">
        <f t="shared" si="43"/>
        <v>8.1349431013233886E-2</v>
      </c>
      <c r="GN13" s="14">
        <v>9.9845000000000024</v>
      </c>
      <c r="GO13" s="175">
        <f t="shared" si="44"/>
        <v>1.2764638199948868</v>
      </c>
      <c r="GP13" s="179">
        <f t="shared" si="45"/>
        <v>0.9948920827282286</v>
      </c>
      <c r="GQ13" s="14">
        <v>11.653200000000002</v>
      </c>
      <c r="GR13" s="175">
        <f t="shared" si="46"/>
        <v>1.178722069935163</v>
      </c>
      <c r="GS13" s="175">
        <f t="shared" si="47"/>
        <v>1.0083753818693577</v>
      </c>
      <c r="GV13" s="32">
        <f t="shared" si="25"/>
        <v>2321.4589500000029</v>
      </c>
      <c r="GW13" s="32">
        <f t="shared" si="26"/>
        <v>25941.066080000001</v>
      </c>
      <c r="GX13" s="180">
        <f t="shared" si="48"/>
        <v>28262.525030000004</v>
      </c>
      <c r="GZ13" s="32">
        <f t="shared" si="49"/>
        <v>9.9335000000000004</v>
      </c>
      <c r="HA13" s="32">
        <f t="shared" si="50"/>
        <v>11.7508</v>
      </c>
      <c r="HB13" s="32">
        <f t="shared" si="51"/>
        <v>11.576834076106993</v>
      </c>
    </row>
    <row r="14" spans="1:210" ht="19.2" customHeight="1" x14ac:dyDescent="0.3">
      <c r="A14" s="50">
        <v>6</v>
      </c>
      <c r="B14" s="51" t="s">
        <v>469</v>
      </c>
      <c r="C14" s="150" t="s">
        <v>459</v>
      </c>
      <c r="D14" s="52">
        <v>9</v>
      </c>
      <c r="E14" s="52">
        <v>3</v>
      </c>
      <c r="F14" s="63">
        <v>108</v>
      </c>
      <c r="G14" s="54" t="s">
        <v>177</v>
      </c>
      <c r="H14" s="181" t="s">
        <v>173</v>
      </c>
      <c r="I14" s="55">
        <f t="shared" si="27"/>
        <v>171.10000000000036</v>
      </c>
      <c r="J14" s="55">
        <f t="shared" si="0"/>
        <v>5091.87</v>
      </c>
      <c r="K14" s="55">
        <f t="shared" si="1"/>
        <v>430</v>
      </c>
      <c r="L14" s="56">
        <v>5692.97</v>
      </c>
      <c r="M14" s="56">
        <v>5262.97</v>
      </c>
      <c r="N14" s="56">
        <f t="shared" si="28"/>
        <v>171.10000000000036</v>
      </c>
      <c r="O14" s="56">
        <v>430</v>
      </c>
      <c r="P14" s="56">
        <v>0</v>
      </c>
      <c r="Q14" s="55"/>
      <c r="R14" s="55">
        <v>5692.97</v>
      </c>
      <c r="S14" s="55"/>
      <c r="T14" s="55">
        <v>5091.87</v>
      </c>
      <c r="U14" s="152">
        <v>601.10000000000036</v>
      </c>
      <c r="V14" s="57">
        <v>0.17699999999999999</v>
      </c>
      <c r="W14" s="57">
        <v>0.10150000000000001</v>
      </c>
      <c r="X14" s="153">
        <v>0.28089999999999998</v>
      </c>
      <c r="Y14" s="153">
        <v>8.3299999999999999E-2</v>
      </c>
      <c r="Z14" s="57">
        <v>2.3199999999999998E-2</v>
      </c>
      <c r="AA14" s="57">
        <v>0.25840000000000002</v>
      </c>
      <c r="AB14" s="57">
        <v>0</v>
      </c>
      <c r="AC14" s="153">
        <v>0.63149999999999995</v>
      </c>
      <c r="AD14" s="57">
        <v>0.15</v>
      </c>
      <c r="AE14" s="57">
        <v>0</v>
      </c>
      <c r="AF14" s="57">
        <v>2.1236000000000002</v>
      </c>
      <c r="AG14" s="57">
        <v>0.2293</v>
      </c>
      <c r="AH14" s="57">
        <v>0.36409999999999998</v>
      </c>
      <c r="AI14" s="57">
        <v>0.1188</v>
      </c>
      <c r="AJ14" s="57">
        <v>0.154</v>
      </c>
      <c r="AK14" s="57">
        <v>4.4999999999999998E-2</v>
      </c>
      <c r="AL14" s="57">
        <v>9.9400000000000002E-2</v>
      </c>
      <c r="AM14" s="57">
        <v>2.9700000000000001E-2</v>
      </c>
      <c r="AN14" s="57">
        <v>0</v>
      </c>
      <c r="AO14" s="57">
        <v>1.2839</v>
      </c>
      <c r="AP14" s="153">
        <v>1.6929000000000001</v>
      </c>
      <c r="AQ14" s="153">
        <v>9.2299999999999993E-2</v>
      </c>
      <c r="AR14" s="57">
        <v>0.3594</v>
      </c>
      <c r="AS14" s="57">
        <v>3.39E-2</v>
      </c>
      <c r="AT14" s="153">
        <v>5.4999999999999997E-3</v>
      </c>
      <c r="AU14" s="153">
        <v>0.15140000000000001</v>
      </c>
      <c r="AV14" s="153">
        <v>0</v>
      </c>
      <c r="AW14" s="154">
        <v>8.488999999999999</v>
      </c>
      <c r="AX14" s="58">
        <v>0.42449999999999999</v>
      </c>
      <c r="AY14" s="155">
        <f t="shared" si="2"/>
        <v>0.41980000000000001</v>
      </c>
      <c r="AZ14" s="155">
        <f t="shared" si="3"/>
        <v>4.699999999999982E-3</v>
      </c>
      <c r="BA14" s="14">
        <v>8.9134999999999991</v>
      </c>
      <c r="BB14" s="59">
        <f>BA14-'[1]Тариф 26 свод без  ПДВ'!AU14</f>
        <v>4.0999999999993264E-3</v>
      </c>
      <c r="BC14" s="57">
        <v>1.8293999999999999</v>
      </c>
      <c r="BD14" s="57">
        <v>3.5299999999999998E-2</v>
      </c>
      <c r="BE14" s="57">
        <v>0.51229999999999998</v>
      </c>
      <c r="BF14" s="156">
        <v>10.865999999999998</v>
      </c>
      <c r="BG14" s="59">
        <v>0.54330000000000001</v>
      </c>
      <c r="BH14" s="59"/>
      <c r="BI14" s="59"/>
      <c r="BJ14" s="14">
        <v>11.409299999999998</v>
      </c>
      <c r="BK14" s="60"/>
      <c r="BL14" s="60">
        <v>5.0013999999999985</v>
      </c>
      <c r="BM14" s="60">
        <v>0.25009999999999999</v>
      </c>
      <c r="BN14" s="14">
        <v>5.2514999999999983</v>
      </c>
      <c r="BO14" s="14"/>
      <c r="BP14" s="157"/>
      <c r="BQ14" s="158">
        <f>BJ14-'[1]Тариф 26 свод без  ПДВ'!BG14</f>
        <v>2.8999999999985704E-3</v>
      </c>
      <c r="BR14" s="77">
        <f>'[1]Тариф 26 свод без  ПДВ'!BG14</f>
        <v>11.4064</v>
      </c>
      <c r="BS14" s="159">
        <f t="shared" si="4"/>
        <v>2.8999999999985704E-3</v>
      </c>
      <c r="BU14" s="77">
        <f>'[1]Тариф 26 свод без  ПДВ'!AU14</f>
        <v>8.9093999999999998</v>
      </c>
      <c r="BV14" s="159">
        <f t="shared" si="5"/>
        <v>4.0999999999993264E-3</v>
      </c>
      <c r="BX14" s="95">
        <v>4.3149999999999995</v>
      </c>
      <c r="BY14" s="95">
        <v>5.5979000000000001</v>
      </c>
      <c r="BZ14" s="95"/>
      <c r="CA14" s="62">
        <f t="shared" si="6"/>
        <v>2.0657010428736964</v>
      </c>
      <c r="CB14" s="62">
        <f t="shared" si="7"/>
        <v>2.0381393022383389</v>
      </c>
      <c r="CD14" s="160">
        <f t="shared" si="8"/>
        <v>601.10000000000036</v>
      </c>
      <c r="CE14" s="160">
        <f t="shared" si="9"/>
        <v>5091.87</v>
      </c>
      <c r="CF14" s="77">
        <f t="shared" si="10"/>
        <v>5357.9048500000026</v>
      </c>
      <c r="CG14" s="77">
        <f t="shared" si="11"/>
        <v>58094.672390999993</v>
      </c>
      <c r="CI14" s="160">
        <f>'[1]0 СВОД'!AYY29</f>
        <v>61879.909285119313</v>
      </c>
      <c r="CJ14" s="77">
        <f t="shared" si="12"/>
        <v>742558.91142143169</v>
      </c>
      <c r="CM14" s="161">
        <v>6</v>
      </c>
      <c r="CN14" s="162" t="s">
        <v>470</v>
      </c>
      <c r="CO14" s="163">
        <v>9</v>
      </c>
      <c r="CP14" s="163">
        <v>3</v>
      </c>
      <c r="CQ14" s="164" t="s">
        <v>177</v>
      </c>
      <c r="CR14" s="165" t="s">
        <v>173</v>
      </c>
      <c r="CS14" s="166">
        <v>171.06999999999971</v>
      </c>
      <c r="CT14" s="166">
        <v>5082.2300000000005</v>
      </c>
      <c r="CU14" s="167">
        <v>430</v>
      </c>
      <c r="CV14" s="168">
        <v>5683.3</v>
      </c>
      <c r="CW14" s="166">
        <v>5253.3</v>
      </c>
      <c r="CX14" s="167">
        <v>430</v>
      </c>
      <c r="CY14" s="166">
        <v>0</v>
      </c>
      <c r="CZ14" s="166"/>
      <c r="DA14" s="166">
        <v>5683.3</v>
      </c>
      <c r="DB14" s="166"/>
      <c r="DC14" s="166">
        <v>5082.2300000000005</v>
      </c>
      <c r="DD14" s="59">
        <v>0.17430000000000001</v>
      </c>
      <c r="DE14" s="59">
        <v>0.16520000000000001</v>
      </c>
      <c r="DF14" s="59">
        <v>0.185</v>
      </c>
      <c r="DG14" s="59">
        <v>4.9200000000000001E-2</v>
      </c>
      <c r="DH14" s="59">
        <v>8.6999999999999994E-3</v>
      </c>
      <c r="DI14" s="59">
        <v>0.113</v>
      </c>
      <c r="DJ14" s="59">
        <v>4.8099999999999997E-2</v>
      </c>
      <c r="DK14" s="59">
        <v>0.3458</v>
      </c>
      <c r="DL14" s="169">
        <v>0</v>
      </c>
      <c r="DM14" s="59">
        <v>9.1399999999999995E-2</v>
      </c>
      <c r="DN14" s="169">
        <v>0</v>
      </c>
      <c r="DO14" s="170">
        <v>1.3322000000000001</v>
      </c>
      <c r="DP14" s="171">
        <f t="shared" si="13"/>
        <v>2.1236000000000002</v>
      </c>
      <c r="DQ14" s="59">
        <v>0.1105</v>
      </c>
      <c r="DR14" s="59">
        <v>0.21859999999999999</v>
      </c>
      <c r="DS14" s="59">
        <v>3.0599999999999999E-2</v>
      </c>
      <c r="DT14" s="59">
        <v>7.2700000000000001E-2</v>
      </c>
      <c r="DU14" s="59">
        <v>1.9E-2</v>
      </c>
      <c r="DV14" s="59">
        <v>3.4700000000000002E-2</v>
      </c>
      <c r="DW14" s="59">
        <v>7.3000000000000001E-3</v>
      </c>
      <c r="DX14" s="169">
        <v>0</v>
      </c>
      <c r="DY14" s="59">
        <v>0.58899999999999997</v>
      </c>
      <c r="DZ14" s="171">
        <f t="shared" si="14"/>
        <v>2.1797962648556877</v>
      </c>
      <c r="EA14" s="59">
        <v>1.0086999999999999</v>
      </c>
      <c r="EB14" s="171">
        <f t="shared" si="15"/>
        <v>1.769802716367602</v>
      </c>
      <c r="EC14" s="59">
        <v>0.13450000000000001</v>
      </c>
      <c r="ED14" s="171">
        <f t="shared" si="16"/>
        <v>2.6721189591078067</v>
      </c>
      <c r="EE14" s="59">
        <v>2.5999999999999999E-2</v>
      </c>
      <c r="EF14" s="59">
        <v>3.5999999999999999E-3</v>
      </c>
      <c r="EG14" s="59">
        <v>7.4399999999999994E-2</v>
      </c>
      <c r="EH14" s="59">
        <v>0</v>
      </c>
      <c r="EI14" s="155">
        <v>0.1211</v>
      </c>
      <c r="EJ14" s="172">
        <v>4.9635999999999996</v>
      </c>
      <c r="EK14" s="173"/>
      <c r="EL14" s="59">
        <v>1.7484999999999999</v>
      </c>
      <c r="EM14" s="59">
        <v>0.24660000000000001</v>
      </c>
      <c r="EN14" s="59">
        <v>0.1709</v>
      </c>
      <c r="EO14" s="172">
        <v>7.0084999999999988</v>
      </c>
      <c r="ES14" s="57">
        <f t="shared" si="29"/>
        <v>4.9635999999999996</v>
      </c>
      <c r="ET14" s="57">
        <f t="shared" si="30"/>
        <v>7.0084999999999988</v>
      </c>
      <c r="EU14" s="31"/>
      <c r="EV14" s="61">
        <f t="shared" si="17"/>
        <v>1.7957732291079056</v>
      </c>
      <c r="EW14" s="61">
        <f t="shared" si="18"/>
        <v>1.6279232360704858</v>
      </c>
      <c r="EX14" s="174">
        <v>6.4831000000000003</v>
      </c>
      <c r="EY14" s="174">
        <v>9.3294999999999995</v>
      </c>
      <c r="EZ14" s="158">
        <f t="shared" si="19"/>
        <v>8.9134999999999991</v>
      </c>
      <c r="FA14" s="158">
        <f t="shared" si="20"/>
        <v>11.409299999999998</v>
      </c>
      <c r="FB14" s="158">
        <f>BA14-EX14</f>
        <v>2.4303999999999988</v>
      </c>
      <c r="FC14" s="158">
        <f>BJ14-EY14</f>
        <v>2.0797999999999988</v>
      </c>
      <c r="FD14" s="175">
        <f t="shared" ref="FD14:FD16" si="52">FB14/EX14</f>
        <v>0.37488238651262495</v>
      </c>
      <c r="FE14" s="175">
        <f t="shared" ref="FE14:FE16" si="53">FC14/FA14</f>
        <v>0.18228988632080839</v>
      </c>
      <c r="FF14" s="158"/>
      <c r="FG14" s="174"/>
      <c r="FH14" s="174">
        <f t="shared" si="33"/>
        <v>50744.288094999996</v>
      </c>
      <c r="FI14" s="174"/>
      <c r="FJ14" s="176">
        <v>1.306</v>
      </c>
      <c r="FK14" s="176">
        <f t="shared" si="34"/>
        <v>1.3750177864532203</v>
      </c>
      <c r="FL14" s="87">
        <v>1.3964000000000001</v>
      </c>
      <c r="FM14" s="87">
        <f t="shared" si="35"/>
        <v>1.1658000831212301</v>
      </c>
      <c r="FO14" s="88">
        <f t="shared" si="21"/>
        <v>50744.288094999996</v>
      </c>
      <c r="FP14" s="79">
        <f t="shared" si="22"/>
        <v>58094.672390999993</v>
      </c>
      <c r="FS14" s="79">
        <f t="shared" si="23"/>
        <v>28257.625892</v>
      </c>
      <c r="FT14" s="79">
        <f t="shared" si="24"/>
        <v>35686.370894999993</v>
      </c>
      <c r="FU14" s="79">
        <f t="shared" si="36"/>
        <v>1.7957732291079054</v>
      </c>
      <c r="FV14" s="79">
        <f t="shared" si="36"/>
        <v>1.6279232360704861</v>
      </c>
      <c r="FY14" s="79">
        <f t="shared" si="37"/>
        <v>5357.9048500000026</v>
      </c>
      <c r="FZ14" s="79">
        <f t="shared" si="38"/>
        <v>58094.672390999993</v>
      </c>
      <c r="GB14" s="178">
        <f t="shared" si="39"/>
        <v>601.10000000000036</v>
      </c>
      <c r="GC14" s="178">
        <f t="shared" si="40"/>
        <v>5091.87</v>
      </c>
      <c r="GG14" s="14">
        <v>7.0187999999999997</v>
      </c>
      <c r="GH14" s="175">
        <f t="shared" si="41"/>
        <v>1.2699464295891034</v>
      </c>
      <c r="GI14" s="14">
        <v>9.8791999999999991</v>
      </c>
      <c r="GJ14" s="175">
        <f t="shared" si="42"/>
        <v>1.1548809620212162</v>
      </c>
      <c r="GK14" s="175">
        <f t="shared" si="43"/>
        <v>0.11506546756788727</v>
      </c>
      <c r="GN14" s="14">
        <v>8.9487999999999985</v>
      </c>
      <c r="GO14" s="175">
        <f t="shared" si="44"/>
        <v>1.2749757793354988</v>
      </c>
      <c r="GP14" s="179">
        <f t="shared" si="45"/>
        <v>0.99605533702842841</v>
      </c>
      <c r="GQ14" s="14">
        <v>11.242899999999997</v>
      </c>
      <c r="GR14" s="175">
        <f t="shared" si="46"/>
        <v>1.1380374929144059</v>
      </c>
      <c r="GS14" s="175">
        <f t="shared" si="47"/>
        <v>1.0148004518407174</v>
      </c>
      <c r="GV14" s="32">
        <f t="shared" si="25"/>
        <v>5357.9048500000026</v>
      </c>
      <c r="GW14" s="32">
        <f t="shared" si="26"/>
        <v>58094.672390999993</v>
      </c>
      <c r="GX14" s="180">
        <f t="shared" si="48"/>
        <v>63452.577240999992</v>
      </c>
      <c r="GZ14" s="32">
        <f t="shared" si="49"/>
        <v>8.9134999999999991</v>
      </c>
      <c r="HA14" s="32">
        <f t="shared" si="50"/>
        <v>11.409299999999998</v>
      </c>
      <c r="HB14" s="32">
        <f t="shared" si="51"/>
        <v>11.145777553895416</v>
      </c>
    </row>
    <row r="15" spans="1:210" ht="19.2" customHeight="1" x14ac:dyDescent="0.3">
      <c r="A15" s="50">
        <v>7</v>
      </c>
      <c r="B15" s="51" t="s">
        <v>471</v>
      </c>
      <c r="C15" s="150" t="s">
        <v>459</v>
      </c>
      <c r="D15" s="52">
        <v>9</v>
      </c>
      <c r="E15" s="52">
        <v>2</v>
      </c>
      <c r="F15" s="63">
        <v>72</v>
      </c>
      <c r="G15" s="54" t="s">
        <v>178</v>
      </c>
      <c r="H15" s="181" t="s">
        <v>179</v>
      </c>
      <c r="I15" s="55">
        <f t="shared" si="27"/>
        <v>466.40000000000009</v>
      </c>
      <c r="J15" s="55">
        <f t="shared" si="0"/>
        <v>3754.4</v>
      </c>
      <c r="K15" s="55">
        <f t="shared" si="1"/>
        <v>0</v>
      </c>
      <c r="L15" s="56">
        <v>4220.8</v>
      </c>
      <c r="M15" s="56">
        <v>4220.8</v>
      </c>
      <c r="N15" s="56">
        <f t="shared" si="28"/>
        <v>466.40000000000009</v>
      </c>
      <c r="O15" s="56">
        <v>0</v>
      </c>
      <c r="P15" s="56">
        <v>0</v>
      </c>
      <c r="Q15" s="55"/>
      <c r="R15" s="55">
        <v>4220.8</v>
      </c>
      <c r="S15" s="55"/>
      <c r="T15" s="55">
        <v>3754.4</v>
      </c>
      <c r="U15" s="152">
        <v>466.40000000000009</v>
      </c>
      <c r="V15" s="57">
        <v>0.1653</v>
      </c>
      <c r="W15" s="57">
        <v>0.109</v>
      </c>
      <c r="X15" s="153">
        <v>0.25540000000000002</v>
      </c>
      <c r="Y15" s="153">
        <v>7.2999999999999995E-2</v>
      </c>
      <c r="Z15" s="57">
        <v>2.0799999999999999E-2</v>
      </c>
      <c r="AA15" s="57">
        <v>0.21460000000000001</v>
      </c>
      <c r="AB15" s="57">
        <v>0</v>
      </c>
      <c r="AC15" s="153">
        <v>0.63149999999999995</v>
      </c>
      <c r="AD15" s="57">
        <v>0.13489999999999999</v>
      </c>
      <c r="AE15" s="57">
        <v>0</v>
      </c>
      <c r="AF15" s="57">
        <v>1.8585</v>
      </c>
      <c r="AG15" s="57">
        <v>0.21510000000000001</v>
      </c>
      <c r="AH15" s="57">
        <v>0.3765</v>
      </c>
      <c r="AI15" s="57">
        <v>0.13020000000000001</v>
      </c>
      <c r="AJ15" s="57">
        <v>0.115</v>
      </c>
      <c r="AK15" s="57">
        <v>4.0500000000000001E-2</v>
      </c>
      <c r="AL15" s="57">
        <v>7.8299999999999995E-2</v>
      </c>
      <c r="AM15" s="57">
        <v>3.1E-2</v>
      </c>
      <c r="AN15" s="57">
        <v>0</v>
      </c>
      <c r="AO15" s="57">
        <v>1.7609999999999999</v>
      </c>
      <c r="AP15" s="153">
        <v>1.3404</v>
      </c>
      <c r="AQ15" s="153">
        <v>8.5300000000000001E-2</v>
      </c>
      <c r="AR15" s="57">
        <v>0.38669999999999999</v>
      </c>
      <c r="AS15" s="57">
        <v>3.8100000000000002E-2</v>
      </c>
      <c r="AT15" s="153">
        <v>6.1999999999999998E-3</v>
      </c>
      <c r="AU15" s="153">
        <v>0.1925</v>
      </c>
      <c r="AV15" s="153">
        <v>0</v>
      </c>
      <c r="AW15" s="154">
        <v>8.2598000000000003</v>
      </c>
      <c r="AX15" s="58">
        <v>0.41299999999999998</v>
      </c>
      <c r="AY15" s="155">
        <f t="shared" si="2"/>
        <v>0.40870000000000001</v>
      </c>
      <c r="AZ15" s="155">
        <f t="shared" si="3"/>
        <v>4.2999999999999705E-3</v>
      </c>
      <c r="BA15" s="14">
        <v>8.6728000000000005</v>
      </c>
      <c r="BB15" s="59">
        <f>BA15-'[1]Тариф 26 свод без  ПДВ'!AU15</f>
        <v>5.0000000000007816E-3</v>
      </c>
      <c r="BC15" s="57">
        <v>1.8255999999999999</v>
      </c>
      <c r="BD15" s="57">
        <v>0</v>
      </c>
      <c r="BE15" s="57">
        <v>0.75819999999999999</v>
      </c>
      <c r="BF15" s="156">
        <v>10.8436</v>
      </c>
      <c r="BG15" s="59">
        <v>0.54220000000000002</v>
      </c>
      <c r="BH15" s="59"/>
      <c r="BI15" s="59"/>
      <c r="BJ15" s="14">
        <v>11.3858</v>
      </c>
      <c r="BK15" s="60"/>
      <c r="BL15" s="60">
        <v>4.5791999999999993</v>
      </c>
      <c r="BM15" s="60">
        <v>0.22900000000000001</v>
      </c>
      <c r="BN15" s="14">
        <v>4.8081999999999994</v>
      </c>
      <c r="BO15" s="14"/>
      <c r="BP15" s="157"/>
      <c r="BQ15" s="158">
        <f>BJ15-'[1]Тариф 26 свод без  ПДВ'!BG15</f>
        <v>1.9999999999988916E-3</v>
      </c>
      <c r="BR15" s="77">
        <f>'[1]Тариф 26 свод без  ПДВ'!BG15</f>
        <v>11.383800000000001</v>
      </c>
      <c r="BS15" s="159">
        <f t="shared" si="4"/>
        <v>1.9999999999988916E-3</v>
      </c>
      <c r="BU15" s="77">
        <f>'[1]Тариф 26 свод без  ПДВ'!AU15</f>
        <v>8.6677999999999997</v>
      </c>
      <c r="BV15" s="159">
        <f t="shared" si="5"/>
        <v>5.0000000000007816E-3</v>
      </c>
      <c r="BX15" s="95">
        <v>4.1221000000000005</v>
      </c>
      <c r="BY15" s="95">
        <v>5.8020000000000005</v>
      </c>
      <c r="BZ15" s="95"/>
      <c r="CA15" s="182">
        <f t="shared" si="6"/>
        <v>2.1039761286722785</v>
      </c>
      <c r="CB15" s="182">
        <f t="shared" si="7"/>
        <v>1.9623922785246464</v>
      </c>
      <c r="CD15" s="160">
        <f t="shared" si="8"/>
        <v>466.40000000000009</v>
      </c>
      <c r="CE15" s="160">
        <f t="shared" si="9"/>
        <v>3754.4</v>
      </c>
      <c r="CF15" s="77">
        <f t="shared" si="10"/>
        <v>4044.9939200000008</v>
      </c>
      <c r="CG15" s="77">
        <f t="shared" si="11"/>
        <v>42746.847520000003</v>
      </c>
      <c r="CI15" s="160">
        <f>'[1]0 СВОД'!AYY30</f>
        <v>46792.21602640635</v>
      </c>
      <c r="CJ15" s="77">
        <f t="shared" si="12"/>
        <v>561506.59231687617</v>
      </c>
      <c r="CM15" s="161">
        <v>7</v>
      </c>
      <c r="CN15" s="183" t="s">
        <v>472</v>
      </c>
      <c r="CO15" s="163">
        <v>9</v>
      </c>
      <c r="CP15" s="163">
        <v>2</v>
      </c>
      <c r="CQ15" s="164" t="s">
        <v>178</v>
      </c>
      <c r="CR15" s="165" t="s">
        <v>179</v>
      </c>
      <c r="CS15" s="166">
        <v>466.40000000000009</v>
      </c>
      <c r="CT15" s="166">
        <v>3752.9999999999995</v>
      </c>
      <c r="CU15" s="167">
        <v>0</v>
      </c>
      <c r="CV15" s="168">
        <v>4219.3999999999996</v>
      </c>
      <c r="CW15" s="166">
        <v>4219.3999999999996</v>
      </c>
      <c r="CX15" s="167">
        <v>0</v>
      </c>
      <c r="CY15" s="166">
        <v>0</v>
      </c>
      <c r="CZ15" s="166"/>
      <c r="DA15" s="166">
        <v>4219.3999999999996</v>
      </c>
      <c r="DB15" s="166"/>
      <c r="DC15" s="166">
        <v>3752.9999999999995</v>
      </c>
      <c r="DD15" s="59">
        <v>0.16239999999999999</v>
      </c>
      <c r="DE15" s="59">
        <v>0.14929999999999999</v>
      </c>
      <c r="DF15" s="59">
        <v>0.16789999999999999</v>
      </c>
      <c r="DG15" s="59">
        <v>4.3099999999999999E-2</v>
      </c>
      <c r="DH15" s="59">
        <v>7.7999999999999996E-3</v>
      </c>
      <c r="DI15" s="59">
        <v>9.35E-2</v>
      </c>
      <c r="DJ15" s="59">
        <v>4.8099999999999997E-2</v>
      </c>
      <c r="DK15" s="59">
        <v>0.3458</v>
      </c>
      <c r="DL15" s="169">
        <v>0</v>
      </c>
      <c r="DM15" s="59">
        <v>8.2100000000000006E-2</v>
      </c>
      <c r="DN15" s="169">
        <v>0</v>
      </c>
      <c r="DO15" s="184">
        <v>1.5329999999999999</v>
      </c>
      <c r="DP15" s="171">
        <f t="shared" si="13"/>
        <v>1.8585</v>
      </c>
      <c r="DQ15" s="59">
        <v>0.10349999999999999</v>
      </c>
      <c r="DR15" s="59">
        <v>0.19750000000000001</v>
      </c>
      <c r="DS15" s="59">
        <v>1.77E-2</v>
      </c>
      <c r="DT15" s="59">
        <v>5.4300000000000001E-2</v>
      </c>
      <c r="DU15" s="59">
        <v>1.7100000000000001E-2</v>
      </c>
      <c r="DV15" s="59">
        <v>2.7199999999999998E-2</v>
      </c>
      <c r="DW15" s="59">
        <v>8.0000000000000002E-3</v>
      </c>
      <c r="DX15" s="169">
        <v>0</v>
      </c>
      <c r="DY15" s="59">
        <v>0.85419999999999996</v>
      </c>
      <c r="DZ15" s="171">
        <f t="shared" si="14"/>
        <v>2.0615780847576679</v>
      </c>
      <c r="EA15" s="59">
        <v>0.8135</v>
      </c>
      <c r="EB15" s="171">
        <f t="shared" si="15"/>
        <v>1.7525507068223725</v>
      </c>
      <c r="EC15" s="59">
        <v>0.1517</v>
      </c>
      <c r="ED15" s="171">
        <f t="shared" si="16"/>
        <v>2.5491100856954514</v>
      </c>
      <c r="EE15" s="59">
        <v>2.9100000000000001E-2</v>
      </c>
      <c r="EF15" s="59">
        <v>4.1000000000000003E-3</v>
      </c>
      <c r="EG15" s="59">
        <v>0.1241</v>
      </c>
      <c r="EH15" s="59">
        <v>0</v>
      </c>
      <c r="EI15" s="155">
        <v>0.12590000000000001</v>
      </c>
      <c r="EJ15" s="172">
        <v>5.1609000000000007</v>
      </c>
      <c r="EK15" s="173"/>
      <c r="EL15" s="59">
        <v>1.5785</v>
      </c>
      <c r="EM15" s="59">
        <v>0.33850000000000002</v>
      </c>
      <c r="EN15" s="59">
        <v>0.17380000000000001</v>
      </c>
      <c r="EO15" s="172">
        <v>7.1258000000000008</v>
      </c>
      <c r="ES15" s="57">
        <f t="shared" si="29"/>
        <v>5.1609000000000007</v>
      </c>
      <c r="ET15" s="57">
        <f t="shared" si="30"/>
        <v>7.1258000000000008</v>
      </c>
      <c r="EU15" s="31"/>
      <c r="EV15" s="61">
        <f t="shared" si="17"/>
        <v>1.6804820864577883</v>
      </c>
      <c r="EW15" s="61">
        <f t="shared" si="18"/>
        <v>1.5978276123382635</v>
      </c>
      <c r="EX15" s="174">
        <v>6.5292000000000003</v>
      </c>
      <c r="EY15" s="174">
        <v>9.2969000000000008</v>
      </c>
      <c r="EZ15" s="158">
        <f t="shared" si="19"/>
        <v>8.6728000000000005</v>
      </c>
      <c r="FA15" s="158">
        <f t="shared" si="20"/>
        <v>11.3858</v>
      </c>
      <c r="FB15" s="158">
        <f>BA15-EX15</f>
        <v>2.1436000000000002</v>
      </c>
      <c r="FC15" s="158">
        <f>BJ15-EY15</f>
        <v>2.0888999999999989</v>
      </c>
      <c r="FD15" s="175">
        <f t="shared" si="52"/>
        <v>0.32830974698278503</v>
      </c>
      <c r="FE15" s="175">
        <f t="shared" si="53"/>
        <v>0.1834653691440214</v>
      </c>
      <c r="FH15" s="174">
        <f t="shared" si="33"/>
        <v>36606.154240000003</v>
      </c>
      <c r="FJ15" s="176">
        <v>1.2564</v>
      </c>
      <c r="FK15" s="176">
        <f t="shared" si="34"/>
        <v>1.3375374772825441</v>
      </c>
      <c r="FL15" s="87">
        <v>1.2983</v>
      </c>
      <c r="FM15" s="177">
        <f t="shared" si="35"/>
        <v>1.2307075501334541</v>
      </c>
      <c r="FO15" s="88">
        <f t="shared" si="21"/>
        <v>36606.154240000003</v>
      </c>
      <c r="FP15" s="79">
        <f t="shared" si="22"/>
        <v>42746.847520000003</v>
      </c>
      <c r="FS15" s="79">
        <f t="shared" si="23"/>
        <v>21783.126720000004</v>
      </c>
      <c r="FT15" s="79">
        <f t="shared" si="24"/>
        <v>26753.103520000004</v>
      </c>
      <c r="FU15" s="79">
        <f t="shared" si="36"/>
        <v>1.6804820864577883</v>
      </c>
      <c r="FV15" s="79">
        <f t="shared" si="36"/>
        <v>1.5978276123382635</v>
      </c>
      <c r="FY15" s="79">
        <f t="shared" si="37"/>
        <v>4044.9939200000008</v>
      </c>
      <c r="FZ15" s="79">
        <f t="shared" si="38"/>
        <v>42746.847520000003</v>
      </c>
      <c r="GB15" s="178">
        <f t="shared" si="39"/>
        <v>466.40000000000009</v>
      </c>
      <c r="GC15" s="178">
        <f t="shared" si="40"/>
        <v>3754.4</v>
      </c>
      <c r="GG15" s="14">
        <v>6.8293000000000008</v>
      </c>
      <c r="GH15" s="175">
        <f t="shared" si="41"/>
        <v>1.2699398181365587</v>
      </c>
      <c r="GI15" s="14">
        <v>9.8414999999999999</v>
      </c>
      <c r="GJ15" s="175">
        <f t="shared" si="42"/>
        <v>1.1569171366153532</v>
      </c>
      <c r="GK15" s="175">
        <f t="shared" si="43"/>
        <v>0.11302268152120543</v>
      </c>
      <c r="GN15" s="14">
        <v>8.7080000000000002</v>
      </c>
      <c r="GO15" s="175">
        <f t="shared" si="44"/>
        <v>1.2750940799203432</v>
      </c>
      <c r="GP15" s="179">
        <f t="shared" si="45"/>
        <v>0.99595774000918702</v>
      </c>
      <c r="GQ15" s="14">
        <v>11.108700000000001</v>
      </c>
      <c r="GR15" s="175">
        <f t="shared" si="46"/>
        <v>1.1287608596250573</v>
      </c>
      <c r="GS15" s="175">
        <f t="shared" si="47"/>
        <v>1.0249444129376073</v>
      </c>
      <c r="GV15" s="32">
        <f t="shared" si="25"/>
        <v>4044.9939200000008</v>
      </c>
      <c r="GW15" s="32">
        <f t="shared" si="26"/>
        <v>42746.847520000003</v>
      </c>
      <c r="GX15" s="180">
        <f t="shared" si="48"/>
        <v>46791.841440000004</v>
      </c>
      <c r="GZ15" s="32">
        <f t="shared" si="49"/>
        <v>8.6728000000000005</v>
      </c>
      <c r="HA15" s="32">
        <f t="shared" si="50"/>
        <v>11.3858</v>
      </c>
      <c r="HB15" s="32">
        <f t="shared" si="51"/>
        <v>11.08601247156937</v>
      </c>
    </row>
    <row r="16" spans="1:210" ht="19.2" customHeight="1" x14ac:dyDescent="0.3">
      <c r="A16" s="50">
        <v>8</v>
      </c>
      <c r="B16" s="51" t="s">
        <v>473</v>
      </c>
      <c r="C16" s="150" t="s">
        <v>459</v>
      </c>
      <c r="D16" s="52">
        <v>9</v>
      </c>
      <c r="E16" s="52">
        <v>3</v>
      </c>
      <c r="F16" s="63">
        <v>143</v>
      </c>
      <c r="G16" s="54" t="s">
        <v>180</v>
      </c>
      <c r="H16" s="181" t="s">
        <v>179</v>
      </c>
      <c r="I16" s="55">
        <f t="shared" si="27"/>
        <v>686.40000000000055</v>
      </c>
      <c r="J16" s="55">
        <f t="shared" si="0"/>
        <v>5486.66</v>
      </c>
      <c r="K16" s="55">
        <f t="shared" si="1"/>
        <v>0</v>
      </c>
      <c r="L16" s="56">
        <v>6173.06</v>
      </c>
      <c r="M16" s="56">
        <v>6173.06</v>
      </c>
      <c r="N16" s="56">
        <f t="shared" si="28"/>
        <v>686.40000000000055</v>
      </c>
      <c r="O16" s="56">
        <v>0</v>
      </c>
      <c r="P16" s="56">
        <v>0</v>
      </c>
      <c r="Q16" s="55"/>
      <c r="R16" s="55">
        <v>6173.06</v>
      </c>
      <c r="S16" s="55"/>
      <c r="T16" s="55">
        <v>5486.66</v>
      </c>
      <c r="U16" s="152">
        <v>686.40000000000055</v>
      </c>
      <c r="V16" s="57">
        <v>0.1239</v>
      </c>
      <c r="W16" s="57">
        <v>9.3600000000000003E-2</v>
      </c>
      <c r="X16" s="153">
        <v>0.2757</v>
      </c>
      <c r="Y16" s="153">
        <v>7.5700000000000003E-2</v>
      </c>
      <c r="Z16" s="57">
        <v>1.6199999999999999E-2</v>
      </c>
      <c r="AA16" s="57">
        <v>0.24940000000000001</v>
      </c>
      <c r="AB16" s="57">
        <v>0</v>
      </c>
      <c r="AC16" s="153">
        <v>0.63149999999999995</v>
      </c>
      <c r="AD16" s="57">
        <v>0.1845</v>
      </c>
      <c r="AE16" s="57">
        <v>0</v>
      </c>
      <c r="AF16" s="57">
        <v>2.0459000000000001</v>
      </c>
      <c r="AG16" s="57">
        <v>0.16400000000000001</v>
      </c>
      <c r="AH16" s="57">
        <v>0.33579999999999999</v>
      </c>
      <c r="AI16" s="57">
        <v>0.1217</v>
      </c>
      <c r="AJ16" s="57">
        <v>0.1255</v>
      </c>
      <c r="AK16" s="57">
        <v>3.15E-2</v>
      </c>
      <c r="AL16" s="57">
        <v>9.8299999999999998E-2</v>
      </c>
      <c r="AM16" s="57">
        <v>3.0200000000000001E-2</v>
      </c>
      <c r="AN16" s="57">
        <v>0</v>
      </c>
      <c r="AO16" s="57">
        <v>1.1572</v>
      </c>
      <c r="AP16" s="153">
        <v>1.5705</v>
      </c>
      <c r="AQ16" s="153">
        <v>8.3500000000000005E-2</v>
      </c>
      <c r="AR16" s="57">
        <v>0.39889999999999998</v>
      </c>
      <c r="AS16" s="57">
        <v>3.7400000000000003E-2</v>
      </c>
      <c r="AT16" s="153">
        <v>6.1000000000000004E-3</v>
      </c>
      <c r="AU16" s="153">
        <v>0.40250000000000002</v>
      </c>
      <c r="AV16" s="153">
        <v>0</v>
      </c>
      <c r="AW16" s="154">
        <v>8.259500000000001</v>
      </c>
      <c r="AX16" s="58">
        <v>0.41299999999999998</v>
      </c>
      <c r="AY16" s="155">
        <f t="shared" si="2"/>
        <v>0.4088</v>
      </c>
      <c r="AZ16" s="155">
        <f t="shared" si="3"/>
        <v>4.1999999999999815E-3</v>
      </c>
      <c r="BA16" s="14">
        <v>8.6725000000000012</v>
      </c>
      <c r="BB16" s="59">
        <f>BA16-'[1]Тариф 26 свод без  ПДВ'!AU16</f>
        <v>5.1000000000005485E-3</v>
      </c>
      <c r="BC16" s="57">
        <v>1.6978</v>
      </c>
      <c r="BD16" s="57">
        <v>3.2800000000000003E-2</v>
      </c>
      <c r="BE16" s="57">
        <v>0.82920000000000005</v>
      </c>
      <c r="BF16" s="156">
        <v>10.8193</v>
      </c>
      <c r="BG16" s="59">
        <v>0.54100000000000004</v>
      </c>
      <c r="BH16" s="59"/>
      <c r="BI16" s="59"/>
      <c r="BJ16" s="14">
        <v>11.360300000000001</v>
      </c>
      <c r="BK16" s="60"/>
      <c r="BL16" s="60">
        <v>4.7304000000000013</v>
      </c>
      <c r="BM16" s="60">
        <v>0.23649999999999999</v>
      </c>
      <c r="BN16" s="14">
        <v>4.9669000000000016</v>
      </c>
      <c r="BO16" s="14"/>
      <c r="BP16" s="157"/>
      <c r="BQ16" s="158">
        <f>BJ16-'[1]Тариф 26 свод без  ПДВ'!BG16</f>
        <v>1.200000000000756E-3</v>
      </c>
      <c r="BR16" s="77">
        <f>'[1]Тариф 26 свод без  ПДВ'!BG16</f>
        <v>11.3591</v>
      </c>
      <c r="BS16" s="159">
        <f t="shared" si="4"/>
        <v>1.200000000000756E-3</v>
      </c>
      <c r="BU16" s="77">
        <f>'[1]Тариф 26 свод без  ПДВ'!AU16</f>
        <v>8.6674000000000007</v>
      </c>
      <c r="BV16" s="159">
        <f t="shared" si="5"/>
        <v>5.1000000000005485E-3</v>
      </c>
      <c r="BX16" s="95">
        <v>4.2427000000000001</v>
      </c>
      <c r="BY16" s="95">
        <v>5.8557000000000006</v>
      </c>
      <c r="BZ16" s="95"/>
      <c r="CA16" s="182">
        <f t="shared" si="6"/>
        <v>2.044099276404177</v>
      </c>
      <c r="CB16" s="182">
        <f t="shared" si="7"/>
        <v>1.9400413272537869</v>
      </c>
      <c r="CD16" s="160">
        <f t="shared" si="8"/>
        <v>686.40000000000055</v>
      </c>
      <c r="CE16" s="160">
        <f t="shared" si="9"/>
        <v>5486.66</v>
      </c>
      <c r="CF16" s="77">
        <f t="shared" si="10"/>
        <v>5952.8040000000055</v>
      </c>
      <c r="CG16" s="77">
        <f t="shared" si="11"/>
        <v>62330.103598000002</v>
      </c>
      <c r="CI16" s="160">
        <f>'[1]0 СВОД'!AYY31</f>
        <v>68282.743347122174</v>
      </c>
      <c r="CJ16" s="77">
        <f t="shared" si="12"/>
        <v>819392.92016546614</v>
      </c>
      <c r="CM16" s="161">
        <v>8</v>
      </c>
      <c r="CN16" s="183" t="s">
        <v>474</v>
      </c>
      <c r="CO16" s="163">
        <v>9</v>
      </c>
      <c r="CP16" s="163">
        <v>3</v>
      </c>
      <c r="CQ16" s="164" t="s">
        <v>180</v>
      </c>
      <c r="CR16" s="165" t="s">
        <v>179</v>
      </c>
      <c r="CS16" s="166">
        <v>679.10000000000036</v>
      </c>
      <c r="CT16" s="166">
        <v>5482.2199999999993</v>
      </c>
      <c r="CU16" s="167">
        <v>0</v>
      </c>
      <c r="CV16" s="168">
        <v>6161.32</v>
      </c>
      <c r="CW16" s="166">
        <v>6161.32</v>
      </c>
      <c r="CX16" s="167">
        <v>0</v>
      </c>
      <c r="CY16" s="166">
        <v>0</v>
      </c>
      <c r="CZ16" s="166"/>
      <c r="DA16" s="166">
        <v>6161.32</v>
      </c>
      <c r="DB16" s="166"/>
      <c r="DC16" s="166">
        <v>5482.2199999999993</v>
      </c>
      <c r="DD16" s="59">
        <v>0.12189999999999999</v>
      </c>
      <c r="DE16" s="59">
        <v>0.15240000000000001</v>
      </c>
      <c r="DF16" s="59">
        <v>0.1817</v>
      </c>
      <c r="DG16" s="59">
        <v>4.4699999999999997E-2</v>
      </c>
      <c r="DH16" s="59">
        <v>6.1000000000000004E-3</v>
      </c>
      <c r="DI16" s="59">
        <v>0.10929999999999999</v>
      </c>
      <c r="DJ16" s="59">
        <v>4.8099999999999997E-2</v>
      </c>
      <c r="DK16" s="59">
        <v>0.3458</v>
      </c>
      <c r="DL16" s="169">
        <v>0</v>
      </c>
      <c r="DM16" s="59">
        <v>0.1125</v>
      </c>
      <c r="DN16" s="169">
        <v>0</v>
      </c>
      <c r="DO16" s="184">
        <v>1.5325</v>
      </c>
      <c r="DP16" s="171">
        <f t="shared" si="13"/>
        <v>2.0459000000000001</v>
      </c>
      <c r="DQ16" s="59">
        <v>7.9100000000000004E-2</v>
      </c>
      <c r="DR16" s="59">
        <v>0.2016</v>
      </c>
      <c r="DS16" s="59">
        <v>3.1399999999999997E-2</v>
      </c>
      <c r="DT16" s="59">
        <v>5.9200000000000003E-2</v>
      </c>
      <c r="DU16" s="59">
        <v>1.3299999999999999E-2</v>
      </c>
      <c r="DV16" s="59">
        <v>3.4299999999999997E-2</v>
      </c>
      <c r="DW16" s="59">
        <v>7.6E-3</v>
      </c>
      <c r="DX16" s="169">
        <v>0</v>
      </c>
      <c r="DY16" s="59">
        <v>0.60260000000000002</v>
      </c>
      <c r="DZ16" s="171">
        <f t="shared" si="14"/>
        <v>1.9203451709259873</v>
      </c>
      <c r="EA16" s="59">
        <v>0.93110000000000004</v>
      </c>
      <c r="EB16" s="171">
        <f t="shared" si="15"/>
        <v>1.7763935130490816</v>
      </c>
      <c r="EC16" s="59">
        <v>0.2127</v>
      </c>
      <c r="ED16" s="171">
        <f t="shared" si="16"/>
        <v>1.8754113775270334</v>
      </c>
      <c r="EE16" s="59">
        <v>2.87E-2</v>
      </c>
      <c r="EF16" s="59">
        <v>4.0000000000000001E-3</v>
      </c>
      <c r="EG16" s="59">
        <v>0.32179999999999997</v>
      </c>
      <c r="EH16" s="59">
        <v>0</v>
      </c>
      <c r="EI16" s="155">
        <v>0.12959999999999999</v>
      </c>
      <c r="EJ16" s="172">
        <v>5.3119999999999985</v>
      </c>
      <c r="EK16" s="173"/>
      <c r="EL16" s="59">
        <v>1.6209</v>
      </c>
      <c r="EM16" s="59">
        <v>0.2465</v>
      </c>
      <c r="EN16" s="59">
        <v>0.1762</v>
      </c>
      <c r="EO16" s="172">
        <v>7.2259999999999982</v>
      </c>
      <c r="ES16" s="57">
        <f t="shared" si="29"/>
        <v>5.3119999999999985</v>
      </c>
      <c r="ET16" s="57">
        <f t="shared" si="30"/>
        <v>7.2259999999999982</v>
      </c>
      <c r="EU16" s="31"/>
      <c r="EV16" s="61">
        <f t="shared" si="17"/>
        <v>1.6326242469879524</v>
      </c>
      <c r="EW16" s="61">
        <f t="shared" si="18"/>
        <v>1.5721422640464993</v>
      </c>
      <c r="EX16" s="185">
        <v>6.7404000000000002</v>
      </c>
      <c r="EY16" s="174">
        <v>9.4136000000000006</v>
      </c>
      <c r="EZ16" s="158">
        <f t="shared" si="19"/>
        <v>8.6725000000000012</v>
      </c>
      <c r="FA16" s="158">
        <f t="shared" si="20"/>
        <v>11.360300000000001</v>
      </c>
      <c r="FB16" s="158">
        <f>BA16-EX16</f>
        <v>1.932100000000001</v>
      </c>
      <c r="FC16" s="158">
        <f>BJ16-EY16</f>
        <v>1.9466999999999999</v>
      </c>
      <c r="FD16" s="175">
        <f t="shared" si="52"/>
        <v>0.2866447095127887</v>
      </c>
      <c r="FE16" s="175">
        <f t="shared" si="53"/>
        <v>0.17135991126994884</v>
      </c>
      <c r="FH16" s="174">
        <f t="shared" si="33"/>
        <v>53535.862850000012</v>
      </c>
      <c r="FJ16" s="176">
        <v>1.2553000000000001</v>
      </c>
      <c r="FK16" s="176">
        <f t="shared" si="34"/>
        <v>1.3005849175399922</v>
      </c>
      <c r="FL16" s="87">
        <v>1.2927999999999999</v>
      </c>
      <c r="FM16" s="177">
        <f t="shared" si="35"/>
        <v>1.216075389887453</v>
      </c>
      <c r="FO16" s="88">
        <f t="shared" si="21"/>
        <v>53535.862850000012</v>
      </c>
      <c r="FP16" s="79">
        <f t="shared" si="22"/>
        <v>62330.103598000002</v>
      </c>
      <c r="FS16" s="79">
        <f t="shared" si="23"/>
        <v>32791.294719999991</v>
      </c>
      <c r="FT16" s="79">
        <f t="shared" si="24"/>
        <v>39646.605159999992</v>
      </c>
      <c r="FU16" s="79">
        <f t="shared" si="36"/>
        <v>1.6326242469879526</v>
      </c>
      <c r="FV16" s="79">
        <f t="shared" si="36"/>
        <v>1.572142264046499</v>
      </c>
      <c r="FY16" s="79">
        <f t="shared" si="37"/>
        <v>5952.8040000000055</v>
      </c>
      <c r="FZ16" s="79">
        <f t="shared" si="38"/>
        <v>62330.103598000002</v>
      </c>
      <c r="GB16" s="178">
        <f t="shared" si="39"/>
        <v>686.40000000000055</v>
      </c>
      <c r="GC16" s="178">
        <f t="shared" si="40"/>
        <v>5486.66</v>
      </c>
      <c r="GG16" s="14">
        <v>6.9057000000000004</v>
      </c>
      <c r="GH16" s="175">
        <f t="shared" si="41"/>
        <v>1.2558466194592874</v>
      </c>
      <c r="GI16" s="14">
        <v>9.5849000000000011</v>
      </c>
      <c r="GJ16" s="175">
        <f t="shared" si="42"/>
        <v>1.1852288495445962</v>
      </c>
      <c r="GK16" s="175">
        <f t="shared" si="43"/>
        <v>7.0617769914691264E-2</v>
      </c>
      <c r="GN16" s="14">
        <v>8.5513999999999992</v>
      </c>
      <c r="GO16" s="175">
        <f t="shared" si="44"/>
        <v>1.2383103812792329</v>
      </c>
      <c r="GP16" s="179">
        <f t="shared" si="45"/>
        <v>1.0141614238604209</v>
      </c>
      <c r="GQ16" s="14">
        <v>10.698099999999998</v>
      </c>
      <c r="GR16" s="175">
        <f t="shared" si="46"/>
        <v>1.1161410134691021</v>
      </c>
      <c r="GS16" s="175">
        <f t="shared" si="47"/>
        <v>1.0618988418504223</v>
      </c>
      <c r="GV16" s="32">
        <f t="shared" si="25"/>
        <v>5952.8040000000055</v>
      </c>
      <c r="GW16" s="32">
        <f t="shared" si="26"/>
        <v>62330.103598000002</v>
      </c>
      <c r="GX16" s="180">
        <f t="shared" si="48"/>
        <v>68282.907598000005</v>
      </c>
      <c r="GZ16" s="32">
        <f t="shared" si="49"/>
        <v>8.6725000000000012</v>
      </c>
      <c r="HA16" s="32">
        <f t="shared" si="50"/>
        <v>11.360300000000001</v>
      </c>
      <c r="HB16" s="32">
        <f t="shared" si="51"/>
        <v>11.061435916385067</v>
      </c>
    </row>
    <row r="17" spans="1:210" ht="19.2" customHeight="1" x14ac:dyDescent="0.3">
      <c r="A17" s="50">
        <v>9</v>
      </c>
      <c r="B17" s="51" t="s">
        <v>475</v>
      </c>
      <c r="C17" s="150" t="s">
        <v>459</v>
      </c>
      <c r="D17" s="52">
        <v>2</v>
      </c>
      <c r="E17" s="52">
        <v>2</v>
      </c>
      <c r="F17" s="187">
        <v>10</v>
      </c>
      <c r="G17" s="54" t="s">
        <v>7</v>
      </c>
      <c r="H17" s="181" t="s">
        <v>8</v>
      </c>
      <c r="I17" s="55">
        <f t="shared" si="27"/>
        <v>405.2</v>
      </c>
      <c r="J17" s="55">
        <f t="shared" si="0"/>
        <v>0</v>
      </c>
      <c r="K17" s="55">
        <f t="shared" si="1"/>
        <v>230.2</v>
      </c>
      <c r="L17" s="56">
        <v>635.4</v>
      </c>
      <c r="M17" s="56">
        <v>405.2</v>
      </c>
      <c r="N17" s="56">
        <f t="shared" si="28"/>
        <v>405.2</v>
      </c>
      <c r="O17" s="56">
        <v>230.2</v>
      </c>
      <c r="P17" s="56">
        <v>0</v>
      </c>
      <c r="Q17" s="55"/>
      <c r="R17" s="55">
        <v>635.4</v>
      </c>
      <c r="S17" s="55"/>
      <c r="T17" s="55">
        <v>0</v>
      </c>
      <c r="U17" s="152">
        <v>635.4</v>
      </c>
      <c r="V17" s="12">
        <v>0.22509999999999999</v>
      </c>
      <c r="W17" s="12">
        <v>0.104</v>
      </c>
      <c r="X17" s="12">
        <v>0</v>
      </c>
      <c r="Y17" s="12">
        <v>0</v>
      </c>
      <c r="Z17" s="12">
        <v>0</v>
      </c>
      <c r="AA17" s="12">
        <v>0.30590000000000001</v>
      </c>
      <c r="AB17" s="12">
        <v>0</v>
      </c>
      <c r="AC17" s="12">
        <v>0.61070000000000002</v>
      </c>
      <c r="AD17" s="12">
        <v>0.59740000000000004</v>
      </c>
      <c r="AE17" s="12">
        <v>0</v>
      </c>
      <c r="AF17" s="12">
        <v>1.3346</v>
      </c>
      <c r="AG17" s="12">
        <v>0.161</v>
      </c>
      <c r="AH17" s="12">
        <v>0.53390000000000004</v>
      </c>
      <c r="AI17" s="12">
        <v>0</v>
      </c>
      <c r="AJ17" s="12">
        <v>0</v>
      </c>
      <c r="AK17" s="12">
        <v>0</v>
      </c>
      <c r="AL17" s="12">
        <v>8.8999999999999996E-2</v>
      </c>
      <c r="AM17" s="12">
        <v>0.04</v>
      </c>
      <c r="AN17" s="12">
        <v>0</v>
      </c>
      <c r="AO17" s="12">
        <v>3.73</v>
      </c>
      <c r="AP17" s="12">
        <v>1.5455000000000001</v>
      </c>
      <c r="AQ17" s="12">
        <v>0</v>
      </c>
      <c r="AR17" s="12">
        <v>0.75380000000000003</v>
      </c>
      <c r="AS17" s="12">
        <v>0</v>
      </c>
      <c r="AT17" s="12">
        <v>0</v>
      </c>
      <c r="AU17" s="12">
        <v>0.28100000000000003</v>
      </c>
      <c r="AV17" s="12">
        <v>0</v>
      </c>
      <c r="AW17" s="188">
        <v>10.311900000000001</v>
      </c>
      <c r="AX17" s="13">
        <v>0.51559999999999995</v>
      </c>
      <c r="AY17" s="189">
        <f t="shared" si="2"/>
        <v>0.51559999999999995</v>
      </c>
      <c r="AZ17" s="189">
        <f t="shared" si="3"/>
        <v>0</v>
      </c>
      <c r="BA17" s="14">
        <v>10.827500000000001</v>
      </c>
      <c r="BB17" s="190">
        <f>BA17-'[1]Тариф 26 свод без  ПДВ'!AU17</f>
        <v>-5.9999999999860165E-4</v>
      </c>
      <c r="BC17" s="12">
        <v>0</v>
      </c>
      <c r="BD17" s="12">
        <v>0</v>
      </c>
      <c r="BE17" s="12">
        <v>0</v>
      </c>
      <c r="BF17" s="191">
        <v>10.311900000000001</v>
      </c>
      <c r="BG17" s="190">
        <v>0.51559999999999995</v>
      </c>
      <c r="BH17" s="190"/>
      <c r="BI17" s="190"/>
      <c r="BJ17" s="14">
        <v>10.827500000000001</v>
      </c>
      <c r="BK17" s="60"/>
      <c r="BL17" s="60">
        <v>4.0015999999999998</v>
      </c>
      <c r="BM17" s="60">
        <v>0.2001</v>
      </c>
      <c r="BN17" s="14">
        <v>4.2016999999999998</v>
      </c>
      <c r="BO17" s="14"/>
      <c r="BP17" s="157"/>
      <c r="BQ17" s="158">
        <f>BJ17-'[1]Тариф 26 свод без  ПДВ'!BG17</f>
        <v>-5.9999999999860165E-4</v>
      </c>
      <c r="BR17" s="77">
        <f>'[1]Тариф 26 свод без  ПДВ'!BG17</f>
        <v>10.828099999999999</v>
      </c>
      <c r="BS17" s="159">
        <f t="shared" si="4"/>
        <v>-5.9999999999860165E-4</v>
      </c>
      <c r="BU17" s="77">
        <f>'[1]Тариф 26 свод без  ПДВ'!AU17</f>
        <v>10.828099999999999</v>
      </c>
      <c r="BV17" s="159">
        <f t="shared" si="5"/>
        <v>-5.9999999999860165E-4</v>
      </c>
      <c r="BX17" s="95">
        <v>4.8227000000000002</v>
      </c>
      <c r="BY17" s="95">
        <v>4.8227000000000002</v>
      </c>
      <c r="BZ17" s="95"/>
      <c r="CA17" s="192">
        <f t="shared" si="6"/>
        <v>2.24511165944388</v>
      </c>
      <c r="CB17" s="192">
        <f t="shared" si="7"/>
        <v>2.24511165944388</v>
      </c>
      <c r="CI17" s="160">
        <f>'[1]0 СВОД'!AYY32</f>
        <v>5354.5947240835903</v>
      </c>
      <c r="CJ17" s="77">
        <f t="shared" si="12"/>
        <v>64255.136689003084</v>
      </c>
      <c r="CM17" s="161">
        <v>9</v>
      </c>
      <c r="CN17" s="193" t="s">
        <v>476</v>
      </c>
      <c r="CO17" s="163">
        <v>2</v>
      </c>
      <c r="CP17" s="163">
        <v>2</v>
      </c>
      <c r="CQ17" s="164" t="s">
        <v>7</v>
      </c>
      <c r="CR17" s="165" t="s">
        <v>8</v>
      </c>
      <c r="CS17" s="166">
        <v>404.90000000000003</v>
      </c>
      <c r="CT17" s="166">
        <v>0</v>
      </c>
      <c r="CU17" s="167">
        <v>230.2</v>
      </c>
      <c r="CV17" s="168">
        <v>635.1</v>
      </c>
      <c r="CW17" s="166">
        <v>404.90000000000003</v>
      </c>
      <c r="CX17" s="167">
        <v>230.2</v>
      </c>
      <c r="CY17" s="166">
        <v>0</v>
      </c>
      <c r="CZ17" s="166"/>
      <c r="DA17" s="166">
        <v>635.1</v>
      </c>
      <c r="DB17" s="166"/>
      <c r="DC17" s="166">
        <v>0</v>
      </c>
      <c r="DD17" s="59">
        <v>0.25340000000000001</v>
      </c>
      <c r="DE17" s="59">
        <v>0.28160000000000002</v>
      </c>
      <c r="DF17" s="59">
        <v>0</v>
      </c>
      <c r="DG17" s="59">
        <v>0</v>
      </c>
      <c r="DH17" s="59">
        <v>0</v>
      </c>
      <c r="DI17" s="59">
        <v>0.1706</v>
      </c>
      <c r="DJ17" s="59">
        <v>4.8099999999999997E-2</v>
      </c>
      <c r="DK17" s="59">
        <v>0.3337</v>
      </c>
      <c r="DL17" s="169">
        <v>0</v>
      </c>
      <c r="DM17" s="59">
        <v>0.36370000000000002</v>
      </c>
      <c r="DN17" s="169">
        <v>0</v>
      </c>
      <c r="DO17" s="194">
        <v>0.5948</v>
      </c>
      <c r="DP17" s="171">
        <f t="shared" si="13"/>
        <v>1.3346</v>
      </c>
      <c r="DQ17" s="59">
        <v>0.1651</v>
      </c>
      <c r="DR17" s="59">
        <v>0.36770000000000003</v>
      </c>
      <c r="DS17" s="59">
        <v>0</v>
      </c>
      <c r="DT17" s="59">
        <v>0</v>
      </c>
      <c r="DU17" s="59">
        <v>0</v>
      </c>
      <c r="DV17" s="59">
        <v>3.1099999999999999E-2</v>
      </c>
      <c r="DW17" s="59">
        <v>1.2200000000000001E-2</v>
      </c>
      <c r="DX17" s="169">
        <v>0</v>
      </c>
      <c r="DY17" s="194">
        <v>1.6778</v>
      </c>
      <c r="DZ17" s="171">
        <f t="shared" si="14"/>
        <v>2.2231493622601026</v>
      </c>
      <c r="EA17" s="170">
        <v>0.85740000000000005</v>
      </c>
      <c r="EB17" s="171">
        <f t="shared" si="15"/>
        <v>1.8025425705621647</v>
      </c>
      <c r="EC17" s="59">
        <v>0.42949999999999999</v>
      </c>
      <c r="ED17" s="171">
        <f t="shared" si="16"/>
        <v>1.7550640279394645</v>
      </c>
      <c r="EE17" s="169">
        <v>0</v>
      </c>
      <c r="EF17" s="169">
        <v>0</v>
      </c>
      <c r="EG17" s="59">
        <v>0.29470000000000002</v>
      </c>
      <c r="EH17" s="59">
        <v>0</v>
      </c>
      <c r="EI17" s="195">
        <v>0.14699999999999999</v>
      </c>
      <c r="EJ17" s="172">
        <v>6.0284000000000004</v>
      </c>
      <c r="EK17" s="173"/>
      <c r="EL17" s="169">
        <v>0</v>
      </c>
      <c r="EM17" s="169">
        <v>0</v>
      </c>
      <c r="EN17" s="59"/>
      <c r="EO17" s="172"/>
      <c r="ES17" s="57">
        <f>EJ17</f>
        <v>6.0284000000000004</v>
      </c>
      <c r="ET17" s="57">
        <f t="shared" si="30"/>
        <v>0</v>
      </c>
      <c r="EU17" s="31"/>
      <c r="EV17" s="61">
        <f t="shared" si="17"/>
        <v>1.796081879105567</v>
      </c>
      <c r="EW17" s="61"/>
      <c r="EX17" s="159">
        <f>EY17/1.05</f>
        <v>-2.3544167619047616</v>
      </c>
      <c r="EY17" s="32">
        <f>ES17*1.386-BJ17</f>
        <v>-2.4721375999999999</v>
      </c>
      <c r="EZ17" s="158">
        <f t="shared" si="19"/>
        <v>10.827500000000001</v>
      </c>
      <c r="FA17" s="159">
        <f t="shared" si="20"/>
        <v>10.827500000000001</v>
      </c>
      <c r="FB17" s="158">
        <f>ES17*1.34</f>
        <v>8.0780560000000019</v>
      </c>
      <c r="FC17" s="158">
        <f>EZ17-FB17</f>
        <v>2.7494439999999987</v>
      </c>
      <c r="FD17" s="158"/>
      <c r="FE17" s="158"/>
      <c r="FF17" s="158"/>
      <c r="FG17" s="174"/>
      <c r="FH17" s="174">
        <f t="shared" si="33"/>
        <v>6879.7934999999998</v>
      </c>
      <c r="FI17" s="174"/>
      <c r="FJ17" s="87">
        <v>1.8476999999999999</v>
      </c>
      <c r="FK17" s="176">
        <f t="shared" si="34"/>
        <v>0.97206358126620507</v>
      </c>
      <c r="FM17" s="87" t="e">
        <f t="shared" si="35"/>
        <v>#DIV/0!</v>
      </c>
      <c r="FO17" s="88">
        <f t="shared" si="21"/>
        <v>6879.7934999999998</v>
      </c>
      <c r="FP17" s="79">
        <f t="shared" si="22"/>
        <v>0</v>
      </c>
      <c r="FS17" s="79">
        <f t="shared" si="23"/>
        <v>3830.4453600000002</v>
      </c>
      <c r="FT17" s="79">
        <f t="shared" si="24"/>
        <v>0</v>
      </c>
      <c r="FU17" s="79">
        <f t="shared" si="36"/>
        <v>1.7960818791055668</v>
      </c>
      <c r="FV17" s="79" t="e">
        <f t="shared" si="36"/>
        <v>#DIV/0!</v>
      </c>
      <c r="FY17" s="79">
        <f t="shared" si="37"/>
        <v>6879.7934999999998</v>
      </c>
      <c r="FZ17" s="79">
        <f t="shared" si="38"/>
        <v>0</v>
      </c>
      <c r="GB17" s="178">
        <f t="shared" si="39"/>
        <v>635.4</v>
      </c>
      <c r="GC17" s="178">
        <f t="shared" si="40"/>
        <v>0</v>
      </c>
      <c r="GE17" s="196"/>
      <c r="GF17" s="196"/>
      <c r="GG17" s="14">
        <v>8.5260000000000016</v>
      </c>
      <c r="GH17" s="197">
        <f t="shared" si="41"/>
        <v>1.2699390100867931</v>
      </c>
      <c r="GI17" s="14">
        <v>8.5260000000000016</v>
      </c>
      <c r="GJ17" s="197">
        <f t="shared" si="42"/>
        <v>1.2699390100867931</v>
      </c>
      <c r="GK17" s="197">
        <f>GH17-GJ17</f>
        <v>0</v>
      </c>
      <c r="GL17" s="196"/>
      <c r="GM17" s="196"/>
      <c r="GN17" s="14">
        <v>11.0992</v>
      </c>
      <c r="GO17" s="197">
        <f t="shared" si="44"/>
        <v>1.3018062397372741</v>
      </c>
      <c r="GP17" s="198">
        <f t="shared" si="45"/>
        <v>0.97552075825284712</v>
      </c>
      <c r="GQ17" s="14">
        <v>11.0992</v>
      </c>
      <c r="GR17" s="197">
        <f t="shared" si="46"/>
        <v>1.3018062397372741</v>
      </c>
      <c r="GS17" s="197">
        <f t="shared" si="47"/>
        <v>0.97552075825284712</v>
      </c>
      <c r="GT17" s="196"/>
      <c r="GV17" s="32">
        <f t="shared" si="25"/>
        <v>6879.7934999999998</v>
      </c>
      <c r="GW17" s="32">
        <f t="shared" si="26"/>
        <v>0</v>
      </c>
      <c r="GX17" s="180">
        <f t="shared" si="48"/>
        <v>6879.7934999999998</v>
      </c>
      <c r="GZ17" s="32">
        <f t="shared" si="49"/>
        <v>10.827500000000001</v>
      </c>
      <c r="HA17" s="32" t="e">
        <f t="shared" si="50"/>
        <v>#DIV/0!</v>
      </c>
      <c r="HB17" s="32">
        <f t="shared" si="51"/>
        <v>10.827500000000001</v>
      </c>
    </row>
    <row r="18" spans="1:210" ht="19.2" customHeight="1" x14ac:dyDescent="0.3">
      <c r="A18" s="50">
        <v>10</v>
      </c>
      <c r="B18" s="51" t="s">
        <v>477</v>
      </c>
      <c r="C18" s="150" t="s">
        <v>459</v>
      </c>
      <c r="D18" s="52">
        <v>9</v>
      </c>
      <c r="E18" s="52">
        <v>3</v>
      </c>
      <c r="F18" s="63">
        <v>106</v>
      </c>
      <c r="G18" s="54" t="s">
        <v>181</v>
      </c>
      <c r="H18" s="181" t="s">
        <v>179</v>
      </c>
      <c r="I18" s="55">
        <f t="shared" si="27"/>
        <v>534.80000000000041</v>
      </c>
      <c r="J18" s="55">
        <f t="shared" si="0"/>
        <v>5736.2</v>
      </c>
      <c r="K18" s="55">
        <f t="shared" si="1"/>
        <v>166.8</v>
      </c>
      <c r="L18" s="56">
        <v>6437.8</v>
      </c>
      <c r="M18" s="56">
        <v>6271</v>
      </c>
      <c r="N18" s="56">
        <f t="shared" si="28"/>
        <v>534.80000000000018</v>
      </c>
      <c r="O18" s="56">
        <v>166.8</v>
      </c>
      <c r="P18" s="56">
        <v>0</v>
      </c>
      <c r="Q18" s="55"/>
      <c r="R18" s="55">
        <v>6437.8</v>
      </c>
      <c r="S18" s="55"/>
      <c r="T18" s="55">
        <v>5736.2</v>
      </c>
      <c r="U18" s="152">
        <v>701.60000000000036</v>
      </c>
      <c r="V18" s="57">
        <v>0.18060000000000001</v>
      </c>
      <c r="W18" s="57">
        <v>8.9800000000000005E-2</v>
      </c>
      <c r="X18" s="153">
        <v>0.27389999999999998</v>
      </c>
      <c r="Y18" s="153">
        <v>7.4800000000000005E-2</v>
      </c>
      <c r="Z18" s="57">
        <v>2.0500000000000001E-2</v>
      </c>
      <c r="AA18" s="57">
        <v>0.2414</v>
      </c>
      <c r="AB18" s="57">
        <v>0</v>
      </c>
      <c r="AC18" s="153">
        <v>0.63149999999999995</v>
      </c>
      <c r="AD18" s="57">
        <v>0.13020000000000001</v>
      </c>
      <c r="AE18" s="57">
        <v>0</v>
      </c>
      <c r="AF18" s="57">
        <v>1.782</v>
      </c>
      <c r="AG18" s="57">
        <v>0.2341</v>
      </c>
      <c r="AH18" s="57">
        <v>0.32200000000000001</v>
      </c>
      <c r="AI18" s="57">
        <v>0.1207</v>
      </c>
      <c r="AJ18" s="57">
        <v>0.12</v>
      </c>
      <c r="AK18" s="57">
        <v>3.9800000000000002E-2</v>
      </c>
      <c r="AL18" s="57">
        <v>9.5600000000000004E-2</v>
      </c>
      <c r="AM18" s="57">
        <v>0.03</v>
      </c>
      <c r="AN18" s="57">
        <v>0</v>
      </c>
      <c r="AO18" s="57">
        <v>1.8917999999999999</v>
      </c>
      <c r="AP18" s="153">
        <v>1.3754999999999999</v>
      </c>
      <c r="AQ18" s="153">
        <v>7.8899999999999998E-2</v>
      </c>
      <c r="AR18" s="57">
        <v>0.28520000000000001</v>
      </c>
      <c r="AS18" s="57">
        <v>3.7600000000000001E-2</v>
      </c>
      <c r="AT18" s="153">
        <v>6.1000000000000004E-3</v>
      </c>
      <c r="AU18" s="153">
        <v>0.19400000000000001</v>
      </c>
      <c r="AV18" s="153">
        <v>0</v>
      </c>
      <c r="AW18" s="154">
        <v>8.2560000000000002</v>
      </c>
      <c r="AX18" s="58">
        <v>0.4128</v>
      </c>
      <c r="AY18" s="155">
        <f t="shared" si="2"/>
        <v>0.40889999999999999</v>
      </c>
      <c r="AZ18" s="155">
        <f t="shared" si="3"/>
        <v>3.9000000000000146E-3</v>
      </c>
      <c r="BA18" s="14">
        <v>8.6688000000000009</v>
      </c>
      <c r="BB18" s="59">
        <f>BA18-'[1]Тариф 26 свод без  ПДВ'!AU18</f>
        <v>4.8000000000012477E-3</v>
      </c>
      <c r="BC18" s="57">
        <v>1.7923</v>
      </c>
      <c r="BD18" s="57">
        <v>0</v>
      </c>
      <c r="BE18" s="57">
        <v>0.5766</v>
      </c>
      <c r="BF18" s="156">
        <v>10.6249</v>
      </c>
      <c r="BG18" s="59">
        <v>0.53120000000000001</v>
      </c>
      <c r="BH18" s="59"/>
      <c r="BI18" s="59"/>
      <c r="BJ18" s="14">
        <v>11.1561</v>
      </c>
      <c r="BK18" s="60"/>
      <c r="BL18" s="60">
        <v>4.5095000000000001</v>
      </c>
      <c r="BM18" s="60">
        <v>0.22550000000000001</v>
      </c>
      <c r="BN18" s="14">
        <v>4.7350000000000003</v>
      </c>
      <c r="BO18" s="14"/>
      <c r="BP18" s="157"/>
      <c r="BQ18" s="158">
        <f>BJ18-'[1]Тариф 26 свод без  ПДВ'!BG18</f>
        <v>3.1999999999996476E-3</v>
      </c>
      <c r="BR18" s="77">
        <f>'[1]Тариф 26 свод без  ПДВ'!BG18</f>
        <v>11.152900000000001</v>
      </c>
      <c r="BS18" s="159">
        <f t="shared" si="4"/>
        <v>3.1999999999996476E-3</v>
      </c>
      <c r="BU18" s="77">
        <f>'[1]Тариф 26 свод без  ПДВ'!AU18</f>
        <v>8.6639999999999997</v>
      </c>
      <c r="BV18" s="159">
        <f t="shared" si="5"/>
        <v>4.8000000000012477E-3</v>
      </c>
      <c r="BX18" s="95">
        <v>4.1756000000000002</v>
      </c>
      <c r="BY18" s="95">
        <v>5.7122999999999999</v>
      </c>
      <c r="BZ18" s="95"/>
      <c r="CA18" s="182">
        <f t="shared" si="6"/>
        <v>2.0760609253759941</v>
      </c>
      <c r="CB18" s="182">
        <f t="shared" si="7"/>
        <v>1.9529961661677433</v>
      </c>
      <c r="CD18" s="160">
        <f>L18-CE18</f>
        <v>701.60000000000036</v>
      </c>
      <c r="CE18" s="160">
        <f>T18</f>
        <v>5736.2</v>
      </c>
      <c r="CF18" s="77">
        <f>CD18*BA18</f>
        <v>6082.0300800000041</v>
      </c>
      <c r="CG18" s="77">
        <f>BJ18*CE18</f>
        <v>63993.620819999996</v>
      </c>
      <c r="CI18" s="160">
        <f>'[1]0 СВОД'!AYY33</f>
        <v>69419.412264375584</v>
      </c>
      <c r="CJ18" s="77">
        <f t="shared" si="12"/>
        <v>833032.94717250695</v>
      </c>
      <c r="CM18" s="161">
        <v>10</v>
      </c>
      <c r="CN18" s="183" t="s">
        <v>478</v>
      </c>
      <c r="CO18" s="163">
        <v>9</v>
      </c>
      <c r="CP18" s="163">
        <v>3</v>
      </c>
      <c r="CQ18" s="164" t="s">
        <v>181</v>
      </c>
      <c r="CR18" s="165" t="s">
        <v>179</v>
      </c>
      <c r="CS18" s="166">
        <v>495.57999999999976</v>
      </c>
      <c r="CT18" s="166">
        <v>5730.8200000000006</v>
      </c>
      <c r="CU18" s="167">
        <v>205.7</v>
      </c>
      <c r="CV18" s="168">
        <v>6432.1</v>
      </c>
      <c r="CW18" s="166">
        <v>6226.4000000000005</v>
      </c>
      <c r="CX18" s="167">
        <v>205.7</v>
      </c>
      <c r="CY18" s="166">
        <v>0</v>
      </c>
      <c r="CZ18" s="166"/>
      <c r="DA18" s="166">
        <v>6432.1</v>
      </c>
      <c r="DB18" s="166"/>
      <c r="DC18" s="166">
        <v>5730.8200000000006</v>
      </c>
      <c r="DD18" s="59">
        <v>0.17730000000000001</v>
      </c>
      <c r="DE18" s="59">
        <v>0.14599999999999999</v>
      </c>
      <c r="DF18" s="59">
        <v>0.1802</v>
      </c>
      <c r="DG18" s="59">
        <v>4.41E-2</v>
      </c>
      <c r="DH18" s="59">
        <v>7.7000000000000002E-3</v>
      </c>
      <c r="DI18" s="59">
        <v>0.10580000000000001</v>
      </c>
      <c r="DJ18" s="59">
        <v>4.8099999999999997E-2</v>
      </c>
      <c r="DK18" s="59">
        <v>0.3458</v>
      </c>
      <c r="DL18" s="169">
        <v>0</v>
      </c>
      <c r="DM18" s="59">
        <v>7.9299999999999995E-2</v>
      </c>
      <c r="DN18" s="169">
        <v>0</v>
      </c>
      <c r="DO18" s="184">
        <v>1.4200999999999999</v>
      </c>
      <c r="DP18" s="171">
        <f t="shared" si="13"/>
        <v>1.782</v>
      </c>
      <c r="DQ18" s="59">
        <v>0.11269999999999999</v>
      </c>
      <c r="DR18" s="59">
        <v>0.19320000000000001</v>
      </c>
      <c r="DS18" s="59">
        <v>3.1099999999999999E-2</v>
      </c>
      <c r="DT18" s="59">
        <v>5.6599999999999998E-2</v>
      </c>
      <c r="DU18" s="59">
        <v>1.6799999999999999E-2</v>
      </c>
      <c r="DV18" s="59">
        <v>3.3300000000000003E-2</v>
      </c>
      <c r="DW18" s="59">
        <v>7.4999999999999997E-3</v>
      </c>
      <c r="DX18" s="169">
        <v>0</v>
      </c>
      <c r="DY18" s="59">
        <v>0.96860000000000002</v>
      </c>
      <c r="DZ18" s="171">
        <f t="shared" si="14"/>
        <v>1.9531282263060086</v>
      </c>
      <c r="EA18" s="59">
        <v>0.82809999999999995</v>
      </c>
      <c r="EB18" s="171">
        <f t="shared" si="15"/>
        <v>1.7563096244414926</v>
      </c>
      <c r="EC18" s="59">
        <v>0.13869999999999999</v>
      </c>
      <c r="ED18" s="171">
        <f t="shared" si="16"/>
        <v>2.0562364816149965</v>
      </c>
      <c r="EE18" s="59">
        <v>2.8799999999999999E-2</v>
      </c>
      <c r="EF18" s="59">
        <v>4.0000000000000001E-3</v>
      </c>
      <c r="EG18" s="59">
        <v>0.12640000000000001</v>
      </c>
      <c r="EH18" s="59">
        <v>0</v>
      </c>
      <c r="EI18" s="155">
        <v>0.1275</v>
      </c>
      <c r="EJ18" s="172">
        <v>5.2277000000000005</v>
      </c>
      <c r="EK18" s="173"/>
      <c r="EL18" s="59">
        <v>1.5506</v>
      </c>
      <c r="EM18" s="59">
        <v>0.24179999999999999</v>
      </c>
      <c r="EN18" s="59">
        <v>0.17230000000000001</v>
      </c>
      <c r="EO18" s="172">
        <v>7.0648999999999997</v>
      </c>
      <c r="ES18" s="57">
        <f t="shared" si="29"/>
        <v>5.2277000000000005</v>
      </c>
      <c r="ET18" s="57">
        <f t="shared" si="30"/>
        <v>7.0648999999999997</v>
      </c>
      <c r="EU18" s="31"/>
      <c r="EV18" s="61">
        <f t="shared" si="17"/>
        <v>1.6582435870459284</v>
      </c>
      <c r="EW18" s="61">
        <f>BJ18/ET18</f>
        <v>1.5790881682684823</v>
      </c>
      <c r="EX18" s="174">
        <v>6.6372999999999998</v>
      </c>
      <c r="EY18" s="174">
        <v>9.2037999999999993</v>
      </c>
      <c r="EZ18" s="158">
        <f t="shared" si="19"/>
        <v>8.6688000000000009</v>
      </c>
      <c r="FA18" s="158">
        <f t="shared" si="20"/>
        <v>11.1561</v>
      </c>
      <c r="FB18" s="158">
        <f>BA18-EX18</f>
        <v>2.0315000000000012</v>
      </c>
      <c r="FC18" s="158">
        <f>BJ18-EY18</f>
        <v>1.952300000000001</v>
      </c>
      <c r="FD18" s="175">
        <f t="shared" ref="FD18:FD21" si="54">FB18/EX18</f>
        <v>0.30607325267804697</v>
      </c>
      <c r="FE18" s="175">
        <f t="shared" ref="FE18:FE21" si="55">FC18/FA18</f>
        <v>0.17499843135145804</v>
      </c>
      <c r="FH18" s="174">
        <f t="shared" si="33"/>
        <v>55808.000640000006</v>
      </c>
      <c r="FJ18" s="176">
        <v>1.2490000000000001</v>
      </c>
      <c r="FK18" s="176">
        <f t="shared" si="34"/>
        <v>1.3276569952329289</v>
      </c>
      <c r="FL18" s="87">
        <v>1.2875000000000001</v>
      </c>
      <c r="FM18" s="177">
        <f t="shared" si="35"/>
        <v>1.2264762471988211</v>
      </c>
      <c r="FO18" s="88">
        <f t="shared" si="21"/>
        <v>55808.000640000006</v>
      </c>
      <c r="FP18" s="79">
        <f t="shared" si="22"/>
        <v>63993.620819999996</v>
      </c>
      <c r="FS18" s="79">
        <f t="shared" si="23"/>
        <v>33654.887060000001</v>
      </c>
      <c r="FT18" s="79">
        <f t="shared" si="24"/>
        <v>40525.679379999994</v>
      </c>
      <c r="FU18" s="79">
        <f t="shared" si="36"/>
        <v>1.6582435870459284</v>
      </c>
      <c r="FV18" s="79">
        <f t="shared" si="36"/>
        <v>1.5790881682684823</v>
      </c>
      <c r="FY18" s="79">
        <f t="shared" si="37"/>
        <v>6082.0300800000041</v>
      </c>
      <c r="FZ18" s="79">
        <f t="shared" si="38"/>
        <v>63993.620819999996</v>
      </c>
      <c r="GB18" s="178">
        <f t="shared" si="39"/>
        <v>701.60000000000036</v>
      </c>
      <c r="GC18" s="178">
        <f t="shared" si="40"/>
        <v>5736.2</v>
      </c>
      <c r="GG18" s="14">
        <v>6.8265000000000002</v>
      </c>
      <c r="GH18" s="175">
        <f t="shared" si="41"/>
        <v>1.2698747528015821</v>
      </c>
      <c r="GI18" s="14">
        <v>9.6157000000000004</v>
      </c>
      <c r="GJ18" s="175">
        <f t="shared" si="42"/>
        <v>1.1601963455598656</v>
      </c>
      <c r="GK18" s="175">
        <f t="shared" ref="GK18:GK27" si="56">GH18-GJ18</f>
        <v>0.10967840724171651</v>
      </c>
      <c r="GN18" s="14">
        <v>8.6668999999999983</v>
      </c>
      <c r="GO18" s="175">
        <f t="shared" si="44"/>
        <v>1.2695964256939865</v>
      </c>
      <c r="GP18" s="179">
        <f t="shared" si="45"/>
        <v>1.0002192248670232</v>
      </c>
      <c r="GQ18" s="14">
        <v>10.8918</v>
      </c>
      <c r="GR18" s="175">
        <f t="shared" si="46"/>
        <v>1.1327100471104548</v>
      </c>
      <c r="GS18" s="175">
        <f t="shared" si="47"/>
        <v>1.0242659615490552</v>
      </c>
      <c r="GV18" s="32">
        <f t="shared" si="25"/>
        <v>6082.0300800000041</v>
      </c>
      <c r="GW18" s="32">
        <f t="shared" si="26"/>
        <v>63993.620819999996</v>
      </c>
      <c r="GX18" s="180">
        <f t="shared" si="48"/>
        <v>70075.650900000008</v>
      </c>
      <c r="GZ18" s="32">
        <f t="shared" si="49"/>
        <v>8.6688000000000009</v>
      </c>
      <c r="HA18" s="32">
        <f t="shared" si="50"/>
        <v>11.1561</v>
      </c>
      <c r="HB18" s="32">
        <f t="shared" si="51"/>
        <v>10.885030740315015</v>
      </c>
    </row>
    <row r="19" spans="1:210" ht="19.2" customHeight="1" x14ac:dyDescent="0.3">
      <c r="A19" s="50">
        <v>11</v>
      </c>
      <c r="B19" s="51" t="s">
        <v>479</v>
      </c>
      <c r="C19" s="150" t="s">
        <v>459</v>
      </c>
      <c r="D19" s="52">
        <v>9</v>
      </c>
      <c r="E19" s="52">
        <v>3</v>
      </c>
      <c r="F19" s="63">
        <v>108</v>
      </c>
      <c r="G19" s="54" t="s">
        <v>182</v>
      </c>
      <c r="H19" s="181" t="s">
        <v>179</v>
      </c>
      <c r="I19" s="55">
        <f t="shared" si="27"/>
        <v>702.19999999999982</v>
      </c>
      <c r="J19" s="55">
        <f t="shared" si="0"/>
        <v>5699.3</v>
      </c>
      <c r="K19" s="55">
        <f t="shared" si="1"/>
        <v>0</v>
      </c>
      <c r="L19" s="56">
        <v>6401.5</v>
      </c>
      <c r="M19" s="56">
        <v>6401.5</v>
      </c>
      <c r="N19" s="56">
        <f t="shared" si="28"/>
        <v>702.19999999999982</v>
      </c>
      <c r="O19" s="56">
        <v>0</v>
      </c>
      <c r="P19" s="56">
        <v>0</v>
      </c>
      <c r="Q19" s="55"/>
      <c r="R19" s="55">
        <v>6401.5</v>
      </c>
      <c r="S19" s="55"/>
      <c r="T19" s="55">
        <v>5699.3</v>
      </c>
      <c r="U19" s="152">
        <v>702.19999999999982</v>
      </c>
      <c r="V19" s="57">
        <v>0.1794</v>
      </c>
      <c r="W19" s="57">
        <v>9.0300000000000005E-2</v>
      </c>
      <c r="X19" s="153">
        <v>0.27729999999999999</v>
      </c>
      <c r="Y19" s="153">
        <v>7.5499999999999998E-2</v>
      </c>
      <c r="Z19" s="57">
        <v>2.06E-2</v>
      </c>
      <c r="AA19" s="57">
        <v>0.24279999999999999</v>
      </c>
      <c r="AB19" s="57">
        <v>0</v>
      </c>
      <c r="AC19" s="153">
        <v>0.63149999999999995</v>
      </c>
      <c r="AD19" s="57">
        <v>0.13339999999999999</v>
      </c>
      <c r="AE19" s="57">
        <v>0</v>
      </c>
      <c r="AF19" s="57">
        <v>1.7323</v>
      </c>
      <c r="AG19" s="57">
        <v>0.23300000000000001</v>
      </c>
      <c r="AH19" s="57">
        <v>0.32379999999999998</v>
      </c>
      <c r="AI19" s="57">
        <v>0.12230000000000001</v>
      </c>
      <c r="AJ19" s="57">
        <v>0.1205</v>
      </c>
      <c r="AK19" s="57">
        <v>4.0099999999999997E-2</v>
      </c>
      <c r="AL19" s="57">
        <v>9.6199999999999994E-2</v>
      </c>
      <c r="AM19" s="57">
        <v>3.0099999999999998E-2</v>
      </c>
      <c r="AN19" s="57">
        <v>0</v>
      </c>
      <c r="AO19" s="57">
        <v>1.8655999999999999</v>
      </c>
      <c r="AP19" s="153">
        <v>1.4125000000000001</v>
      </c>
      <c r="AQ19" s="153">
        <v>8.3900000000000002E-2</v>
      </c>
      <c r="AR19" s="57">
        <v>0.3594</v>
      </c>
      <c r="AS19" s="57">
        <v>3.6200000000000003E-2</v>
      </c>
      <c r="AT19" s="153">
        <v>5.8999999999999999E-3</v>
      </c>
      <c r="AU19" s="153">
        <v>0.14879999999999999</v>
      </c>
      <c r="AV19" s="153">
        <v>0</v>
      </c>
      <c r="AW19" s="154">
        <v>8.2613999999999983</v>
      </c>
      <c r="AX19" s="58">
        <v>0.41310000000000002</v>
      </c>
      <c r="AY19" s="155">
        <f t="shared" si="2"/>
        <v>0.40889999999999999</v>
      </c>
      <c r="AZ19" s="155">
        <f t="shared" si="3"/>
        <v>4.200000000000037E-3</v>
      </c>
      <c r="BA19" s="14">
        <v>8.6744999999999983</v>
      </c>
      <c r="BB19" s="59">
        <f>BA19-'[1]Тариф 26 свод без  ПДВ'!AU19</f>
        <v>4.9999999999990052E-3</v>
      </c>
      <c r="BC19" s="57">
        <v>1.804</v>
      </c>
      <c r="BD19" s="57">
        <v>0</v>
      </c>
      <c r="BE19" s="57">
        <v>0.5585</v>
      </c>
      <c r="BF19" s="156">
        <v>10.623899999999999</v>
      </c>
      <c r="BG19" s="59">
        <v>0.53120000000000001</v>
      </c>
      <c r="BH19" s="59"/>
      <c r="BI19" s="59"/>
      <c r="BJ19" s="14">
        <v>11.155099999999999</v>
      </c>
      <c r="BK19" s="60"/>
      <c r="BL19" s="60">
        <v>4.4750999999999985</v>
      </c>
      <c r="BM19" s="60">
        <v>0.2238</v>
      </c>
      <c r="BN19" s="14">
        <v>4.6988999999999983</v>
      </c>
      <c r="BO19" s="14"/>
      <c r="BP19" s="157"/>
      <c r="BQ19" s="158">
        <f>BJ19-'[1]Тариф 26 свод без  ПДВ'!BG19</f>
        <v>3.0999999999998806E-3</v>
      </c>
      <c r="BR19" s="77">
        <f>'[1]Тариф 26 свод без  ПДВ'!BG19</f>
        <v>11.151999999999999</v>
      </c>
      <c r="BS19" s="159">
        <f t="shared" si="4"/>
        <v>3.0999999999998806E-3</v>
      </c>
      <c r="BU19" s="77">
        <f>'[1]Тариф 26 свод без  ПДВ'!AU19</f>
        <v>8.6694999999999993</v>
      </c>
      <c r="BV19" s="159">
        <f t="shared" si="5"/>
        <v>4.9999999999990052E-3</v>
      </c>
      <c r="BX19" s="95">
        <v>4.2911999999999999</v>
      </c>
      <c r="BY19" s="95">
        <v>5.3677000000000001</v>
      </c>
      <c r="BZ19" s="95"/>
      <c r="CA19" s="182">
        <f t="shared" si="6"/>
        <v>2.0214625279642053</v>
      </c>
      <c r="CB19" s="182">
        <f t="shared" si="7"/>
        <v>2.0781899137433162</v>
      </c>
      <c r="CD19" s="160">
        <f>L19-CE19</f>
        <v>702.19999999999982</v>
      </c>
      <c r="CE19" s="160">
        <f>T19</f>
        <v>5699.3</v>
      </c>
      <c r="CF19" s="77">
        <f>CD19*BA19</f>
        <v>6091.2338999999974</v>
      </c>
      <c r="CG19" s="77">
        <f>BJ19*CE19</f>
        <v>63576.261429999999</v>
      </c>
      <c r="CI19" s="160">
        <f>'[1]0 СВОД'!AYY34</f>
        <v>69668.624020958101</v>
      </c>
      <c r="CJ19" s="77">
        <f t="shared" si="12"/>
        <v>836023.48825149727</v>
      </c>
      <c r="CM19" s="161">
        <v>11</v>
      </c>
      <c r="CN19" s="183" t="s">
        <v>480</v>
      </c>
      <c r="CO19" s="163">
        <v>9</v>
      </c>
      <c r="CP19" s="163">
        <v>3</v>
      </c>
      <c r="CQ19" s="164" t="s">
        <v>182</v>
      </c>
      <c r="CR19" s="165" t="s">
        <v>179</v>
      </c>
      <c r="CS19" s="166">
        <v>702.19999999999982</v>
      </c>
      <c r="CT19" s="166">
        <v>5689.4000000000005</v>
      </c>
      <c r="CU19" s="167">
        <v>0</v>
      </c>
      <c r="CV19" s="168">
        <v>6391.6</v>
      </c>
      <c r="CW19" s="166">
        <v>6391.6</v>
      </c>
      <c r="CX19" s="167">
        <v>0</v>
      </c>
      <c r="CY19" s="166">
        <v>0</v>
      </c>
      <c r="CZ19" s="166"/>
      <c r="DA19" s="166">
        <v>6391.6</v>
      </c>
      <c r="DB19" s="166"/>
      <c r="DC19" s="166">
        <v>5689.4000000000005</v>
      </c>
      <c r="DD19" s="59">
        <v>0.17630000000000001</v>
      </c>
      <c r="DE19" s="59">
        <v>0.1469</v>
      </c>
      <c r="DF19" s="59">
        <v>0.18260000000000001</v>
      </c>
      <c r="DG19" s="59">
        <v>4.4600000000000001E-2</v>
      </c>
      <c r="DH19" s="59">
        <v>7.7999999999999996E-3</v>
      </c>
      <c r="DI19" s="59">
        <v>0.10639999999999999</v>
      </c>
      <c r="DJ19" s="59">
        <v>4.8099999999999997E-2</v>
      </c>
      <c r="DK19" s="59">
        <v>0.3458</v>
      </c>
      <c r="DL19" s="59">
        <v>7.6200000000000004E-2</v>
      </c>
      <c r="DM19" s="59">
        <v>8.1299999999999997E-2</v>
      </c>
      <c r="DN19" s="169">
        <v>0</v>
      </c>
      <c r="DO19" s="184">
        <v>1.4147999999999998</v>
      </c>
      <c r="DP19" s="171">
        <f t="shared" si="13"/>
        <v>1.7323</v>
      </c>
      <c r="DQ19" s="59">
        <v>0.1123</v>
      </c>
      <c r="DR19" s="59">
        <v>0.19439999999999999</v>
      </c>
      <c r="DS19" s="59">
        <v>3.15E-2</v>
      </c>
      <c r="DT19" s="59">
        <v>5.6800000000000003E-2</v>
      </c>
      <c r="DU19" s="59">
        <v>1.6899999999999998E-2</v>
      </c>
      <c r="DV19" s="59">
        <v>3.3500000000000002E-2</v>
      </c>
      <c r="DW19" s="59">
        <v>7.4999999999999997E-3</v>
      </c>
      <c r="DX19" s="169">
        <v>0</v>
      </c>
      <c r="DY19" s="59">
        <v>0.94550000000000001</v>
      </c>
      <c r="DZ19" s="171">
        <f t="shared" si="14"/>
        <v>1.9731359069275514</v>
      </c>
      <c r="EA19" s="59">
        <v>0.84050000000000002</v>
      </c>
      <c r="EB19" s="171">
        <f t="shared" si="15"/>
        <v>1.7803688280785248</v>
      </c>
      <c r="EC19" s="59">
        <v>0.18190000000000001</v>
      </c>
      <c r="ED19" s="171">
        <f t="shared" si="16"/>
        <v>1.9758108851017042</v>
      </c>
      <c r="EE19" s="59">
        <v>2.7799999999999998E-2</v>
      </c>
      <c r="EF19" s="59">
        <v>3.8999999999999998E-3</v>
      </c>
      <c r="EG19" s="59">
        <v>0.1479</v>
      </c>
      <c r="EH19" s="59">
        <v>0</v>
      </c>
      <c r="EI19" s="155">
        <v>0.1308</v>
      </c>
      <c r="EJ19" s="172">
        <v>5.3619999999999992</v>
      </c>
      <c r="EK19" s="173"/>
      <c r="EL19" s="59">
        <v>1.0625</v>
      </c>
      <c r="EM19" s="59">
        <v>0.26290000000000002</v>
      </c>
      <c r="EN19" s="59">
        <v>0.16389999999999999</v>
      </c>
      <c r="EO19" s="172">
        <v>6.7204999999999995</v>
      </c>
      <c r="ES19" s="57">
        <f t="shared" si="29"/>
        <v>5.3619999999999992</v>
      </c>
      <c r="ET19" s="57">
        <f t="shared" si="30"/>
        <v>6.7204999999999995</v>
      </c>
      <c r="EU19" s="31"/>
      <c r="EV19" s="61">
        <f t="shared" si="17"/>
        <v>1.6177732189481535</v>
      </c>
      <c r="EW19" s="61">
        <f>BJ19/ET19</f>
        <v>1.6598616174391787</v>
      </c>
      <c r="EX19" s="185">
        <v>6.6071999999999997</v>
      </c>
      <c r="EY19" s="174">
        <v>9.2065999999999999</v>
      </c>
      <c r="EZ19" s="158">
        <f t="shared" si="19"/>
        <v>8.6744999999999983</v>
      </c>
      <c r="FA19" s="158">
        <f t="shared" si="20"/>
        <v>11.155099999999999</v>
      </c>
      <c r="FB19" s="158">
        <f>BA19-EX19</f>
        <v>2.0672999999999986</v>
      </c>
      <c r="FC19" s="158">
        <f>BJ19-EY19</f>
        <v>1.9484999999999992</v>
      </c>
      <c r="FD19" s="175">
        <f t="shared" si="54"/>
        <v>0.31288594260806374</v>
      </c>
      <c r="FE19" s="175">
        <f t="shared" si="55"/>
        <v>0.17467346774121248</v>
      </c>
      <c r="FH19" s="174">
        <f t="shared" si="33"/>
        <v>55529.811749999986</v>
      </c>
      <c r="FJ19" s="176">
        <v>1.2279</v>
      </c>
      <c r="FK19" s="176">
        <f t="shared" si="34"/>
        <v>1.3175121906899205</v>
      </c>
      <c r="FL19" s="87">
        <v>1.3687</v>
      </c>
      <c r="FM19" s="177">
        <f t="shared" si="35"/>
        <v>1.2127285873012192</v>
      </c>
      <c r="FO19" s="88">
        <f t="shared" si="21"/>
        <v>55529.811749999986</v>
      </c>
      <c r="FP19" s="79">
        <f t="shared" si="22"/>
        <v>63576.261429999999</v>
      </c>
      <c r="FS19" s="79">
        <f t="shared" si="23"/>
        <v>34324.842999999993</v>
      </c>
      <c r="FT19" s="79">
        <f t="shared" si="24"/>
        <v>38302.145649999999</v>
      </c>
      <c r="FU19" s="79">
        <f t="shared" si="36"/>
        <v>1.6177732189481535</v>
      </c>
      <c r="FV19" s="79">
        <f t="shared" si="36"/>
        <v>1.6598616174391787</v>
      </c>
      <c r="FY19" s="79">
        <f t="shared" si="37"/>
        <v>6091.2338999999974</v>
      </c>
      <c r="FZ19" s="79">
        <f t="shared" si="38"/>
        <v>63576.261429999999</v>
      </c>
      <c r="GB19" s="178">
        <f t="shared" si="39"/>
        <v>702.19999999999982</v>
      </c>
      <c r="GC19" s="178">
        <f t="shared" si="40"/>
        <v>5699.3</v>
      </c>
      <c r="GG19" s="14">
        <v>6.8468000000000009</v>
      </c>
      <c r="GH19" s="175">
        <f t="shared" si="41"/>
        <v>1.2669422211836183</v>
      </c>
      <c r="GI19" s="14">
        <v>9.6313000000000013</v>
      </c>
      <c r="GJ19" s="175">
        <f t="shared" si="42"/>
        <v>1.1582133253039566</v>
      </c>
      <c r="GK19" s="175">
        <f t="shared" si="56"/>
        <v>0.10872889587966172</v>
      </c>
      <c r="GN19" s="14">
        <v>8.7119999999999997</v>
      </c>
      <c r="GO19" s="175">
        <f t="shared" si="44"/>
        <v>1.2724192323421157</v>
      </c>
      <c r="GP19" s="179">
        <f t="shared" si="45"/>
        <v>0.99569559228650117</v>
      </c>
      <c r="GQ19" s="14">
        <v>10.934099999999999</v>
      </c>
      <c r="GR19" s="175">
        <f t="shared" si="46"/>
        <v>1.1352673055558438</v>
      </c>
      <c r="GS19" s="175">
        <f t="shared" si="47"/>
        <v>1.0202119973294557</v>
      </c>
      <c r="GV19" s="32">
        <f t="shared" si="25"/>
        <v>6091.2338999999974</v>
      </c>
      <c r="GW19" s="32">
        <f t="shared" si="26"/>
        <v>63576.261429999999</v>
      </c>
      <c r="GX19" s="180">
        <f t="shared" si="48"/>
        <v>69667.495329999991</v>
      </c>
      <c r="GZ19" s="32">
        <f t="shared" si="49"/>
        <v>8.6744999999999983</v>
      </c>
      <c r="HA19" s="32">
        <f t="shared" si="50"/>
        <v>11.155099999999999</v>
      </c>
      <c r="HB19" s="32">
        <f t="shared" si="51"/>
        <v>10.882995443255485</v>
      </c>
    </row>
    <row r="20" spans="1:210" ht="19.2" customHeight="1" x14ac:dyDescent="0.3">
      <c r="A20" s="50">
        <v>12</v>
      </c>
      <c r="B20" s="51" t="s">
        <v>481</v>
      </c>
      <c r="C20" s="150" t="s">
        <v>459</v>
      </c>
      <c r="D20" s="52">
        <v>9</v>
      </c>
      <c r="E20" s="52">
        <v>3</v>
      </c>
      <c r="F20" s="63">
        <v>108</v>
      </c>
      <c r="G20" s="54" t="s">
        <v>183</v>
      </c>
      <c r="H20" s="181" t="s">
        <v>179</v>
      </c>
      <c r="I20" s="55">
        <f t="shared" si="27"/>
        <v>705.10000000000036</v>
      </c>
      <c r="J20" s="55">
        <f t="shared" si="0"/>
        <v>5711.7</v>
      </c>
      <c r="K20" s="55">
        <f t="shared" si="1"/>
        <v>0</v>
      </c>
      <c r="L20" s="56">
        <v>6416.8</v>
      </c>
      <c r="M20" s="56">
        <v>6416.8</v>
      </c>
      <c r="N20" s="56">
        <f t="shared" si="28"/>
        <v>705.10000000000036</v>
      </c>
      <c r="O20" s="56">
        <v>0</v>
      </c>
      <c r="P20" s="56">
        <v>0</v>
      </c>
      <c r="Q20" s="55"/>
      <c r="R20" s="55">
        <v>6416.8</v>
      </c>
      <c r="S20" s="55"/>
      <c r="T20" s="55">
        <v>5711.7</v>
      </c>
      <c r="U20" s="152">
        <v>705.10000000000036</v>
      </c>
      <c r="V20" s="57">
        <v>0.16239999999999999</v>
      </c>
      <c r="W20" s="57">
        <v>0.1032</v>
      </c>
      <c r="X20" s="153">
        <v>0.27529999999999999</v>
      </c>
      <c r="Y20" s="153">
        <v>7.5499999999999998E-2</v>
      </c>
      <c r="Z20" s="57">
        <v>2.06E-2</v>
      </c>
      <c r="AA20" s="57">
        <v>0.2422</v>
      </c>
      <c r="AB20" s="57">
        <v>0</v>
      </c>
      <c r="AC20" s="153">
        <v>0.63149999999999995</v>
      </c>
      <c r="AD20" s="57">
        <v>0.1331</v>
      </c>
      <c r="AE20" s="57">
        <v>0</v>
      </c>
      <c r="AF20" s="57">
        <v>2.0695999999999999</v>
      </c>
      <c r="AG20" s="57">
        <v>0.21229999999999999</v>
      </c>
      <c r="AH20" s="57">
        <v>0.36969999999999997</v>
      </c>
      <c r="AI20" s="57">
        <v>0.1235</v>
      </c>
      <c r="AJ20" s="57">
        <v>0.12529999999999999</v>
      </c>
      <c r="AK20" s="57">
        <v>0.04</v>
      </c>
      <c r="AL20" s="57">
        <v>9.5899999999999999E-2</v>
      </c>
      <c r="AM20" s="57">
        <v>0.03</v>
      </c>
      <c r="AN20" s="57">
        <v>0</v>
      </c>
      <c r="AO20" s="57">
        <v>1.2831999999999999</v>
      </c>
      <c r="AP20" s="153">
        <v>1.3853</v>
      </c>
      <c r="AQ20" s="153">
        <v>8.4199999999999997E-2</v>
      </c>
      <c r="AR20" s="57">
        <v>0.34499999999999997</v>
      </c>
      <c r="AS20" s="57">
        <v>3.8800000000000001E-2</v>
      </c>
      <c r="AT20" s="153">
        <v>6.3E-3</v>
      </c>
      <c r="AU20" s="153">
        <v>0.20569999999999999</v>
      </c>
      <c r="AV20" s="153">
        <v>0</v>
      </c>
      <c r="AW20" s="154">
        <v>8.0586000000000002</v>
      </c>
      <c r="AX20" s="58">
        <v>0.40289999999999998</v>
      </c>
      <c r="AY20" s="155">
        <f t="shared" si="2"/>
        <v>0.3987</v>
      </c>
      <c r="AZ20" s="155">
        <f t="shared" si="3"/>
        <v>4.1999999999999815E-3</v>
      </c>
      <c r="BA20" s="14">
        <v>8.4615000000000009</v>
      </c>
      <c r="BB20" s="59">
        <f>BA20-'[1]Тариф 26 свод без  ПДВ'!AU20</f>
        <v>-5.4999999999996163E-3</v>
      </c>
      <c r="BC20" s="57">
        <v>1.6309</v>
      </c>
      <c r="BD20" s="57">
        <v>3.15E-2</v>
      </c>
      <c r="BE20" s="57">
        <v>0.54369999999999996</v>
      </c>
      <c r="BF20" s="156">
        <v>10.264699999999999</v>
      </c>
      <c r="BG20" s="59">
        <v>0.51319999999999999</v>
      </c>
      <c r="BH20" s="59"/>
      <c r="BI20" s="59"/>
      <c r="BJ20" s="14">
        <v>10.777899999999999</v>
      </c>
      <c r="BK20" s="60"/>
      <c r="BL20" s="60">
        <v>4.8394000000000004</v>
      </c>
      <c r="BM20" s="60">
        <v>0.24199999999999999</v>
      </c>
      <c r="BN20" s="14">
        <v>5.0814000000000004</v>
      </c>
      <c r="BO20" s="14"/>
      <c r="BP20" s="157"/>
      <c r="BQ20" s="158">
        <f>BJ20-'[1]Тариф 26 свод без  ПДВ'!BG20</f>
        <v>-3.100000000001657E-3</v>
      </c>
      <c r="BR20" s="77">
        <f>'[1]Тариф 26 свод без  ПДВ'!BG20</f>
        <v>10.781000000000001</v>
      </c>
      <c r="BS20" s="159">
        <f t="shared" si="4"/>
        <v>-3.100000000001657E-3</v>
      </c>
      <c r="BU20" s="77">
        <f>'[1]Тариф 26 свод без  ПДВ'!AU20</f>
        <v>8.4670000000000005</v>
      </c>
      <c r="BV20" s="159">
        <f t="shared" si="5"/>
        <v>-5.4999999999996163E-3</v>
      </c>
      <c r="BX20" s="95">
        <v>4.0283999999999995</v>
      </c>
      <c r="BY20" s="95">
        <v>5.5754999999999999</v>
      </c>
      <c r="BZ20" s="95"/>
      <c r="CA20" s="182">
        <f t="shared" si="6"/>
        <v>2.1004617217753951</v>
      </c>
      <c r="CB20" s="182">
        <f t="shared" si="7"/>
        <v>1.9330822347771499</v>
      </c>
      <c r="CD20" s="160">
        <f>L20-CE20</f>
        <v>705.10000000000036</v>
      </c>
      <c r="CE20" s="160">
        <f>T20</f>
        <v>5711.7</v>
      </c>
      <c r="CF20" s="77">
        <f>CD20*BA20</f>
        <v>5966.203650000004</v>
      </c>
      <c r="CG20" s="77">
        <f>BJ20*CE20</f>
        <v>61560.131429999994</v>
      </c>
      <c r="CI20" s="160">
        <f>'[1]0 СВОД'!AYY35</f>
        <v>67528.195046155146</v>
      </c>
      <c r="CJ20" s="77">
        <f t="shared" si="12"/>
        <v>810338.34055386181</v>
      </c>
      <c r="CM20" s="161">
        <v>12</v>
      </c>
      <c r="CN20" s="183" t="s">
        <v>482</v>
      </c>
      <c r="CO20" s="163">
        <v>9</v>
      </c>
      <c r="CP20" s="163">
        <v>3</v>
      </c>
      <c r="CQ20" s="164" t="s">
        <v>183</v>
      </c>
      <c r="CR20" s="165" t="s">
        <v>179</v>
      </c>
      <c r="CS20" s="166">
        <v>705.07999999999993</v>
      </c>
      <c r="CT20" s="166">
        <v>5704.82</v>
      </c>
      <c r="CU20" s="167">
        <v>0</v>
      </c>
      <c r="CV20" s="168">
        <v>6409.9</v>
      </c>
      <c r="CW20" s="166">
        <v>6409.9</v>
      </c>
      <c r="CX20" s="167">
        <v>0</v>
      </c>
      <c r="CY20" s="166">
        <v>0</v>
      </c>
      <c r="CZ20" s="166"/>
      <c r="DA20" s="166">
        <v>6409.9</v>
      </c>
      <c r="DB20" s="166"/>
      <c r="DC20" s="166">
        <v>5704.82</v>
      </c>
      <c r="DD20" s="59">
        <v>0.15970000000000001</v>
      </c>
      <c r="DE20" s="59">
        <v>0.16789999999999999</v>
      </c>
      <c r="DF20" s="59">
        <v>0.18129999999999999</v>
      </c>
      <c r="DG20" s="59">
        <v>4.4499999999999998E-2</v>
      </c>
      <c r="DH20" s="59">
        <v>7.7000000000000002E-3</v>
      </c>
      <c r="DI20" s="59">
        <v>0.1061</v>
      </c>
      <c r="DJ20" s="59">
        <v>4.8099999999999997E-2</v>
      </c>
      <c r="DK20" s="59">
        <v>0.3458</v>
      </c>
      <c r="DL20" s="169">
        <v>0</v>
      </c>
      <c r="DM20" s="59">
        <v>8.1100000000000005E-2</v>
      </c>
      <c r="DN20" s="169">
        <v>0</v>
      </c>
      <c r="DO20" s="184">
        <v>1.5776999999999999</v>
      </c>
      <c r="DP20" s="171">
        <f t="shared" si="13"/>
        <v>2.0695999999999999</v>
      </c>
      <c r="DQ20" s="59">
        <v>0.1023</v>
      </c>
      <c r="DR20" s="59">
        <v>0.2218</v>
      </c>
      <c r="DS20" s="59">
        <v>3.1800000000000002E-2</v>
      </c>
      <c r="DT20" s="59">
        <v>5.91E-2</v>
      </c>
      <c r="DU20" s="59">
        <v>1.6899999999999998E-2</v>
      </c>
      <c r="DV20" s="59">
        <v>3.3399999999999999E-2</v>
      </c>
      <c r="DW20" s="59">
        <v>7.4999999999999997E-3</v>
      </c>
      <c r="DX20" s="169">
        <v>0</v>
      </c>
      <c r="DY20" s="59">
        <v>0.59919999999999995</v>
      </c>
      <c r="DZ20" s="171">
        <f t="shared" si="14"/>
        <v>2.1415220293724966</v>
      </c>
      <c r="EA20" s="59">
        <v>0.82889999999999997</v>
      </c>
      <c r="EB20" s="171">
        <f t="shared" si="15"/>
        <v>1.7728314633852094</v>
      </c>
      <c r="EC20" s="59">
        <v>0.12989999999999999</v>
      </c>
      <c r="ED20" s="171">
        <f t="shared" si="16"/>
        <v>2.6558891454965359</v>
      </c>
      <c r="EE20" s="59">
        <v>2.9700000000000001E-2</v>
      </c>
      <c r="EF20" s="59">
        <v>4.1000000000000003E-3</v>
      </c>
      <c r="EG20" s="59">
        <v>0.13600000000000001</v>
      </c>
      <c r="EH20" s="59">
        <v>0</v>
      </c>
      <c r="EI20" s="155">
        <v>0.123</v>
      </c>
      <c r="EJ20" s="172">
        <v>5.0435000000000008</v>
      </c>
      <c r="EK20" s="173"/>
      <c r="EL20" s="59">
        <v>1.5577000000000001</v>
      </c>
      <c r="EM20" s="59">
        <v>0.2409</v>
      </c>
      <c r="EN20" s="59">
        <v>0.16800000000000001</v>
      </c>
      <c r="EO20" s="172">
        <v>6.8871000000000011</v>
      </c>
      <c r="ES20" s="57">
        <f t="shared" si="29"/>
        <v>5.0435000000000008</v>
      </c>
      <c r="ET20" s="57">
        <f t="shared" si="30"/>
        <v>6.8871000000000011</v>
      </c>
      <c r="EU20" s="31"/>
      <c r="EV20" s="61">
        <f t="shared" si="17"/>
        <v>1.6777039754138989</v>
      </c>
      <c r="EW20" s="61">
        <f>BJ20/ET20</f>
        <v>1.5649402506134653</v>
      </c>
      <c r="EX20" s="185">
        <v>6.5587</v>
      </c>
      <c r="EY20" s="174">
        <v>8.9396000000000004</v>
      </c>
      <c r="EZ20" s="158">
        <f t="shared" si="19"/>
        <v>8.4615000000000009</v>
      </c>
      <c r="FA20" s="158">
        <f t="shared" si="20"/>
        <v>10.777899999999999</v>
      </c>
      <c r="FB20" s="158">
        <f>BA20-EX20</f>
        <v>1.9028000000000009</v>
      </c>
      <c r="FC20" s="158">
        <f>BJ20-EY20</f>
        <v>1.8382999999999985</v>
      </c>
      <c r="FD20" s="175">
        <f t="shared" si="54"/>
        <v>0.29011846859896029</v>
      </c>
      <c r="FE20" s="175">
        <f t="shared" si="55"/>
        <v>0.17056198331771483</v>
      </c>
      <c r="FH20" s="174">
        <f t="shared" si="33"/>
        <v>54295.753200000006</v>
      </c>
      <c r="FJ20" s="176">
        <v>1.2391000000000001</v>
      </c>
      <c r="FK20" s="176">
        <f t="shared" si="34"/>
        <v>1.3539697969606157</v>
      </c>
      <c r="FL20" s="87">
        <v>1.2531000000000001</v>
      </c>
      <c r="FM20" s="177">
        <f t="shared" si="35"/>
        <v>1.248855039991593</v>
      </c>
      <c r="FO20" s="88">
        <f t="shared" si="21"/>
        <v>54295.753200000006</v>
      </c>
      <c r="FP20" s="79">
        <f t="shared" si="22"/>
        <v>61560.131429999994</v>
      </c>
      <c r="FS20" s="79">
        <f t="shared" si="23"/>
        <v>32363.130800000006</v>
      </c>
      <c r="FT20" s="79">
        <f t="shared" si="24"/>
        <v>39337.049070000008</v>
      </c>
      <c r="FU20" s="79">
        <f t="shared" si="36"/>
        <v>1.6777039754138989</v>
      </c>
      <c r="FV20" s="79">
        <f t="shared" si="36"/>
        <v>1.5649402506134653</v>
      </c>
      <c r="FY20" s="79">
        <f t="shared" si="37"/>
        <v>5966.203650000004</v>
      </c>
      <c r="FZ20" s="79">
        <f t="shared" si="38"/>
        <v>61560.131429999994</v>
      </c>
      <c r="GB20" s="178">
        <f t="shared" si="39"/>
        <v>705.10000000000036</v>
      </c>
      <c r="GC20" s="178">
        <f t="shared" si="40"/>
        <v>5711.7</v>
      </c>
      <c r="GG20" s="14">
        <v>6.6631000000000018</v>
      </c>
      <c r="GH20" s="175">
        <f t="shared" si="41"/>
        <v>1.2699043988533865</v>
      </c>
      <c r="GI20" s="14">
        <v>9.2100000000000009</v>
      </c>
      <c r="GJ20" s="175">
        <f t="shared" si="42"/>
        <v>1.1702388707926166</v>
      </c>
      <c r="GK20" s="175">
        <f t="shared" si="56"/>
        <v>9.9665528060769892E-2</v>
      </c>
      <c r="GN20" s="14">
        <v>8.4002000000000017</v>
      </c>
      <c r="GO20" s="175">
        <f t="shared" si="44"/>
        <v>1.2607044768951388</v>
      </c>
      <c r="GP20" s="179">
        <f t="shared" si="45"/>
        <v>1.0072974452989214</v>
      </c>
      <c r="GQ20" s="14">
        <v>10.441000000000001</v>
      </c>
      <c r="GR20" s="175">
        <f t="shared" si="46"/>
        <v>1.133659066232356</v>
      </c>
      <c r="GS20" s="175">
        <f t="shared" si="47"/>
        <v>1.0322670242313954</v>
      </c>
      <c r="GV20" s="32">
        <f t="shared" si="25"/>
        <v>5966.203650000004</v>
      </c>
      <c r="GW20" s="32">
        <f t="shared" si="26"/>
        <v>61560.131429999994</v>
      </c>
      <c r="GX20" s="180">
        <f t="shared" si="48"/>
        <v>67526.335080000004</v>
      </c>
      <c r="GZ20" s="32">
        <f t="shared" si="49"/>
        <v>8.4615000000000009</v>
      </c>
      <c r="HA20" s="32">
        <f t="shared" si="50"/>
        <v>10.777899999999999</v>
      </c>
      <c r="HB20" s="32">
        <f t="shared" si="51"/>
        <v>10.523366020446328</v>
      </c>
    </row>
    <row r="21" spans="1:210" ht="19.2" customHeight="1" x14ac:dyDescent="0.3">
      <c r="A21" s="50">
        <v>13</v>
      </c>
      <c r="B21" s="51" t="s">
        <v>483</v>
      </c>
      <c r="C21" s="150" t="s">
        <v>459</v>
      </c>
      <c r="D21" s="52">
        <v>9</v>
      </c>
      <c r="E21" s="52">
        <v>1</v>
      </c>
      <c r="F21" s="63">
        <v>232</v>
      </c>
      <c r="G21" s="54" t="s">
        <v>184</v>
      </c>
      <c r="H21" s="181" t="s">
        <v>185</v>
      </c>
      <c r="I21" s="55">
        <f t="shared" si="27"/>
        <v>423.75000000000034</v>
      </c>
      <c r="J21" s="55">
        <f t="shared" si="0"/>
        <v>5946.5</v>
      </c>
      <c r="K21" s="55">
        <f t="shared" si="1"/>
        <v>158.1</v>
      </c>
      <c r="L21" s="56">
        <v>6528.35</v>
      </c>
      <c r="M21" s="56">
        <v>6255.95</v>
      </c>
      <c r="N21" s="56">
        <f t="shared" si="28"/>
        <v>423.75</v>
      </c>
      <c r="O21" s="56">
        <v>158.1</v>
      </c>
      <c r="P21" s="56">
        <v>114.3</v>
      </c>
      <c r="Q21" s="55"/>
      <c r="R21" s="55">
        <v>6528.35</v>
      </c>
      <c r="S21" s="55"/>
      <c r="T21" s="55">
        <v>5946.5</v>
      </c>
      <c r="U21" s="152">
        <v>581.85000000000036</v>
      </c>
      <c r="V21" s="57">
        <v>8.8099999999999998E-2</v>
      </c>
      <c r="W21" s="57">
        <v>4.0099999999999997E-2</v>
      </c>
      <c r="X21" s="153">
        <v>0.29370000000000002</v>
      </c>
      <c r="Y21" s="153">
        <v>6.3200000000000006E-2</v>
      </c>
      <c r="Z21" s="57">
        <v>2.1999999999999999E-2</v>
      </c>
      <c r="AA21" s="57">
        <v>0.18990000000000001</v>
      </c>
      <c r="AB21" s="57">
        <v>0</v>
      </c>
      <c r="AC21" s="153">
        <v>0.63149999999999995</v>
      </c>
      <c r="AD21" s="57">
        <v>0.1163</v>
      </c>
      <c r="AE21" s="57">
        <v>0</v>
      </c>
      <c r="AF21" s="57">
        <v>1.5318000000000001</v>
      </c>
      <c r="AG21" s="57">
        <v>0.12659999999999999</v>
      </c>
      <c r="AH21" s="57">
        <v>0.1444</v>
      </c>
      <c r="AI21" s="57">
        <v>0.1265</v>
      </c>
      <c r="AJ21" s="57">
        <v>6.7000000000000004E-2</v>
      </c>
      <c r="AK21" s="57">
        <v>4.2900000000000001E-2</v>
      </c>
      <c r="AL21" s="57">
        <v>4.1000000000000002E-2</v>
      </c>
      <c r="AM21" s="57">
        <v>0</v>
      </c>
      <c r="AN21" s="57">
        <v>0</v>
      </c>
      <c r="AO21" s="57">
        <v>2.1714000000000002</v>
      </c>
      <c r="AP21" s="153">
        <v>1.1459999999999999</v>
      </c>
      <c r="AQ21" s="153">
        <v>8.8800000000000004E-2</v>
      </c>
      <c r="AR21" s="57">
        <v>0.58720000000000006</v>
      </c>
      <c r="AS21" s="57">
        <v>3.8300000000000001E-2</v>
      </c>
      <c r="AT21" s="153">
        <v>6.1999999999999998E-3</v>
      </c>
      <c r="AU21" s="153">
        <v>6.4199999999999993E-2</v>
      </c>
      <c r="AV21" s="153">
        <v>0</v>
      </c>
      <c r="AW21" s="154">
        <v>7.6271000000000004</v>
      </c>
      <c r="AX21" s="58">
        <v>0.38140000000000002</v>
      </c>
      <c r="AY21" s="155">
        <f t="shared" si="2"/>
        <v>0.37690000000000001</v>
      </c>
      <c r="AZ21" s="155">
        <f t="shared" si="3"/>
        <v>4.500000000000004E-3</v>
      </c>
      <c r="BA21" s="14">
        <v>8.0084999999999997</v>
      </c>
      <c r="BB21" s="59">
        <f>BA21-'[1]Тариф 26 свод без  ПДВ'!AU21</f>
        <v>-2.4999999999995026E-3</v>
      </c>
      <c r="BC21" s="57">
        <v>1.1526000000000001</v>
      </c>
      <c r="BD21" s="57">
        <v>0</v>
      </c>
      <c r="BE21" s="57">
        <v>0.5222</v>
      </c>
      <c r="BF21" s="156">
        <v>9.3018999999999998</v>
      </c>
      <c r="BG21" s="59">
        <v>0.46510000000000001</v>
      </c>
      <c r="BH21" s="59"/>
      <c r="BI21" s="59"/>
      <c r="BJ21" s="14">
        <v>9.7669999999999995</v>
      </c>
      <c r="BK21" s="60"/>
      <c r="BL21" s="60">
        <v>3.6583000000000006</v>
      </c>
      <c r="BM21" s="60">
        <v>0.18290000000000001</v>
      </c>
      <c r="BN21" s="14">
        <v>3.8412000000000006</v>
      </c>
      <c r="BO21" s="14"/>
      <c r="BP21" s="157"/>
      <c r="BQ21" s="158">
        <f>BJ21-'[1]Тариф 26 свод без  ПДВ'!BG21</f>
        <v>-2.8000000000005798E-3</v>
      </c>
      <c r="BR21" s="77">
        <f>'[1]Тариф 26 свод без  ПДВ'!BG21</f>
        <v>9.7698</v>
      </c>
      <c r="BS21" s="159">
        <f t="shared" si="4"/>
        <v>-2.8000000000005798E-3</v>
      </c>
      <c r="BU21" s="77">
        <f>'[1]Тариф 26 свод без  ПДВ'!AU21</f>
        <v>8.0109999999999992</v>
      </c>
      <c r="BV21" s="159">
        <f t="shared" si="5"/>
        <v>-2.4999999999995026E-3</v>
      </c>
      <c r="BX21" s="95">
        <v>3.6735000000000002</v>
      </c>
      <c r="BY21" s="95">
        <v>4.7548000000000004</v>
      </c>
      <c r="BZ21" s="95"/>
      <c r="CA21" s="182">
        <f t="shared" si="6"/>
        <v>2.1800734993875048</v>
      </c>
      <c r="CB21" s="182">
        <f t="shared" si="7"/>
        <v>2.0541347690754601</v>
      </c>
      <c r="CD21" s="160">
        <f>L21-CE21</f>
        <v>581.85000000000036</v>
      </c>
      <c r="CE21" s="160">
        <f>T21</f>
        <v>5946.5</v>
      </c>
      <c r="CF21" s="77">
        <f>CD21*BA21</f>
        <v>4659.7457250000025</v>
      </c>
      <c r="CG21" s="77">
        <f>BJ21*CE21</f>
        <v>58079.465499999998</v>
      </c>
      <c r="CI21" s="160">
        <f>'[1]0 СВОД'!AYY36</f>
        <v>62078.945819079672</v>
      </c>
      <c r="CJ21" s="77">
        <f t="shared" si="12"/>
        <v>744947.34982895607</v>
      </c>
      <c r="CM21" s="161">
        <v>13</v>
      </c>
      <c r="CN21" s="183" t="s">
        <v>484</v>
      </c>
      <c r="CO21" s="163">
        <v>9</v>
      </c>
      <c r="CP21" s="163">
        <v>1</v>
      </c>
      <c r="CQ21" s="164" t="s">
        <v>184</v>
      </c>
      <c r="CR21" s="165" t="s">
        <v>185</v>
      </c>
      <c r="CS21" s="166">
        <v>552.26000000000022</v>
      </c>
      <c r="CT21" s="166">
        <v>5946.49</v>
      </c>
      <c r="CU21" s="167">
        <v>0</v>
      </c>
      <c r="CV21" s="168">
        <v>6498.75</v>
      </c>
      <c r="CW21" s="166">
        <v>6197.34</v>
      </c>
      <c r="CX21" s="167">
        <v>0</v>
      </c>
      <c r="CY21" s="166">
        <v>301.40999999999985</v>
      </c>
      <c r="CZ21" s="166"/>
      <c r="DA21" s="166">
        <v>6498.75</v>
      </c>
      <c r="DB21" s="166"/>
      <c r="DC21" s="166">
        <v>5946.49</v>
      </c>
      <c r="DD21" s="59">
        <v>8.2799999999999999E-2</v>
      </c>
      <c r="DE21" s="59">
        <v>6.54E-2</v>
      </c>
      <c r="DF21" s="59">
        <v>0.19400000000000001</v>
      </c>
      <c r="DG21" s="59">
        <v>3.7400000000000003E-2</v>
      </c>
      <c r="DH21" s="59">
        <v>8.3000000000000001E-3</v>
      </c>
      <c r="DI21" s="59">
        <v>7.9299999999999995E-2</v>
      </c>
      <c r="DJ21" s="59">
        <v>0</v>
      </c>
      <c r="DK21" s="59">
        <v>0.3458</v>
      </c>
      <c r="DL21" s="169">
        <v>0</v>
      </c>
      <c r="DM21" s="59">
        <v>7.1099999999999997E-2</v>
      </c>
      <c r="DN21" s="169">
        <v>0</v>
      </c>
      <c r="DO21" s="184">
        <v>1.1724000000000001</v>
      </c>
      <c r="DP21" s="171">
        <f t="shared" si="13"/>
        <v>1.5318000000000001</v>
      </c>
      <c r="DQ21" s="59">
        <v>6.1100000000000002E-2</v>
      </c>
      <c r="DR21" s="59">
        <v>8.6999999999999994E-2</v>
      </c>
      <c r="DS21" s="59">
        <v>3.2899999999999999E-2</v>
      </c>
      <c r="DT21" s="59">
        <v>3.1899999999999998E-2</v>
      </c>
      <c r="DU21" s="59">
        <v>1.8200000000000001E-2</v>
      </c>
      <c r="DV21" s="59">
        <v>1.44E-2</v>
      </c>
      <c r="DW21" s="59">
        <v>0</v>
      </c>
      <c r="DX21" s="169">
        <v>0</v>
      </c>
      <c r="DY21" s="59">
        <v>1.1315</v>
      </c>
      <c r="DZ21" s="171">
        <f t="shared" si="14"/>
        <v>1.9190455148033587</v>
      </c>
      <c r="EA21" s="59">
        <v>0.66300000000000003</v>
      </c>
      <c r="EB21" s="171">
        <f t="shared" si="15"/>
        <v>1.862443438914027</v>
      </c>
      <c r="EC21" s="59">
        <v>0.32290000000000002</v>
      </c>
      <c r="ED21" s="171">
        <f t="shared" si="16"/>
        <v>1.8185196655311242</v>
      </c>
      <c r="EE21" s="59">
        <v>2.9399999999999999E-2</v>
      </c>
      <c r="EF21" s="59">
        <v>4.1000000000000003E-3</v>
      </c>
      <c r="EG21" s="59">
        <v>3.4099999999999998E-2</v>
      </c>
      <c r="EH21" s="59">
        <v>0</v>
      </c>
      <c r="EI21" s="155">
        <v>0.11219999999999999</v>
      </c>
      <c r="EJ21" s="172">
        <v>4.5991999999999997</v>
      </c>
      <c r="EK21" s="173"/>
      <c r="EL21" s="59">
        <v>0.99629999999999996</v>
      </c>
      <c r="EM21" s="59">
        <v>0.26279999999999998</v>
      </c>
      <c r="EN21" s="59">
        <v>0.14369999999999999</v>
      </c>
      <c r="EO21" s="172">
        <v>5.8898000000000001</v>
      </c>
      <c r="ES21" s="57">
        <f t="shared" si="29"/>
        <v>4.5991999999999997</v>
      </c>
      <c r="ET21" s="57">
        <f t="shared" si="30"/>
        <v>5.8898000000000001</v>
      </c>
      <c r="EU21" s="95"/>
      <c r="EV21" s="61">
        <f t="shared" si="17"/>
        <v>1.7412810923638895</v>
      </c>
      <c r="EW21" s="61">
        <f>BJ21/ET21</f>
        <v>1.6582906040952152</v>
      </c>
      <c r="EX21" s="199">
        <v>6.0227000000000004</v>
      </c>
      <c r="EY21" s="174">
        <v>7.8517000000000001</v>
      </c>
      <c r="EZ21" s="158">
        <f t="shared" si="19"/>
        <v>8.0084999999999997</v>
      </c>
      <c r="FA21" s="158">
        <f t="shared" si="20"/>
        <v>9.7669999999999995</v>
      </c>
      <c r="FB21" s="158">
        <f>BA21-EX21</f>
        <v>1.9857999999999993</v>
      </c>
      <c r="FC21" s="158">
        <f>BJ21-EY21</f>
        <v>1.9152999999999993</v>
      </c>
      <c r="FD21" s="175">
        <f t="shared" si="54"/>
        <v>0.32971922891726291</v>
      </c>
      <c r="FE21" s="175">
        <f t="shared" si="55"/>
        <v>0.19609910924541818</v>
      </c>
      <c r="FF21" s="158"/>
      <c r="FG21" s="174"/>
      <c r="FH21" s="174">
        <f t="shared" si="33"/>
        <v>52282.290975000004</v>
      </c>
      <c r="FI21" s="174"/>
      <c r="FJ21" s="176">
        <v>1.3095000000000001</v>
      </c>
      <c r="FK21" s="176">
        <f t="shared" si="34"/>
        <v>1.3297297383458491</v>
      </c>
      <c r="FL21" s="87">
        <v>1.3331</v>
      </c>
      <c r="FM21" s="177">
        <f t="shared" si="35"/>
        <v>1.243935641808728</v>
      </c>
      <c r="FO21" s="88">
        <f t="shared" si="21"/>
        <v>52282.290975000004</v>
      </c>
      <c r="FP21" s="79">
        <f t="shared" si="22"/>
        <v>58079.465499999998</v>
      </c>
      <c r="FS21" s="79">
        <f t="shared" si="23"/>
        <v>30025.187320000001</v>
      </c>
      <c r="FT21" s="79">
        <f t="shared" si="24"/>
        <v>35023.695700000004</v>
      </c>
      <c r="FU21" s="79">
        <f t="shared" si="36"/>
        <v>1.7412810923638895</v>
      </c>
      <c r="FV21" s="79">
        <f t="shared" si="36"/>
        <v>1.6582906040952152</v>
      </c>
      <c r="FY21" s="79">
        <f t="shared" si="37"/>
        <v>4659.7457250000025</v>
      </c>
      <c r="FZ21" s="79">
        <f t="shared" si="38"/>
        <v>58079.465499999998</v>
      </c>
      <c r="GB21" s="178">
        <f t="shared" si="39"/>
        <v>581.85000000000036</v>
      </c>
      <c r="GC21" s="178">
        <f t="shared" si="40"/>
        <v>5946.5</v>
      </c>
      <c r="GG21" s="14">
        <v>6.0818999999999992</v>
      </c>
      <c r="GH21" s="175">
        <f t="shared" si="41"/>
        <v>1.3167760074976571</v>
      </c>
      <c r="GI21" s="14">
        <v>8.0916999999999994</v>
      </c>
      <c r="GJ21" s="175">
        <f t="shared" si="42"/>
        <v>1.2070393118874896</v>
      </c>
      <c r="GK21" s="175">
        <f t="shared" si="56"/>
        <v>0.10973669561016752</v>
      </c>
      <c r="GN21" s="14">
        <v>8.2024999999999988</v>
      </c>
      <c r="GO21" s="175">
        <f t="shared" si="44"/>
        <v>1.3486739341324256</v>
      </c>
      <c r="GP21" s="179">
        <f t="shared" si="45"/>
        <v>0.97634867418469995</v>
      </c>
      <c r="GQ21" s="14">
        <v>9.8032000000000004</v>
      </c>
      <c r="GR21" s="175">
        <f t="shared" si="46"/>
        <v>1.2115130318721654</v>
      </c>
      <c r="GS21" s="175">
        <f t="shared" si="47"/>
        <v>0.99630732821935686</v>
      </c>
      <c r="GV21" s="32">
        <f t="shared" si="25"/>
        <v>4659.7457250000025</v>
      </c>
      <c r="GW21" s="32">
        <f t="shared" si="26"/>
        <v>58079.465499999998</v>
      </c>
      <c r="GX21" s="180">
        <f t="shared" si="48"/>
        <v>62739.211224999999</v>
      </c>
      <c r="GZ21" s="32">
        <f t="shared" si="49"/>
        <v>8.0084999999999997</v>
      </c>
      <c r="HA21" s="32">
        <f t="shared" si="50"/>
        <v>9.7669999999999995</v>
      </c>
      <c r="HB21" s="32">
        <f t="shared" si="51"/>
        <v>9.6102707766893616</v>
      </c>
    </row>
    <row r="22" spans="1:210" ht="19.2" customHeight="1" x14ac:dyDescent="0.3">
      <c r="A22" s="50">
        <v>14</v>
      </c>
      <c r="B22" s="51" t="s">
        <v>485</v>
      </c>
      <c r="C22" s="150" t="s">
        <v>459</v>
      </c>
      <c r="D22" s="52">
        <v>2</v>
      </c>
      <c r="E22" s="52">
        <v>3</v>
      </c>
      <c r="F22" s="63">
        <v>16</v>
      </c>
      <c r="G22" s="54" t="s">
        <v>9</v>
      </c>
      <c r="H22" s="181" t="s">
        <v>8</v>
      </c>
      <c r="I22" s="55">
        <f t="shared" si="27"/>
        <v>932</v>
      </c>
      <c r="J22" s="55">
        <f t="shared" si="0"/>
        <v>0</v>
      </c>
      <c r="K22" s="55">
        <f t="shared" si="1"/>
        <v>0</v>
      </c>
      <c r="L22" s="56">
        <v>932</v>
      </c>
      <c r="M22" s="56">
        <v>932</v>
      </c>
      <c r="N22" s="56">
        <f t="shared" si="28"/>
        <v>932</v>
      </c>
      <c r="O22" s="56">
        <v>0</v>
      </c>
      <c r="P22" s="56">
        <v>0</v>
      </c>
      <c r="Q22" s="55"/>
      <c r="R22" s="55">
        <v>932</v>
      </c>
      <c r="S22" s="55"/>
      <c r="T22" s="55">
        <v>0</v>
      </c>
      <c r="U22" s="152">
        <v>932</v>
      </c>
      <c r="V22" s="12">
        <v>0.156</v>
      </c>
      <c r="W22" s="12">
        <v>9.8699999999999996E-2</v>
      </c>
      <c r="X22" s="12">
        <v>0.36430000000000001</v>
      </c>
      <c r="Y22" s="12">
        <v>7.1400000000000005E-2</v>
      </c>
      <c r="Z22" s="12">
        <v>0</v>
      </c>
      <c r="AA22" s="12">
        <v>0.58520000000000005</v>
      </c>
      <c r="AB22" s="12">
        <v>0</v>
      </c>
      <c r="AC22" s="12">
        <v>0.63149999999999995</v>
      </c>
      <c r="AD22" s="12">
        <v>0.1358</v>
      </c>
      <c r="AE22" s="12">
        <v>0</v>
      </c>
      <c r="AF22" s="12">
        <v>1.4052</v>
      </c>
      <c r="AG22" s="12">
        <v>0.20269999999999999</v>
      </c>
      <c r="AH22" s="12">
        <v>0.36220000000000002</v>
      </c>
      <c r="AI22" s="12">
        <v>9.1700000000000004E-2</v>
      </c>
      <c r="AJ22" s="12">
        <v>0.1231</v>
      </c>
      <c r="AK22" s="12">
        <v>0</v>
      </c>
      <c r="AL22" s="12">
        <v>0.14399999999999999</v>
      </c>
      <c r="AM22" s="12">
        <v>4.4200000000000003E-2</v>
      </c>
      <c r="AN22" s="12">
        <v>0</v>
      </c>
      <c r="AO22" s="12">
        <v>2.8563000000000001</v>
      </c>
      <c r="AP22" s="12">
        <v>1.1818</v>
      </c>
      <c r="AQ22" s="12">
        <v>8.2000000000000003E-2</v>
      </c>
      <c r="AR22" s="12">
        <v>0.93110000000000004</v>
      </c>
      <c r="AS22" s="12">
        <v>0.17330000000000001</v>
      </c>
      <c r="AT22" s="12">
        <v>2.81E-2</v>
      </c>
      <c r="AU22" s="12">
        <v>0.49430000000000002</v>
      </c>
      <c r="AV22" s="12">
        <v>0</v>
      </c>
      <c r="AW22" s="188">
        <v>10.162900000000002</v>
      </c>
      <c r="AX22" s="13">
        <v>0.5081</v>
      </c>
      <c r="AY22" s="189">
        <f t="shared" si="2"/>
        <v>0.504</v>
      </c>
      <c r="AZ22" s="189">
        <f t="shared" si="3"/>
        <v>4.0999999999999925E-3</v>
      </c>
      <c r="BA22" s="14">
        <v>10.671000000000003</v>
      </c>
      <c r="BB22" s="190">
        <f>BA22-'[1]Тариф 26 свод без  ПДВ'!AU22</f>
        <v>4.300000000002413E-3</v>
      </c>
      <c r="BC22" s="12">
        <v>0</v>
      </c>
      <c r="BD22" s="12">
        <v>0</v>
      </c>
      <c r="BE22" s="12">
        <v>0</v>
      </c>
      <c r="BF22" s="191">
        <v>10.162900000000002</v>
      </c>
      <c r="BG22" s="190">
        <v>0.5081</v>
      </c>
      <c r="BH22" s="190"/>
      <c r="BI22" s="190"/>
      <c r="BJ22" s="14">
        <v>10.671000000000003</v>
      </c>
      <c r="BK22" s="60"/>
      <c r="BL22" s="60">
        <v>4.6994000000000007</v>
      </c>
      <c r="BM22" s="60">
        <v>0.23499999999999999</v>
      </c>
      <c r="BN22" s="14">
        <v>4.934400000000001</v>
      </c>
      <c r="BO22" s="14"/>
      <c r="BP22" s="157"/>
      <c r="BQ22" s="158">
        <f>BJ22-'[1]Тариф 26 свод без  ПДВ'!BG22</f>
        <v>4.300000000002413E-3</v>
      </c>
      <c r="BR22" s="77">
        <f>'[1]Тариф 26 свод без  ПДВ'!BG22</f>
        <v>10.666700000000001</v>
      </c>
      <c r="BS22" s="159">
        <f t="shared" si="4"/>
        <v>4.300000000002413E-3</v>
      </c>
      <c r="BU22" s="77">
        <f>'[1]Тариф 26 свод без  ПДВ'!AU22</f>
        <v>10.666700000000001</v>
      </c>
      <c r="BV22" s="159">
        <f t="shared" si="5"/>
        <v>4.300000000002413E-3</v>
      </c>
      <c r="BX22" s="95">
        <v>4.7591999999999999</v>
      </c>
      <c r="BY22" s="95">
        <v>4.7591999999999999</v>
      </c>
      <c r="BZ22" s="95"/>
      <c r="CA22" s="200">
        <f t="shared" si="6"/>
        <v>2.2421835602622298</v>
      </c>
      <c r="CB22" s="200">
        <f t="shared" si="7"/>
        <v>2.2421835602622298</v>
      </c>
      <c r="CI22" s="160">
        <f>'[1]0 СВОД'!AYY37</f>
        <v>9945.4135692422296</v>
      </c>
      <c r="CJ22" s="77">
        <f t="shared" si="12"/>
        <v>119344.96283090676</v>
      </c>
      <c r="CM22" s="161">
        <v>14</v>
      </c>
      <c r="CN22" s="162" t="s">
        <v>486</v>
      </c>
      <c r="CO22" s="163">
        <v>2</v>
      </c>
      <c r="CP22" s="163">
        <v>3</v>
      </c>
      <c r="CQ22" s="164" t="s">
        <v>9</v>
      </c>
      <c r="CR22" s="165" t="s">
        <v>8</v>
      </c>
      <c r="CS22" s="166">
        <v>928.1</v>
      </c>
      <c r="CT22" s="166">
        <v>0</v>
      </c>
      <c r="CU22" s="167">
        <v>0</v>
      </c>
      <c r="CV22" s="168">
        <v>928.1</v>
      </c>
      <c r="CW22" s="166">
        <v>928.1</v>
      </c>
      <c r="CX22" s="167">
        <v>0</v>
      </c>
      <c r="CY22" s="166">
        <v>0</v>
      </c>
      <c r="CZ22" s="166"/>
      <c r="DA22" s="166">
        <v>928.1</v>
      </c>
      <c r="DB22" s="166"/>
      <c r="DC22" s="166">
        <v>0</v>
      </c>
      <c r="DD22" s="59">
        <v>0.14860000000000001</v>
      </c>
      <c r="DE22" s="59">
        <v>0.1666</v>
      </c>
      <c r="DF22" s="59">
        <v>0.24010000000000001</v>
      </c>
      <c r="DG22" s="59">
        <v>4.2000000000000003E-2</v>
      </c>
      <c r="DH22" s="59">
        <v>0</v>
      </c>
      <c r="DI22" s="59">
        <v>0.25430000000000003</v>
      </c>
      <c r="DJ22" s="59">
        <v>4.8099999999999997E-2</v>
      </c>
      <c r="DK22" s="59">
        <v>0.3458</v>
      </c>
      <c r="DL22" s="169">
        <v>0</v>
      </c>
      <c r="DM22" s="59">
        <v>8.3000000000000004E-2</v>
      </c>
      <c r="DN22" s="169">
        <v>0</v>
      </c>
      <c r="DO22" s="170">
        <v>1.014</v>
      </c>
      <c r="DP22" s="171">
        <f t="shared" si="13"/>
        <v>1.4052</v>
      </c>
      <c r="DQ22" s="59">
        <v>9.7900000000000001E-2</v>
      </c>
      <c r="DR22" s="59">
        <v>0.21759999999999999</v>
      </c>
      <c r="DS22" s="59">
        <v>2.3800000000000002E-2</v>
      </c>
      <c r="DT22" s="59">
        <v>5.8500000000000003E-2</v>
      </c>
      <c r="DU22" s="59">
        <v>0</v>
      </c>
      <c r="DV22" s="59">
        <v>5.0599999999999999E-2</v>
      </c>
      <c r="DW22" s="59">
        <v>1.43E-2</v>
      </c>
      <c r="DX22" s="169">
        <v>0</v>
      </c>
      <c r="DY22" s="59">
        <v>1.3584000000000001</v>
      </c>
      <c r="DZ22" s="171">
        <f t="shared" si="14"/>
        <v>2.1026943462897525</v>
      </c>
      <c r="EA22" s="59">
        <v>0.73319999999999996</v>
      </c>
      <c r="EB22" s="171">
        <f t="shared" si="15"/>
        <v>1.7236770321876707</v>
      </c>
      <c r="EC22" s="59">
        <v>0.44640000000000002</v>
      </c>
      <c r="ED22" s="171">
        <f t="shared" si="16"/>
        <v>2.0857974910394264</v>
      </c>
      <c r="EE22" s="59">
        <v>0.13320000000000001</v>
      </c>
      <c r="EF22" s="59">
        <v>1.8499999999999999E-2</v>
      </c>
      <c r="EG22" s="59">
        <v>0.309</v>
      </c>
      <c r="EH22" s="59">
        <v>0</v>
      </c>
      <c r="EI22" s="195">
        <v>0.14510000000000001</v>
      </c>
      <c r="EJ22" s="172">
        <v>5.9490000000000016</v>
      </c>
      <c r="EK22" s="173"/>
      <c r="EL22" s="169">
        <v>0</v>
      </c>
      <c r="EM22" s="169">
        <v>0</v>
      </c>
      <c r="EN22" s="59"/>
      <c r="EO22" s="172"/>
      <c r="ES22" s="57">
        <f t="shared" si="29"/>
        <v>5.9490000000000016</v>
      </c>
      <c r="ET22" s="57">
        <f t="shared" si="30"/>
        <v>0</v>
      </c>
      <c r="EU22" s="31"/>
      <c r="EV22" s="61">
        <f t="shared" si="17"/>
        <v>1.7937468482097831</v>
      </c>
      <c r="EW22" s="61"/>
      <c r="EX22" s="159">
        <f t="shared" ref="EX22:EX26" si="57">EY22/1.05</f>
        <v>-2.3101771428571434</v>
      </c>
      <c r="EY22" s="32">
        <f>ES22*1.386-BJ22</f>
        <v>-2.4256860000000007</v>
      </c>
      <c r="EZ22" s="158">
        <f t="shared" si="19"/>
        <v>10.671000000000003</v>
      </c>
      <c r="FA22" s="159">
        <f t="shared" si="20"/>
        <v>10.671000000000003</v>
      </c>
      <c r="FB22" s="158">
        <f t="shared" ref="FB22:FB26" si="58">ES22*1.34</f>
        <v>7.9716600000000026</v>
      </c>
      <c r="FC22" s="158">
        <f t="shared" ref="FC22:FC26" si="59">EZ22-FB22</f>
        <v>2.6993400000000003</v>
      </c>
      <c r="FD22" s="158"/>
      <c r="FE22" s="158"/>
      <c r="FF22" s="158"/>
      <c r="FG22" s="174"/>
      <c r="FH22" s="174">
        <f t="shared" si="33"/>
        <v>9945.372000000003</v>
      </c>
      <c r="FI22" s="174"/>
      <c r="FJ22" s="87">
        <v>1.4256</v>
      </c>
      <c r="FK22" s="176">
        <f t="shared" si="34"/>
        <v>1.258239932807087</v>
      </c>
      <c r="FM22" s="87" t="e">
        <f t="shared" si="35"/>
        <v>#DIV/0!</v>
      </c>
      <c r="FO22" s="88">
        <f t="shared" si="21"/>
        <v>9945.372000000003</v>
      </c>
      <c r="FP22" s="79">
        <f t="shared" si="22"/>
        <v>0</v>
      </c>
      <c r="FS22" s="79">
        <f t="shared" si="23"/>
        <v>5544.4680000000017</v>
      </c>
      <c r="FT22" s="79">
        <f t="shared" si="24"/>
        <v>0</v>
      </c>
      <c r="FU22" s="79">
        <f t="shared" si="36"/>
        <v>1.7937468482097831</v>
      </c>
      <c r="FV22" s="79" t="e">
        <f t="shared" si="36"/>
        <v>#DIV/0!</v>
      </c>
      <c r="FY22" s="79">
        <f t="shared" si="37"/>
        <v>9945.372000000003</v>
      </c>
      <c r="FZ22" s="79">
        <f t="shared" si="38"/>
        <v>0</v>
      </c>
      <c r="GB22" s="178">
        <f t="shared" si="39"/>
        <v>932</v>
      </c>
      <c r="GC22" s="178">
        <f t="shared" si="40"/>
        <v>0</v>
      </c>
      <c r="GE22" s="196"/>
      <c r="GF22" s="196"/>
      <c r="GG22" s="14">
        <v>8.4027999999999992</v>
      </c>
      <c r="GH22" s="197">
        <f t="shared" si="41"/>
        <v>1.26993383157995</v>
      </c>
      <c r="GI22" s="14">
        <v>8.4027999999999992</v>
      </c>
      <c r="GJ22" s="197">
        <f t="shared" si="42"/>
        <v>1.26993383157995</v>
      </c>
      <c r="GK22" s="197">
        <f t="shared" si="56"/>
        <v>0</v>
      </c>
      <c r="GL22" s="196"/>
      <c r="GM22" s="196"/>
      <c r="GN22" s="14">
        <v>10.879600000000002</v>
      </c>
      <c r="GO22" s="197">
        <f t="shared" si="44"/>
        <v>1.2947588898938451</v>
      </c>
      <c r="GP22" s="198">
        <f t="shared" si="45"/>
        <v>0.98082650097430069</v>
      </c>
      <c r="GQ22" s="14">
        <v>10.879600000000002</v>
      </c>
      <c r="GR22" s="197">
        <f t="shared" si="46"/>
        <v>1.2947588898938451</v>
      </c>
      <c r="GS22" s="197">
        <f t="shared" si="47"/>
        <v>0.98082650097430069</v>
      </c>
      <c r="GT22" s="196"/>
      <c r="GV22" s="32">
        <f t="shared" si="25"/>
        <v>9945.372000000003</v>
      </c>
      <c r="GW22" s="32">
        <f t="shared" si="26"/>
        <v>0</v>
      </c>
      <c r="GX22" s="180">
        <f t="shared" si="48"/>
        <v>9945.372000000003</v>
      </c>
      <c r="GZ22" s="32">
        <f t="shared" si="49"/>
        <v>10.671000000000003</v>
      </c>
      <c r="HA22" s="32" t="e">
        <f t="shared" si="50"/>
        <v>#DIV/0!</v>
      </c>
      <c r="HB22" s="32">
        <f t="shared" si="51"/>
        <v>10.671000000000003</v>
      </c>
    </row>
    <row r="23" spans="1:210" ht="19.2" customHeight="1" x14ac:dyDescent="0.3">
      <c r="A23" s="50">
        <v>15</v>
      </c>
      <c r="B23" s="51" t="s">
        <v>487</v>
      </c>
      <c r="C23" s="51"/>
      <c r="D23" s="52">
        <v>2</v>
      </c>
      <c r="E23" s="52">
        <v>1</v>
      </c>
      <c r="F23" s="187">
        <v>25</v>
      </c>
      <c r="G23" s="54" t="s">
        <v>10</v>
      </c>
      <c r="H23" s="181" t="s">
        <v>11</v>
      </c>
      <c r="I23" s="55">
        <f t="shared" si="27"/>
        <v>880.78</v>
      </c>
      <c r="J23" s="55">
        <f t="shared" si="0"/>
        <v>0</v>
      </c>
      <c r="K23" s="55">
        <f t="shared" si="1"/>
        <v>0</v>
      </c>
      <c r="L23" s="56">
        <v>880.78</v>
      </c>
      <c r="M23" s="56">
        <v>880.78</v>
      </c>
      <c r="N23" s="56">
        <f t="shared" si="28"/>
        <v>880.78</v>
      </c>
      <c r="O23" s="56">
        <v>0</v>
      </c>
      <c r="P23" s="56">
        <v>0</v>
      </c>
      <c r="Q23" s="55"/>
      <c r="R23" s="55">
        <v>880.78</v>
      </c>
      <c r="S23" s="55"/>
      <c r="T23" s="55">
        <v>0</v>
      </c>
      <c r="U23" s="152">
        <v>880.78</v>
      </c>
      <c r="V23" s="57">
        <v>0.1857</v>
      </c>
      <c r="W23" s="153">
        <v>0.17230000000000001</v>
      </c>
      <c r="X23" s="57">
        <v>0.32979999999999998</v>
      </c>
      <c r="Y23" s="57">
        <v>0</v>
      </c>
      <c r="Z23" s="153">
        <v>0</v>
      </c>
      <c r="AA23" s="57">
        <v>0.17510000000000001</v>
      </c>
      <c r="AB23" s="153">
        <v>0</v>
      </c>
      <c r="AC23" s="57">
        <v>0.62080000000000002</v>
      </c>
      <c r="AD23" s="57">
        <v>2.69E-2</v>
      </c>
      <c r="AE23" s="57">
        <v>0</v>
      </c>
      <c r="AF23" s="57">
        <v>1.6395</v>
      </c>
      <c r="AG23" s="57">
        <v>0.34139999999999998</v>
      </c>
      <c r="AH23" s="57">
        <v>0.3639</v>
      </c>
      <c r="AI23" s="153">
        <v>8.5199999999999998E-2</v>
      </c>
      <c r="AJ23" s="153">
        <v>0</v>
      </c>
      <c r="AK23" s="153">
        <v>0</v>
      </c>
      <c r="AL23" s="57">
        <v>2.5000000000000001E-2</v>
      </c>
      <c r="AM23" s="153">
        <v>0.04</v>
      </c>
      <c r="AN23" s="57">
        <v>0</v>
      </c>
      <c r="AO23" s="153">
        <v>3.6109</v>
      </c>
      <c r="AP23" s="57">
        <v>0.78869999999999996</v>
      </c>
      <c r="AQ23" s="57">
        <v>0</v>
      </c>
      <c r="AR23" s="153">
        <v>0.80059999999999998</v>
      </c>
      <c r="AS23" s="57">
        <v>0</v>
      </c>
      <c r="AT23" s="57">
        <v>0</v>
      </c>
      <c r="AU23" s="153">
        <v>0.999</v>
      </c>
      <c r="AV23" s="153">
        <v>0</v>
      </c>
      <c r="AW23" s="154">
        <v>10.204800000000001</v>
      </c>
      <c r="AX23" s="58">
        <v>0.51019999999999999</v>
      </c>
      <c r="AY23" s="155">
        <f t="shared" si="2"/>
        <v>0.51019999999999999</v>
      </c>
      <c r="AZ23" s="155">
        <f t="shared" si="3"/>
        <v>0</v>
      </c>
      <c r="BA23" s="14">
        <v>10.715</v>
      </c>
      <c r="BB23" s="59">
        <f>BA23-'[1]Тариф 26 свод без  ПДВ'!AU23</f>
        <v>-5.5999999999993832E-3</v>
      </c>
      <c r="BC23" s="57">
        <v>0</v>
      </c>
      <c r="BD23" s="57">
        <v>0</v>
      </c>
      <c r="BE23" s="57">
        <v>0</v>
      </c>
      <c r="BF23" s="156">
        <v>10.204800000000001</v>
      </c>
      <c r="BG23" s="59">
        <v>0.51019999999999999</v>
      </c>
      <c r="BH23" s="59"/>
      <c r="BI23" s="59"/>
      <c r="BJ23" s="14">
        <v>10.715</v>
      </c>
      <c r="BK23" s="60"/>
      <c r="BL23" s="60">
        <v>4.0056000000000003</v>
      </c>
      <c r="BM23" s="60">
        <v>0.20030000000000001</v>
      </c>
      <c r="BN23" s="14">
        <v>4.2059000000000006</v>
      </c>
      <c r="BO23" s="14"/>
      <c r="BP23" s="157"/>
      <c r="BQ23" s="158">
        <f>BJ23-'[1]Тариф 26 свод без  ПДВ'!BG23</f>
        <v>-5.5999999999993832E-3</v>
      </c>
      <c r="BR23" s="77">
        <f>'[1]Тариф 26 свод без  ПДВ'!BG23</f>
        <v>10.720599999999999</v>
      </c>
      <c r="BS23" s="159">
        <f t="shared" si="4"/>
        <v>-5.5999999999993832E-3</v>
      </c>
      <c r="BU23" s="77">
        <f>'[1]Тариф 26 свод без  ПДВ'!AU23</f>
        <v>10.720599999999999</v>
      </c>
      <c r="BV23" s="159">
        <f t="shared" si="5"/>
        <v>-5.5999999999993832E-3</v>
      </c>
      <c r="BX23" s="95">
        <v>4.5766000000000009</v>
      </c>
      <c r="BY23" s="95">
        <v>4.5766000000000009</v>
      </c>
      <c r="BZ23" s="95"/>
      <c r="CA23" s="62">
        <f t="shared" si="6"/>
        <v>2.3412577022243584</v>
      </c>
      <c r="CB23" s="62">
        <f t="shared" si="7"/>
        <v>2.3412577022243584</v>
      </c>
      <c r="CI23" s="160">
        <f>'[1]0 СВОД'!AYY38</f>
        <v>9437.4034744025412</v>
      </c>
      <c r="CJ23" s="77">
        <f t="shared" si="12"/>
        <v>113248.84169283049</v>
      </c>
      <c r="CM23" s="161">
        <v>16</v>
      </c>
      <c r="CN23" s="162" t="s">
        <v>488</v>
      </c>
      <c r="CO23" s="163">
        <v>2</v>
      </c>
      <c r="CP23" s="163">
        <v>1</v>
      </c>
      <c r="CQ23" s="164" t="s">
        <v>10</v>
      </c>
      <c r="CR23" s="165" t="s">
        <v>11</v>
      </c>
      <c r="CS23" s="166">
        <v>880.78</v>
      </c>
      <c r="CT23" s="166">
        <v>0</v>
      </c>
      <c r="CU23" s="167">
        <v>0</v>
      </c>
      <c r="CV23" s="168">
        <v>880.78</v>
      </c>
      <c r="CW23" s="166">
        <v>880.78</v>
      </c>
      <c r="CX23" s="167">
        <v>0</v>
      </c>
      <c r="CY23" s="166">
        <v>0</v>
      </c>
      <c r="CZ23" s="166"/>
      <c r="DA23" s="166">
        <v>880.78</v>
      </c>
      <c r="DB23" s="166"/>
      <c r="DC23" s="166">
        <v>0</v>
      </c>
      <c r="DD23" s="59">
        <v>0.28910000000000002</v>
      </c>
      <c r="DE23" s="170">
        <v>0.21999999999999997</v>
      </c>
      <c r="DF23" s="59">
        <v>0.21640000000000001</v>
      </c>
      <c r="DG23" s="59">
        <v>0</v>
      </c>
      <c r="DH23" s="59">
        <v>0</v>
      </c>
      <c r="DI23" s="59">
        <v>7.6200000000000004E-2</v>
      </c>
      <c r="DJ23" s="59">
        <v>4.8099999999999997E-2</v>
      </c>
      <c r="DK23" s="59">
        <v>0.33839999999999998</v>
      </c>
      <c r="DL23" s="169">
        <v>0</v>
      </c>
      <c r="DM23" s="59">
        <v>1.6400000000000001E-2</v>
      </c>
      <c r="DN23" s="169">
        <v>0</v>
      </c>
      <c r="DO23" s="170">
        <v>0.71299999999999997</v>
      </c>
      <c r="DP23" s="171">
        <f t="shared" si="13"/>
        <v>1.6395</v>
      </c>
      <c r="DQ23" s="59">
        <v>0.18959999999999999</v>
      </c>
      <c r="DR23" s="59">
        <v>0.36549999999999999</v>
      </c>
      <c r="DS23" s="59">
        <v>2.1999999999999999E-2</v>
      </c>
      <c r="DT23" s="59">
        <v>0</v>
      </c>
      <c r="DU23" s="59">
        <v>0</v>
      </c>
      <c r="DV23" s="59">
        <v>8.8000000000000005E-3</v>
      </c>
      <c r="DW23" s="59">
        <v>1.2200000000000001E-2</v>
      </c>
      <c r="DX23" s="169">
        <v>0</v>
      </c>
      <c r="DY23" s="59">
        <v>1.6123000000000001</v>
      </c>
      <c r="DZ23" s="171">
        <f t="shared" si="14"/>
        <v>2.2395956087576754</v>
      </c>
      <c r="EA23" s="59">
        <v>0.43919999999999998</v>
      </c>
      <c r="EB23" s="171">
        <f t="shared" si="15"/>
        <v>1.7957650273224044</v>
      </c>
      <c r="EC23" s="59">
        <v>0.37009999999999998</v>
      </c>
      <c r="ED23" s="171">
        <f t="shared" si="16"/>
        <v>2.1631991353688194</v>
      </c>
      <c r="EE23" s="169">
        <v>0</v>
      </c>
      <c r="EF23" s="169">
        <v>0</v>
      </c>
      <c r="EG23" s="59">
        <v>0.9506</v>
      </c>
      <c r="EH23" s="59">
        <v>0</v>
      </c>
      <c r="EI23" s="195">
        <v>0.1472</v>
      </c>
      <c r="EJ23" s="172">
        <v>6.035099999999999</v>
      </c>
      <c r="EK23" s="173"/>
      <c r="EL23" s="169">
        <v>0</v>
      </c>
      <c r="EM23" s="169">
        <v>0</v>
      </c>
      <c r="EN23" s="59"/>
      <c r="EO23" s="172"/>
      <c r="ES23" s="57">
        <f t="shared" si="29"/>
        <v>6.035099999999999</v>
      </c>
      <c r="ET23" s="57">
        <f t="shared" si="30"/>
        <v>0</v>
      </c>
      <c r="EU23" s="31"/>
      <c r="EV23" s="61">
        <f t="shared" si="17"/>
        <v>1.7754469685672154</v>
      </c>
      <c r="EW23" s="62"/>
      <c r="EX23" s="159">
        <f t="shared" si="57"/>
        <v>-2.2384299047619054</v>
      </c>
      <c r="EY23" s="32">
        <f>ES23*1.386-BJ23</f>
        <v>-2.350351400000001</v>
      </c>
      <c r="EZ23" s="158">
        <f t="shared" si="19"/>
        <v>10.715</v>
      </c>
      <c r="FA23" s="159">
        <f t="shared" si="20"/>
        <v>10.715</v>
      </c>
      <c r="FB23" s="158">
        <f t="shared" si="58"/>
        <v>8.0870339999999992</v>
      </c>
      <c r="FC23" s="158">
        <f t="shared" si="59"/>
        <v>2.6279660000000007</v>
      </c>
      <c r="FD23" s="158"/>
      <c r="FE23" s="158"/>
      <c r="FF23" s="158"/>
      <c r="FG23" s="174"/>
      <c r="FH23" s="174">
        <f t="shared" si="33"/>
        <v>9437.5576999999994</v>
      </c>
      <c r="FI23" s="174"/>
      <c r="FJ23" s="87">
        <v>1.444284270351776</v>
      </c>
      <c r="FK23" s="176">
        <f t="shared" si="34"/>
        <v>1.2292919095039234</v>
      </c>
      <c r="FM23" s="87" t="e">
        <f t="shared" si="35"/>
        <v>#DIV/0!</v>
      </c>
      <c r="FO23" s="88">
        <f t="shared" si="21"/>
        <v>9437.5576999999994</v>
      </c>
      <c r="FP23" s="79">
        <f t="shared" si="22"/>
        <v>0</v>
      </c>
      <c r="FS23" s="79">
        <f t="shared" si="23"/>
        <v>5315.5953779999991</v>
      </c>
      <c r="FT23" s="79">
        <f t="shared" si="24"/>
        <v>0</v>
      </c>
      <c r="FU23" s="79">
        <f t="shared" si="36"/>
        <v>1.7754469685672154</v>
      </c>
      <c r="FV23" s="79" t="e">
        <f t="shared" si="36"/>
        <v>#DIV/0!</v>
      </c>
      <c r="FY23" s="79">
        <f t="shared" si="37"/>
        <v>9437.5576999999994</v>
      </c>
      <c r="FZ23" s="79">
        <f t="shared" si="38"/>
        <v>0</v>
      </c>
      <c r="GB23" s="178">
        <f t="shared" si="39"/>
        <v>880.78</v>
      </c>
      <c r="GC23" s="178">
        <f t="shared" si="40"/>
        <v>0</v>
      </c>
      <c r="GG23" s="14">
        <v>8.5299999999999994</v>
      </c>
      <c r="GH23" s="175">
        <f t="shared" si="41"/>
        <v>1.2561547479484174</v>
      </c>
      <c r="GI23" s="14">
        <v>8.5299999999999994</v>
      </c>
      <c r="GJ23" s="175">
        <f t="shared" si="42"/>
        <v>1.2561547479484174</v>
      </c>
      <c r="GK23" s="175">
        <f t="shared" si="56"/>
        <v>0</v>
      </c>
      <c r="GN23" s="14">
        <v>10.479199999999999</v>
      </c>
      <c r="GO23" s="175">
        <f t="shared" si="44"/>
        <v>1.2285111371629542</v>
      </c>
      <c r="GP23" s="179">
        <f t="shared" si="45"/>
        <v>1.0225017176883733</v>
      </c>
      <c r="GQ23" s="14">
        <v>10.479199999999999</v>
      </c>
      <c r="GR23" s="175">
        <f t="shared" si="46"/>
        <v>1.2285111371629542</v>
      </c>
      <c r="GS23" s="175">
        <f t="shared" si="47"/>
        <v>1.0225017176883733</v>
      </c>
      <c r="GV23" s="32">
        <f t="shared" si="25"/>
        <v>9437.5576999999994</v>
      </c>
      <c r="GW23" s="32">
        <f t="shared" si="26"/>
        <v>0</v>
      </c>
      <c r="GX23" s="180">
        <f t="shared" si="48"/>
        <v>9437.5576999999994</v>
      </c>
      <c r="GZ23" s="32">
        <f t="shared" si="49"/>
        <v>10.715</v>
      </c>
      <c r="HA23" s="32" t="e">
        <f t="shared" si="50"/>
        <v>#DIV/0!</v>
      </c>
      <c r="HB23" s="32">
        <f t="shared" si="51"/>
        <v>10.715</v>
      </c>
    </row>
    <row r="24" spans="1:210" ht="19.2" customHeight="1" x14ac:dyDescent="0.3">
      <c r="A24" s="50">
        <v>16</v>
      </c>
      <c r="B24" s="51" t="s">
        <v>489</v>
      </c>
      <c r="C24" s="51"/>
      <c r="D24" s="52">
        <v>2</v>
      </c>
      <c r="E24" s="52">
        <v>2</v>
      </c>
      <c r="F24" s="187">
        <v>16</v>
      </c>
      <c r="G24" s="54" t="s">
        <v>12</v>
      </c>
      <c r="H24" s="181" t="s">
        <v>8</v>
      </c>
      <c r="I24" s="55">
        <f t="shared" si="27"/>
        <v>625.79999999999995</v>
      </c>
      <c r="J24" s="55">
        <f t="shared" si="0"/>
        <v>0</v>
      </c>
      <c r="K24" s="55">
        <f t="shared" si="1"/>
        <v>0</v>
      </c>
      <c r="L24" s="56">
        <v>625.79999999999995</v>
      </c>
      <c r="M24" s="56">
        <v>625.79999999999995</v>
      </c>
      <c r="N24" s="56">
        <f t="shared" si="28"/>
        <v>625.79999999999995</v>
      </c>
      <c r="O24" s="56">
        <v>0</v>
      </c>
      <c r="P24" s="56">
        <v>0</v>
      </c>
      <c r="Q24" s="55"/>
      <c r="R24" s="55">
        <v>625.79999999999995</v>
      </c>
      <c r="S24" s="55"/>
      <c r="T24" s="55">
        <v>0</v>
      </c>
      <c r="U24" s="152">
        <v>625.79999999999995</v>
      </c>
      <c r="V24" s="12">
        <v>0.2324</v>
      </c>
      <c r="W24" s="12">
        <v>0.1469</v>
      </c>
      <c r="X24" s="12">
        <v>0.2797</v>
      </c>
      <c r="Y24" s="12">
        <v>0</v>
      </c>
      <c r="Z24" s="12">
        <v>0</v>
      </c>
      <c r="AA24" s="12">
        <v>0.4652</v>
      </c>
      <c r="AB24" s="12">
        <v>0</v>
      </c>
      <c r="AC24" s="12">
        <v>0.62080000000000002</v>
      </c>
      <c r="AD24" s="12">
        <v>0.60650000000000004</v>
      </c>
      <c r="AE24" s="12">
        <v>0</v>
      </c>
      <c r="AF24" s="12">
        <v>0.97360000000000002</v>
      </c>
      <c r="AG24" s="12">
        <v>0.2616</v>
      </c>
      <c r="AH24" s="12">
        <v>0.38619999999999999</v>
      </c>
      <c r="AI24" s="12">
        <v>5.8999999999999997E-2</v>
      </c>
      <c r="AJ24" s="12">
        <v>0</v>
      </c>
      <c r="AK24" s="12">
        <v>0</v>
      </c>
      <c r="AL24" s="12">
        <v>0.09</v>
      </c>
      <c r="AM24" s="12">
        <v>4.0399999999999998E-2</v>
      </c>
      <c r="AN24" s="12">
        <v>0</v>
      </c>
      <c r="AO24" s="12">
        <v>3.5070999999999999</v>
      </c>
      <c r="AP24" s="12">
        <v>0.9909</v>
      </c>
      <c r="AQ24" s="12">
        <v>0</v>
      </c>
      <c r="AR24" s="12">
        <v>1.0809</v>
      </c>
      <c r="AS24" s="12">
        <v>0</v>
      </c>
      <c r="AT24" s="12">
        <v>0</v>
      </c>
      <c r="AU24" s="12">
        <v>1.7699</v>
      </c>
      <c r="AV24" s="12">
        <v>0</v>
      </c>
      <c r="AW24" s="188">
        <v>11.511099999999999</v>
      </c>
      <c r="AX24" s="13">
        <v>0.5756</v>
      </c>
      <c r="AY24" s="189">
        <f t="shared" si="2"/>
        <v>0.5756</v>
      </c>
      <c r="AZ24" s="189">
        <f t="shared" si="3"/>
        <v>0</v>
      </c>
      <c r="BA24" s="14">
        <v>12.086699999999999</v>
      </c>
      <c r="BB24" s="190">
        <f>BA24-'[1]Тариф 26 свод без  ПДВ'!AU24</f>
        <v>-3.0000000000107718E-4</v>
      </c>
      <c r="BC24" s="12">
        <v>0</v>
      </c>
      <c r="BD24" s="12">
        <v>0</v>
      </c>
      <c r="BE24" s="12">
        <v>0</v>
      </c>
      <c r="BF24" s="191">
        <v>11.511099999999999</v>
      </c>
      <c r="BG24" s="190">
        <v>0.5756</v>
      </c>
      <c r="BH24" s="190"/>
      <c r="BI24" s="190"/>
      <c r="BJ24" s="14">
        <v>12.086699999999999</v>
      </c>
      <c r="BK24" s="60"/>
      <c r="BL24" s="60">
        <v>4.1623000000000001</v>
      </c>
      <c r="BM24" s="60">
        <v>0.20810000000000001</v>
      </c>
      <c r="BN24" s="14">
        <v>4.3704000000000001</v>
      </c>
      <c r="BO24" s="14"/>
      <c r="BP24" s="157"/>
      <c r="BQ24" s="158">
        <f>BJ24-'[1]Тариф 26 свод без  ПДВ'!BG24</f>
        <v>-3.0000000000107718E-4</v>
      </c>
      <c r="BR24" s="77">
        <f>'[1]Тариф 26 свод без  ПДВ'!BG24</f>
        <v>12.087</v>
      </c>
      <c r="BS24" s="159">
        <f t="shared" si="4"/>
        <v>-3.0000000000107718E-4</v>
      </c>
      <c r="BU24" s="77">
        <f>'[1]Тариф 26 свод без  ПДВ'!AU24</f>
        <v>12.087</v>
      </c>
      <c r="BV24" s="159">
        <f t="shared" si="5"/>
        <v>-3.0000000000107718E-4</v>
      </c>
      <c r="BX24" s="95">
        <v>4.8281000000000001</v>
      </c>
      <c r="BY24" s="95">
        <v>4.8281000000000001</v>
      </c>
      <c r="BZ24" s="95"/>
      <c r="CA24" s="200">
        <f t="shared" si="6"/>
        <v>2.5034071373832352</v>
      </c>
      <c r="CB24" s="200">
        <f t="shared" si="7"/>
        <v>2.5034071373832352</v>
      </c>
      <c r="CI24" s="160">
        <f>'[1]0 СВОД'!AYY39</f>
        <v>7563.9029988096481</v>
      </c>
      <c r="CJ24" s="77">
        <f t="shared" si="12"/>
        <v>90766.835985715777</v>
      </c>
      <c r="CM24" s="161">
        <v>17</v>
      </c>
      <c r="CN24" s="162" t="s">
        <v>490</v>
      </c>
      <c r="CO24" s="163">
        <v>2</v>
      </c>
      <c r="CP24" s="163">
        <v>2</v>
      </c>
      <c r="CQ24" s="164" t="s">
        <v>12</v>
      </c>
      <c r="CR24" s="165" t="s">
        <v>8</v>
      </c>
      <c r="CS24" s="166">
        <v>625.79999999999995</v>
      </c>
      <c r="CT24" s="166">
        <v>0</v>
      </c>
      <c r="CU24" s="167">
        <v>0</v>
      </c>
      <c r="CV24" s="168">
        <v>625.79999999999995</v>
      </c>
      <c r="CW24" s="166">
        <v>625.79999999999995</v>
      </c>
      <c r="CX24" s="167">
        <v>0</v>
      </c>
      <c r="CY24" s="166">
        <v>0</v>
      </c>
      <c r="CZ24" s="166"/>
      <c r="DA24" s="166">
        <v>625.79999999999995</v>
      </c>
      <c r="DB24" s="166"/>
      <c r="DC24" s="166">
        <v>0</v>
      </c>
      <c r="DD24" s="59">
        <v>0.1893</v>
      </c>
      <c r="DE24" s="59">
        <v>0.20349999999999999</v>
      </c>
      <c r="DF24" s="59">
        <v>0.18310000000000001</v>
      </c>
      <c r="DG24" s="59">
        <v>0</v>
      </c>
      <c r="DH24" s="59">
        <v>0</v>
      </c>
      <c r="DI24" s="59">
        <v>0.1986</v>
      </c>
      <c r="DJ24" s="59">
        <v>4.8099999999999997E-2</v>
      </c>
      <c r="DK24" s="59">
        <v>0.33839999999999998</v>
      </c>
      <c r="DL24" s="169">
        <v>0</v>
      </c>
      <c r="DM24" s="59">
        <v>0.36909999999999998</v>
      </c>
      <c r="DN24" s="169">
        <v>0</v>
      </c>
      <c r="DO24" s="170">
        <v>0.71300000000000008</v>
      </c>
      <c r="DP24" s="171">
        <f t="shared" si="13"/>
        <v>0.97360000000000002</v>
      </c>
      <c r="DQ24" s="59">
        <v>0.1207</v>
      </c>
      <c r="DR24" s="59">
        <v>0.26579999999999998</v>
      </c>
      <c r="DS24" s="59">
        <v>1.4999999999999999E-2</v>
      </c>
      <c r="DT24" s="59">
        <v>0</v>
      </c>
      <c r="DU24" s="59">
        <v>0</v>
      </c>
      <c r="DV24" s="59">
        <v>3.1600000000000003E-2</v>
      </c>
      <c r="DW24" s="59">
        <v>1.24E-2</v>
      </c>
      <c r="DX24" s="169">
        <v>0</v>
      </c>
      <c r="DY24" s="170">
        <v>1.764</v>
      </c>
      <c r="DZ24" s="171">
        <f t="shared" si="14"/>
        <v>1.9881519274376416</v>
      </c>
      <c r="EA24" s="59">
        <v>0.61339999999999995</v>
      </c>
      <c r="EB24" s="171">
        <f t="shared" si="15"/>
        <v>1.6154222367134008</v>
      </c>
      <c r="EC24" s="59">
        <v>0.58040000000000003</v>
      </c>
      <c r="ED24" s="171">
        <f t="shared" si="16"/>
        <v>1.8623363197794622</v>
      </c>
      <c r="EE24" s="169">
        <v>0</v>
      </c>
      <c r="EF24" s="169">
        <v>0</v>
      </c>
      <c r="EG24" s="59">
        <v>0.66439999999999999</v>
      </c>
      <c r="EH24" s="59">
        <v>0</v>
      </c>
      <c r="EI24" s="195">
        <v>0.1578</v>
      </c>
      <c r="EJ24" s="172">
        <v>6.4686000000000003</v>
      </c>
      <c r="EK24" s="173"/>
      <c r="EL24" s="169">
        <v>0</v>
      </c>
      <c r="EM24" s="169">
        <v>0</v>
      </c>
      <c r="EN24" s="59"/>
      <c r="EO24" s="172"/>
      <c r="ES24" s="57">
        <f t="shared" si="29"/>
        <v>6.4686000000000003</v>
      </c>
      <c r="ET24" s="57">
        <f t="shared" si="30"/>
        <v>0</v>
      </c>
      <c r="EU24" s="31"/>
      <c r="EV24" s="61">
        <f t="shared" si="17"/>
        <v>1.8685186902884701</v>
      </c>
      <c r="EW24" s="62"/>
      <c r="EX24" s="159">
        <f t="shared" si="57"/>
        <v>-2.9725908571428556</v>
      </c>
      <c r="EY24" s="32">
        <f>ES24*1.386-BJ24</f>
        <v>-3.1212203999999986</v>
      </c>
      <c r="EZ24" s="158">
        <f t="shared" si="19"/>
        <v>12.086699999999999</v>
      </c>
      <c r="FA24" s="159">
        <f t="shared" si="20"/>
        <v>12.086699999999999</v>
      </c>
      <c r="FB24" s="158">
        <f t="shared" si="58"/>
        <v>8.6679240000000011</v>
      </c>
      <c r="FC24" s="158">
        <f t="shared" si="59"/>
        <v>3.4187759999999976</v>
      </c>
      <c r="FD24" s="158"/>
      <c r="FE24" s="158"/>
      <c r="FF24" s="158"/>
      <c r="FG24" s="174"/>
      <c r="FH24" s="174">
        <f t="shared" si="33"/>
        <v>7563.856859999999</v>
      </c>
      <c r="FI24" s="174"/>
      <c r="FJ24" s="87">
        <v>1.4832730420802025</v>
      </c>
      <c r="FK24" s="176">
        <f t="shared" si="34"/>
        <v>1.2597267241289463</v>
      </c>
      <c r="FM24" s="87" t="e">
        <f t="shared" si="35"/>
        <v>#DIV/0!</v>
      </c>
      <c r="FO24" s="88">
        <f t="shared" si="21"/>
        <v>7563.856859999999</v>
      </c>
      <c r="FP24" s="79">
        <f t="shared" si="22"/>
        <v>0</v>
      </c>
      <c r="FS24" s="79">
        <f t="shared" si="23"/>
        <v>4048.04988</v>
      </c>
      <c r="FT24" s="79">
        <f t="shared" si="24"/>
        <v>0</v>
      </c>
      <c r="FU24" s="79">
        <f t="shared" si="36"/>
        <v>1.8685186902884703</v>
      </c>
      <c r="FV24" s="79" t="e">
        <f t="shared" si="36"/>
        <v>#DIV/0!</v>
      </c>
      <c r="FY24" s="79">
        <f t="shared" si="37"/>
        <v>7563.856859999999</v>
      </c>
      <c r="FZ24" s="79">
        <f t="shared" si="38"/>
        <v>0</v>
      </c>
      <c r="GB24" s="178">
        <f t="shared" si="39"/>
        <v>625.79999999999995</v>
      </c>
      <c r="GC24" s="178">
        <f t="shared" si="40"/>
        <v>0</v>
      </c>
      <c r="GE24" s="196"/>
      <c r="GF24" s="196"/>
      <c r="GG24" s="14">
        <v>9.5178000000000011</v>
      </c>
      <c r="GH24" s="197">
        <f t="shared" si="41"/>
        <v>1.2699048099350687</v>
      </c>
      <c r="GI24" s="14">
        <v>9.5178000000000011</v>
      </c>
      <c r="GJ24" s="197">
        <f t="shared" si="42"/>
        <v>1.2699048099350687</v>
      </c>
      <c r="GK24" s="197">
        <f t="shared" si="56"/>
        <v>0</v>
      </c>
      <c r="GL24" s="196"/>
      <c r="GM24" s="196"/>
      <c r="GN24" s="14">
        <v>11.5215</v>
      </c>
      <c r="GO24" s="197">
        <f t="shared" si="44"/>
        <v>1.2105213389648866</v>
      </c>
      <c r="GP24" s="198">
        <f t="shared" si="45"/>
        <v>1.0490561124853535</v>
      </c>
      <c r="GQ24" s="14">
        <v>11.5215</v>
      </c>
      <c r="GR24" s="197">
        <f t="shared" si="46"/>
        <v>1.2105213389648866</v>
      </c>
      <c r="GS24" s="197">
        <f t="shared" si="47"/>
        <v>1.0490561124853535</v>
      </c>
      <c r="GT24" s="196"/>
      <c r="GV24" s="32">
        <f t="shared" si="25"/>
        <v>7563.856859999999</v>
      </c>
      <c r="GW24" s="32">
        <f t="shared" si="26"/>
        <v>0</v>
      </c>
      <c r="GX24" s="180">
        <f t="shared" si="48"/>
        <v>7563.856859999999</v>
      </c>
      <c r="GZ24" s="32">
        <f t="shared" si="49"/>
        <v>12.086699999999999</v>
      </c>
      <c r="HA24" s="32" t="e">
        <f t="shared" si="50"/>
        <v>#DIV/0!</v>
      </c>
      <c r="HB24" s="32">
        <f t="shared" si="51"/>
        <v>12.086699999999999</v>
      </c>
    </row>
    <row r="25" spans="1:210" ht="19.2" customHeight="1" x14ac:dyDescent="0.3">
      <c r="A25" s="50">
        <v>17</v>
      </c>
      <c r="B25" s="51" t="s">
        <v>491</v>
      </c>
      <c r="C25" s="51"/>
      <c r="D25" s="52">
        <v>2</v>
      </c>
      <c r="E25" s="52">
        <v>2</v>
      </c>
      <c r="F25" s="201">
        <v>16</v>
      </c>
      <c r="G25" s="54" t="s">
        <v>13</v>
      </c>
      <c r="H25" s="181" t="s">
        <v>8</v>
      </c>
      <c r="I25" s="55">
        <f t="shared" si="27"/>
        <v>751.4</v>
      </c>
      <c r="J25" s="55">
        <f t="shared" si="0"/>
        <v>0</v>
      </c>
      <c r="K25" s="55">
        <f t="shared" si="1"/>
        <v>0</v>
      </c>
      <c r="L25" s="56">
        <v>751.4</v>
      </c>
      <c r="M25" s="56">
        <v>751.4</v>
      </c>
      <c r="N25" s="56">
        <f t="shared" si="28"/>
        <v>751.4</v>
      </c>
      <c r="O25" s="56">
        <v>0</v>
      </c>
      <c r="P25" s="56">
        <v>0</v>
      </c>
      <c r="Q25" s="55"/>
      <c r="R25" s="55">
        <v>751.4</v>
      </c>
      <c r="S25" s="55"/>
      <c r="T25" s="55">
        <v>0</v>
      </c>
      <c r="U25" s="152">
        <v>751.4</v>
      </c>
      <c r="V25" s="12">
        <v>0.19350000000000001</v>
      </c>
      <c r="W25" s="12">
        <v>0.12239999999999999</v>
      </c>
      <c r="X25" s="12">
        <v>0.3211</v>
      </c>
      <c r="Y25" s="12">
        <v>0</v>
      </c>
      <c r="Z25" s="12">
        <v>0</v>
      </c>
      <c r="AA25" s="12">
        <v>0.38750000000000001</v>
      </c>
      <c r="AB25" s="12">
        <v>0</v>
      </c>
      <c r="AC25" s="12">
        <v>0.62080000000000002</v>
      </c>
      <c r="AD25" s="12">
        <v>0.50509999999999999</v>
      </c>
      <c r="AE25" s="12">
        <v>0</v>
      </c>
      <c r="AF25" s="12">
        <v>1.6045</v>
      </c>
      <c r="AG25" s="12">
        <v>0.25140000000000001</v>
      </c>
      <c r="AH25" s="12">
        <v>0.48159999999999997</v>
      </c>
      <c r="AI25" s="12">
        <v>7.6300000000000007E-2</v>
      </c>
      <c r="AJ25" s="12">
        <v>0</v>
      </c>
      <c r="AK25" s="12">
        <v>0</v>
      </c>
      <c r="AL25" s="12">
        <v>8.9499999999999996E-2</v>
      </c>
      <c r="AM25" s="12">
        <v>3.7900000000000003E-2</v>
      </c>
      <c r="AN25" s="12">
        <v>0</v>
      </c>
      <c r="AO25" s="12">
        <v>3.6036999999999999</v>
      </c>
      <c r="AP25" s="12">
        <v>1.1819</v>
      </c>
      <c r="AQ25" s="12">
        <v>8.8499999999999995E-2</v>
      </c>
      <c r="AR25" s="12">
        <v>0.96560000000000001</v>
      </c>
      <c r="AS25" s="12">
        <v>5.5500000000000001E-2</v>
      </c>
      <c r="AT25" s="12">
        <v>8.9999999999999993E-3</v>
      </c>
      <c r="AU25" s="12">
        <v>0.4133</v>
      </c>
      <c r="AV25" s="12">
        <v>0</v>
      </c>
      <c r="AW25" s="188">
        <v>11.009100000000002</v>
      </c>
      <c r="AX25" s="13">
        <v>0.55049999999999999</v>
      </c>
      <c r="AY25" s="189">
        <f t="shared" si="2"/>
        <v>0.54600000000000004</v>
      </c>
      <c r="AZ25" s="189">
        <f t="shared" si="3"/>
        <v>4.4999999999999485E-3</v>
      </c>
      <c r="BA25" s="14">
        <v>11.559600000000001</v>
      </c>
      <c r="BB25" s="190">
        <f>BA25-'[1]Тариф 26 свод без  ПДВ'!AU25</f>
        <v>-1.2999999999987466E-3</v>
      </c>
      <c r="BC25" s="12">
        <v>0</v>
      </c>
      <c r="BD25" s="12">
        <v>0</v>
      </c>
      <c r="BE25" s="12">
        <v>0</v>
      </c>
      <c r="BF25" s="191">
        <v>11.009100000000002</v>
      </c>
      <c r="BG25" s="190">
        <v>0.55049999999999999</v>
      </c>
      <c r="BH25" s="190"/>
      <c r="BI25" s="190"/>
      <c r="BJ25" s="14">
        <v>11.559600000000001</v>
      </c>
      <c r="BK25" s="60"/>
      <c r="BL25" s="60">
        <v>4.8446000000000016</v>
      </c>
      <c r="BM25" s="60">
        <v>0.2422</v>
      </c>
      <c r="BN25" s="14">
        <v>5.086800000000002</v>
      </c>
      <c r="BO25" s="14"/>
      <c r="BP25" s="157"/>
      <c r="BQ25" s="158">
        <f>BJ25-'[1]Тариф 26 свод без  ПДВ'!BG25</f>
        <v>-1.2999999999987466E-3</v>
      </c>
      <c r="BR25" s="77">
        <f>'[1]Тариф 26 свод без  ПДВ'!BG25</f>
        <v>11.5609</v>
      </c>
      <c r="BS25" s="159">
        <f t="shared" si="4"/>
        <v>-1.2999999999987466E-3</v>
      </c>
      <c r="BU25" s="77">
        <f>'[1]Тариф 26 свод без  ПДВ'!AU25</f>
        <v>11.5609</v>
      </c>
      <c r="BV25" s="159">
        <f t="shared" si="5"/>
        <v>-1.2999999999987466E-3</v>
      </c>
      <c r="BX25" s="95">
        <v>5.1749000000000001</v>
      </c>
      <c r="BY25" s="95">
        <v>5.1749000000000001</v>
      </c>
      <c r="BZ25" s="95"/>
      <c r="CA25" s="200">
        <f t="shared" si="6"/>
        <v>2.2337822953100543</v>
      </c>
      <c r="CB25" s="200">
        <f t="shared" si="7"/>
        <v>2.2337822953100543</v>
      </c>
      <c r="CI25" s="160">
        <f>'[1]0 СВОД'!AYY40</f>
        <v>8685.7818903462285</v>
      </c>
      <c r="CJ25" s="77">
        <f t="shared" si="12"/>
        <v>104229.38268415474</v>
      </c>
      <c r="CM25" s="161">
        <v>18</v>
      </c>
      <c r="CN25" s="162" t="s">
        <v>492</v>
      </c>
      <c r="CO25" s="163">
        <v>2</v>
      </c>
      <c r="CP25" s="163">
        <v>2</v>
      </c>
      <c r="CQ25" s="164" t="s">
        <v>13</v>
      </c>
      <c r="CR25" s="165" t="s">
        <v>8</v>
      </c>
      <c r="CS25" s="166">
        <v>751.4</v>
      </c>
      <c r="CT25" s="166">
        <v>0</v>
      </c>
      <c r="CU25" s="167">
        <v>0</v>
      </c>
      <c r="CV25" s="168">
        <v>751.4</v>
      </c>
      <c r="CW25" s="166">
        <v>751.4</v>
      </c>
      <c r="CX25" s="167">
        <v>0</v>
      </c>
      <c r="CY25" s="166">
        <v>0</v>
      </c>
      <c r="CZ25" s="166"/>
      <c r="DA25" s="166">
        <v>751.4</v>
      </c>
      <c r="DB25" s="166"/>
      <c r="DC25" s="166">
        <v>0</v>
      </c>
      <c r="DD25" s="59">
        <v>0.20530000000000001</v>
      </c>
      <c r="DE25" s="59">
        <v>0.22059999999999999</v>
      </c>
      <c r="DF25" s="59">
        <v>0.21049999999999999</v>
      </c>
      <c r="DG25" s="59">
        <v>0</v>
      </c>
      <c r="DH25" s="59">
        <v>0</v>
      </c>
      <c r="DI25" s="59">
        <v>0.1774</v>
      </c>
      <c r="DJ25" s="59">
        <v>4.8099999999999997E-2</v>
      </c>
      <c r="DK25" s="59">
        <v>0.33839999999999998</v>
      </c>
      <c r="DL25" s="169">
        <v>0</v>
      </c>
      <c r="DM25" s="59">
        <v>0.30740000000000001</v>
      </c>
      <c r="DN25" s="169">
        <v>0</v>
      </c>
      <c r="DO25" s="170">
        <v>0.71300000000000008</v>
      </c>
      <c r="DP25" s="171">
        <f t="shared" si="13"/>
        <v>1.6045</v>
      </c>
      <c r="DQ25" s="59">
        <v>0.1376</v>
      </c>
      <c r="DR25" s="59">
        <v>0.28810000000000002</v>
      </c>
      <c r="DS25" s="59">
        <v>1.9599999999999999E-2</v>
      </c>
      <c r="DT25" s="59">
        <v>0</v>
      </c>
      <c r="DU25" s="59">
        <v>0</v>
      </c>
      <c r="DV25" s="59">
        <v>3.1300000000000001E-2</v>
      </c>
      <c r="DW25" s="59">
        <v>1.12E-2</v>
      </c>
      <c r="DX25" s="169">
        <v>0</v>
      </c>
      <c r="DY25" s="170">
        <v>1.7776000000000001</v>
      </c>
      <c r="DZ25" s="171">
        <f t="shared" si="14"/>
        <v>2.0272839783978398</v>
      </c>
      <c r="EA25" s="59">
        <v>0.68140000000000001</v>
      </c>
      <c r="EB25" s="171">
        <f t="shared" si="15"/>
        <v>1.8643968300557674</v>
      </c>
      <c r="EC25" s="59">
        <v>0.45750000000000002</v>
      </c>
      <c r="ED25" s="171">
        <f t="shared" si="16"/>
        <v>2.1106010928961747</v>
      </c>
      <c r="EE25" s="59">
        <v>4.24E-2</v>
      </c>
      <c r="EF25" s="59">
        <v>5.8999999999999999E-3</v>
      </c>
      <c r="EG25" s="59">
        <v>0.55330000000000001</v>
      </c>
      <c r="EH25" s="59">
        <v>0</v>
      </c>
      <c r="EI25" s="195">
        <v>0.15570000000000001</v>
      </c>
      <c r="EJ25" s="172">
        <v>6.3822999999999999</v>
      </c>
      <c r="EK25" s="173"/>
      <c r="EL25" s="169">
        <v>0</v>
      </c>
      <c r="EM25" s="169">
        <v>0</v>
      </c>
      <c r="EN25" s="59"/>
      <c r="EO25" s="172"/>
      <c r="ES25" s="57">
        <f t="shared" si="29"/>
        <v>6.3822999999999999</v>
      </c>
      <c r="ET25" s="57">
        <f t="shared" si="30"/>
        <v>0</v>
      </c>
      <c r="EU25" s="31"/>
      <c r="EV25" s="61">
        <f t="shared" si="17"/>
        <v>1.8111965905707976</v>
      </c>
      <c r="EW25" s="62"/>
      <c r="EX25" s="159">
        <f t="shared" si="57"/>
        <v>-2.5845068571428595</v>
      </c>
      <c r="EY25" s="32">
        <f>ES25*1.386-BJ25</f>
        <v>-2.7137322000000026</v>
      </c>
      <c r="EZ25" s="158">
        <f t="shared" si="19"/>
        <v>11.559600000000001</v>
      </c>
      <c r="FA25" s="159">
        <f t="shared" si="20"/>
        <v>11.559600000000001</v>
      </c>
      <c r="FB25" s="158">
        <f t="shared" si="58"/>
        <v>8.5522819999999999</v>
      </c>
      <c r="FC25" s="158">
        <f t="shared" si="59"/>
        <v>3.0073180000000015</v>
      </c>
      <c r="FD25" s="158"/>
      <c r="FE25" s="158"/>
      <c r="FF25" s="158"/>
      <c r="FG25" s="174"/>
      <c r="FH25" s="174">
        <f t="shared" si="33"/>
        <v>8685.8834400000014</v>
      </c>
      <c r="FI25" s="174"/>
      <c r="FJ25" s="87">
        <v>1.4580167024426931</v>
      </c>
      <c r="FK25" s="176">
        <f t="shared" si="34"/>
        <v>1.2422330879587342</v>
      </c>
      <c r="FM25" s="87" t="e">
        <f t="shared" si="35"/>
        <v>#DIV/0!</v>
      </c>
      <c r="FO25" s="88">
        <f t="shared" si="21"/>
        <v>8685.8834400000014</v>
      </c>
      <c r="FP25" s="79">
        <f t="shared" si="22"/>
        <v>0</v>
      </c>
      <c r="FS25" s="79">
        <f t="shared" si="23"/>
        <v>4795.6602199999998</v>
      </c>
      <c r="FT25" s="79">
        <f t="shared" si="24"/>
        <v>0</v>
      </c>
      <c r="FU25" s="79">
        <f t="shared" si="36"/>
        <v>1.8111965905707978</v>
      </c>
      <c r="FV25" s="79" t="e">
        <f t="shared" si="36"/>
        <v>#DIV/0!</v>
      </c>
      <c r="FY25" s="79">
        <f t="shared" si="37"/>
        <v>8685.8834400000014</v>
      </c>
      <c r="FZ25" s="79">
        <f t="shared" si="38"/>
        <v>0</v>
      </c>
      <c r="GB25" s="178">
        <f t="shared" si="39"/>
        <v>751.4</v>
      </c>
      <c r="GC25" s="178">
        <f t="shared" si="40"/>
        <v>0</v>
      </c>
      <c r="GE25" s="196"/>
      <c r="GF25" s="196"/>
      <c r="GG25" s="14">
        <v>9.1029999999999998</v>
      </c>
      <c r="GH25" s="197">
        <f t="shared" si="41"/>
        <v>1.2698670767878724</v>
      </c>
      <c r="GI25" s="14">
        <v>9.1029999999999998</v>
      </c>
      <c r="GJ25" s="197">
        <f t="shared" si="42"/>
        <v>1.2698670767878724</v>
      </c>
      <c r="GK25" s="197">
        <f t="shared" si="56"/>
        <v>0</v>
      </c>
      <c r="GL25" s="196"/>
      <c r="GM25" s="196"/>
      <c r="GN25" s="14">
        <v>11.315500000000002</v>
      </c>
      <c r="GO25" s="197">
        <f t="shared" si="44"/>
        <v>1.2430517411842252</v>
      </c>
      <c r="GP25" s="198">
        <f t="shared" si="45"/>
        <v>1.0215721797534356</v>
      </c>
      <c r="GQ25" s="14">
        <v>11.315500000000002</v>
      </c>
      <c r="GR25" s="197">
        <f t="shared" si="46"/>
        <v>1.2430517411842252</v>
      </c>
      <c r="GS25" s="197">
        <f t="shared" si="47"/>
        <v>1.0215721797534356</v>
      </c>
      <c r="GT25" s="196"/>
      <c r="GV25" s="32">
        <f t="shared" si="25"/>
        <v>8685.8834400000014</v>
      </c>
      <c r="GW25" s="32">
        <f t="shared" si="26"/>
        <v>0</v>
      </c>
      <c r="GX25" s="180">
        <f t="shared" si="48"/>
        <v>8685.8834400000014</v>
      </c>
      <c r="GZ25" s="32">
        <f t="shared" si="49"/>
        <v>11.559600000000001</v>
      </c>
      <c r="HA25" s="32" t="e">
        <f t="shared" si="50"/>
        <v>#DIV/0!</v>
      </c>
      <c r="HB25" s="32">
        <f t="shared" si="51"/>
        <v>11.559600000000001</v>
      </c>
    </row>
    <row r="26" spans="1:210" ht="19.2" customHeight="1" x14ac:dyDescent="0.3">
      <c r="A26" s="50">
        <v>18</v>
      </c>
      <c r="B26" s="51" t="s">
        <v>493</v>
      </c>
      <c r="C26" s="51"/>
      <c r="D26" s="52">
        <v>2</v>
      </c>
      <c r="E26" s="52">
        <v>2</v>
      </c>
      <c r="F26" s="201">
        <v>18</v>
      </c>
      <c r="G26" s="54" t="s">
        <v>14</v>
      </c>
      <c r="H26" s="181" t="s">
        <v>8</v>
      </c>
      <c r="I26" s="55">
        <f t="shared" si="27"/>
        <v>705.49</v>
      </c>
      <c r="J26" s="55">
        <f t="shared" si="0"/>
        <v>0</v>
      </c>
      <c r="K26" s="55">
        <f t="shared" si="1"/>
        <v>0</v>
      </c>
      <c r="L26" s="56">
        <v>705.49</v>
      </c>
      <c r="M26" s="56">
        <v>705.49</v>
      </c>
      <c r="N26" s="56">
        <f t="shared" si="28"/>
        <v>705.49</v>
      </c>
      <c r="O26" s="56">
        <v>0</v>
      </c>
      <c r="P26" s="56">
        <v>0</v>
      </c>
      <c r="Q26" s="55"/>
      <c r="R26" s="55">
        <v>705.49</v>
      </c>
      <c r="S26" s="55"/>
      <c r="T26" s="55">
        <v>0</v>
      </c>
      <c r="U26" s="152">
        <v>705.49</v>
      </c>
      <c r="V26" s="12">
        <v>0.2319</v>
      </c>
      <c r="W26" s="12">
        <v>0.14660000000000001</v>
      </c>
      <c r="X26" s="12">
        <v>0.33289999999999997</v>
      </c>
      <c r="Y26" s="12">
        <v>0</v>
      </c>
      <c r="Z26" s="12">
        <v>0</v>
      </c>
      <c r="AA26" s="12">
        <v>0.42180000000000001</v>
      </c>
      <c r="AB26" s="12">
        <v>0</v>
      </c>
      <c r="AC26" s="12">
        <v>0.62080000000000002</v>
      </c>
      <c r="AD26" s="12">
        <v>0.53800000000000003</v>
      </c>
      <c r="AE26" s="12">
        <v>0</v>
      </c>
      <c r="AF26" s="12">
        <v>1.6980999999999999</v>
      </c>
      <c r="AG26" s="12">
        <v>0.30120000000000002</v>
      </c>
      <c r="AH26" s="12">
        <v>0.36070000000000002</v>
      </c>
      <c r="AI26" s="12">
        <v>8.2100000000000006E-2</v>
      </c>
      <c r="AJ26" s="12">
        <v>0</v>
      </c>
      <c r="AK26" s="12">
        <v>0</v>
      </c>
      <c r="AL26" s="12">
        <v>9.2799999999999994E-2</v>
      </c>
      <c r="AM26" s="12">
        <v>3.8100000000000002E-2</v>
      </c>
      <c r="AN26" s="12">
        <v>0</v>
      </c>
      <c r="AO26" s="12">
        <v>4.4371999999999998</v>
      </c>
      <c r="AP26" s="12">
        <v>0.97040000000000004</v>
      </c>
      <c r="AQ26" s="12">
        <v>4.1799999999999997E-2</v>
      </c>
      <c r="AR26" s="12">
        <v>1.0589999999999999</v>
      </c>
      <c r="AS26" s="12">
        <v>5.91E-2</v>
      </c>
      <c r="AT26" s="12">
        <v>9.5999999999999992E-3</v>
      </c>
      <c r="AU26" s="12">
        <v>1.7166999999999999</v>
      </c>
      <c r="AV26" s="12">
        <v>0</v>
      </c>
      <c r="AW26" s="188">
        <v>13.158799999999999</v>
      </c>
      <c r="AX26" s="13">
        <v>0.65790000000000004</v>
      </c>
      <c r="AY26" s="189">
        <f t="shared" si="2"/>
        <v>0.65590000000000004</v>
      </c>
      <c r="AZ26" s="189">
        <f t="shared" si="3"/>
        <v>2.0000000000000018E-3</v>
      </c>
      <c r="BA26" s="14">
        <v>13.816699999999999</v>
      </c>
      <c r="BB26" s="190">
        <f>BA26-'[1]Тариф 26 свод без  ПДВ'!AU26</f>
        <v>-2.0000000000006679E-3</v>
      </c>
      <c r="BC26" s="12">
        <v>0</v>
      </c>
      <c r="BD26" s="12">
        <v>0</v>
      </c>
      <c r="BE26" s="12">
        <v>0</v>
      </c>
      <c r="BF26" s="191">
        <v>13.158799999999999</v>
      </c>
      <c r="BG26" s="190">
        <v>0.65790000000000004</v>
      </c>
      <c r="BH26" s="190"/>
      <c r="BI26" s="190"/>
      <c r="BJ26" s="14">
        <v>13.816699999999999</v>
      </c>
      <c r="BK26" s="60"/>
      <c r="BL26" s="60">
        <v>4.9755000000000011</v>
      </c>
      <c r="BM26" s="60">
        <v>0.24879999999999999</v>
      </c>
      <c r="BN26" s="14">
        <v>5.2243000000000013</v>
      </c>
      <c r="BO26" s="14"/>
      <c r="BP26" s="157"/>
      <c r="BQ26" s="158">
        <f>BJ26-'[1]Тариф 26 свод без  ПДВ'!BG26</f>
        <v>-2.0000000000006679E-3</v>
      </c>
      <c r="BR26" s="77">
        <f>'[1]Тариф 26 свод без  ПДВ'!BG26</f>
        <v>13.8187</v>
      </c>
      <c r="BS26" s="159">
        <f t="shared" si="4"/>
        <v>-2.0000000000006679E-3</v>
      </c>
      <c r="BU26" s="77">
        <f>'[1]Тариф 26 свод без  ПДВ'!AU26</f>
        <v>13.8187</v>
      </c>
      <c r="BV26" s="159">
        <f t="shared" si="5"/>
        <v>-2.0000000000006679E-3</v>
      </c>
      <c r="BX26" s="95">
        <v>5.1058000000000003</v>
      </c>
      <c r="BY26" s="95">
        <v>5.1058000000000003</v>
      </c>
      <c r="BZ26" s="95"/>
      <c r="CA26" s="200">
        <f t="shared" si="6"/>
        <v>2.7060793607270162</v>
      </c>
      <c r="CB26" s="200">
        <f t="shared" si="7"/>
        <v>2.7060793607270162</v>
      </c>
      <c r="CI26" s="160">
        <f>'[1]0 СВОД'!AYY41</f>
        <v>9747.559435594736</v>
      </c>
      <c r="CJ26" s="77">
        <f t="shared" si="12"/>
        <v>116970.71322713683</v>
      </c>
      <c r="CM26" s="161">
        <v>19</v>
      </c>
      <c r="CN26" s="162" t="s">
        <v>494</v>
      </c>
      <c r="CO26" s="163">
        <v>2</v>
      </c>
      <c r="CP26" s="163">
        <v>2</v>
      </c>
      <c r="CQ26" s="164" t="s">
        <v>14</v>
      </c>
      <c r="CR26" s="165" t="s">
        <v>8</v>
      </c>
      <c r="CS26" s="166">
        <v>705.49</v>
      </c>
      <c r="CT26" s="166">
        <v>0</v>
      </c>
      <c r="CU26" s="167">
        <v>0</v>
      </c>
      <c r="CV26" s="168">
        <v>705.49</v>
      </c>
      <c r="CW26" s="166">
        <v>705.49</v>
      </c>
      <c r="CX26" s="167">
        <v>0</v>
      </c>
      <c r="CY26" s="166">
        <v>0</v>
      </c>
      <c r="CZ26" s="166"/>
      <c r="DA26" s="166">
        <v>705.49</v>
      </c>
      <c r="DB26" s="166"/>
      <c r="DC26" s="166">
        <v>0</v>
      </c>
      <c r="DD26" s="59">
        <v>0.1646</v>
      </c>
      <c r="DE26" s="59">
        <v>0.1653</v>
      </c>
      <c r="DF26" s="59">
        <v>0.21820000000000001</v>
      </c>
      <c r="DG26" s="59">
        <v>0</v>
      </c>
      <c r="DH26" s="59">
        <v>0</v>
      </c>
      <c r="DI26" s="59">
        <v>0.18010000000000001</v>
      </c>
      <c r="DJ26" s="59">
        <v>4.8099999999999997E-2</v>
      </c>
      <c r="DK26" s="59">
        <v>0.33839999999999998</v>
      </c>
      <c r="DL26" s="169">
        <v>0</v>
      </c>
      <c r="DM26" s="59">
        <v>0.32740000000000002</v>
      </c>
      <c r="DN26" s="169">
        <v>0</v>
      </c>
      <c r="DO26" s="170">
        <v>0.71300000000000008</v>
      </c>
      <c r="DP26" s="171">
        <f t="shared" si="13"/>
        <v>1.6980999999999999</v>
      </c>
      <c r="DQ26" s="59">
        <v>0.1079</v>
      </c>
      <c r="DR26" s="59">
        <v>0.21579999999999999</v>
      </c>
      <c r="DS26" s="59">
        <v>2.1100000000000001E-2</v>
      </c>
      <c r="DT26" s="59">
        <v>0</v>
      </c>
      <c r="DU26" s="59">
        <v>0</v>
      </c>
      <c r="DV26" s="59">
        <v>3.2399999999999998E-2</v>
      </c>
      <c r="DW26" s="59">
        <v>1.1299999999999999E-2</v>
      </c>
      <c r="DX26" s="169">
        <v>0</v>
      </c>
      <c r="DY26" s="170">
        <v>1.9345999999999999</v>
      </c>
      <c r="DZ26" s="171">
        <f t="shared" si="14"/>
        <v>2.2936007443399151</v>
      </c>
      <c r="EA26" s="59">
        <v>0.56510000000000005</v>
      </c>
      <c r="EB26" s="171">
        <f t="shared" si="15"/>
        <v>1.7911874004600954</v>
      </c>
      <c r="EC26" s="59">
        <v>0.50700000000000001</v>
      </c>
      <c r="ED26" s="171">
        <f t="shared" si="16"/>
        <v>2.0887573964497039</v>
      </c>
      <c r="EE26" s="59">
        <v>4.5199999999999997E-2</v>
      </c>
      <c r="EF26" s="59">
        <v>6.3E-3</v>
      </c>
      <c r="EG26" s="59">
        <v>0.17460000000000001</v>
      </c>
      <c r="EH26" s="59">
        <v>0</v>
      </c>
      <c r="EI26" s="195">
        <v>0.1444</v>
      </c>
      <c r="EJ26" s="172">
        <v>5.9207999999999998</v>
      </c>
      <c r="EK26" s="173"/>
      <c r="EL26" s="169">
        <v>0</v>
      </c>
      <c r="EM26" s="169">
        <v>0</v>
      </c>
      <c r="EN26" s="59"/>
      <c r="EO26" s="172"/>
      <c r="ES26" s="57">
        <f t="shared" si="29"/>
        <v>5.9207999999999998</v>
      </c>
      <c r="ET26" s="57">
        <f t="shared" si="30"/>
        <v>0</v>
      </c>
      <c r="EU26" s="31"/>
      <c r="EV26" s="202">
        <f t="shared" si="17"/>
        <v>2.3335866774760166</v>
      </c>
      <c r="EW26" s="62"/>
      <c r="EX26" s="159">
        <f t="shared" si="57"/>
        <v>-5.3433059047619036</v>
      </c>
      <c r="EY26" s="32">
        <f>ES26*1.386-BJ26</f>
        <v>-5.6104711999999992</v>
      </c>
      <c r="EZ26" s="158">
        <f t="shared" si="19"/>
        <v>13.816699999999999</v>
      </c>
      <c r="FA26" s="159">
        <f t="shared" si="20"/>
        <v>13.816699999999999</v>
      </c>
      <c r="FB26" s="158">
        <f t="shared" si="58"/>
        <v>7.933872</v>
      </c>
      <c r="FC26" s="158">
        <f t="shared" si="59"/>
        <v>5.8828279999999991</v>
      </c>
      <c r="FD26" s="158"/>
      <c r="FE26" s="158"/>
      <c r="FF26" s="158"/>
      <c r="FG26" s="174"/>
      <c r="FH26" s="174">
        <f t="shared" si="33"/>
        <v>9747.5436829999999</v>
      </c>
      <c r="FI26" s="174"/>
      <c r="FJ26" s="87">
        <v>1.4897311174165653</v>
      </c>
      <c r="FK26" s="176">
        <f t="shared" si="34"/>
        <v>1.5664482336401977</v>
      </c>
      <c r="FM26" s="87" t="e">
        <f t="shared" si="35"/>
        <v>#DIV/0!</v>
      </c>
      <c r="FO26" s="88">
        <f t="shared" si="21"/>
        <v>9747.5436829999999</v>
      </c>
      <c r="FP26" s="79">
        <f t="shared" si="22"/>
        <v>0</v>
      </c>
      <c r="FS26" s="79">
        <f t="shared" si="23"/>
        <v>4177.065192</v>
      </c>
      <c r="FT26" s="79">
        <f t="shared" si="24"/>
        <v>0</v>
      </c>
      <c r="FU26" s="79">
        <f t="shared" si="36"/>
        <v>2.3335866774760166</v>
      </c>
      <c r="FV26" s="79" t="e">
        <f t="shared" si="36"/>
        <v>#DIV/0!</v>
      </c>
      <c r="FY26" s="79">
        <f t="shared" si="37"/>
        <v>9747.5436829999999</v>
      </c>
      <c r="FZ26" s="79">
        <f t="shared" si="38"/>
        <v>0</v>
      </c>
      <c r="GB26" s="178">
        <f t="shared" si="39"/>
        <v>705.49</v>
      </c>
      <c r="GC26" s="178">
        <f t="shared" si="40"/>
        <v>0</v>
      </c>
      <c r="GE26" s="196"/>
      <c r="GF26" s="196"/>
      <c r="GG26" s="14">
        <v>10.8825</v>
      </c>
      <c r="GH26" s="197">
        <f t="shared" si="41"/>
        <v>1.269625545600735</v>
      </c>
      <c r="GI26" s="14">
        <v>10.8825</v>
      </c>
      <c r="GJ26" s="197">
        <f t="shared" si="42"/>
        <v>1.269625545600735</v>
      </c>
      <c r="GK26" s="197">
        <f t="shared" si="56"/>
        <v>0</v>
      </c>
      <c r="GL26" s="196"/>
      <c r="GM26" s="196"/>
      <c r="GN26" s="14">
        <v>12.6028</v>
      </c>
      <c r="GO26" s="197">
        <f t="shared" si="44"/>
        <v>1.1580794854123593</v>
      </c>
      <c r="GP26" s="198">
        <f t="shared" si="45"/>
        <v>1.0963198654267305</v>
      </c>
      <c r="GQ26" s="14">
        <v>12.6028</v>
      </c>
      <c r="GR26" s="197">
        <f t="shared" si="46"/>
        <v>1.1580794854123593</v>
      </c>
      <c r="GS26" s="197">
        <f t="shared" si="47"/>
        <v>1.0963198654267305</v>
      </c>
      <c r="GT26" s="196"/>
      <c r="GV26" s="32">
        <f t="shared" si="25"/>
        <v>9747.5436829999999</v>
      </c>
      <c r="GW26" s="32">
        <f t="shared" si="26"/>
        <v>0</v>
      </c>
      <c r="GX26" s="180">
        <f t="shared" si="48"/>
        <v>9747.5436829999999</v>
      </c>
      <c r="GZ26" s="32">
        <f t="shared" si="49"/>
        <v>13.816699999999999</v>
      </c>
      <c r="HA26" s="32" t="e">
        <f t="shared" si="50"/>
        <v>#DIV/0!</v>
      </c>
      <c r="HB26" s="32">
        <f t="shared" si="51"/>
        <v>13.816699999999999</v>
      </c>
    </row>
    <row r="27" spans="1:210" ht="19.2" customHeight="1" x14ac:dyDescent="0.3">
      <c r="A27" s="50">
        <v>19</v>
      </c>
      <c r="B27" s="51" t="s">
        <v>495</v>
      </c>
      <c r="C27" s="51"/>
      <c r="D27" s="52">
        <v>1</v>
      </c>
      <c r="E27" s="52">
        <v>0</v>
      </c>
      <c r="F27" s="63">
        <v>4</v>
      </c>
      <c r="G27" s="54" t="s">
        <v>3</v>
      </c>
      <c r="H27" s="181" t="s">
        <v>4</v>
      </c>
      <c r="I27" s="55">
        <f t="shared" si="27"/>
        <v>152.30000000000001</v>
      </c>
      <c r="J27" s="55">
        <f t="shared" si="0"/>
        <v>0</v>
      </c>
      <c r="K27" s="55">
        <f t="shared" si="1"/>
        <v>0</v>
      </c>
      <c r="L27" s="56">
        <v>152.30000000000001</v>
      </c>
      <c r="M27" s="56">
        <v>152.30000000000001</v>
      </c>
      <c r="N27" s="56">
        <f t="shared" si="28"/>
        <v>152.30000000000001</v>
      </c>
      <c r="O27" s="56">
        <v>0</v>
      </c>
      <c r="P27" s="56">
        <v>0</v>
      </c>
      <c r="Q27" s="55"/>
      <c r="R27" s="55">
        <v>0</v>
      </c>
      <c r="S27" s="55"/>
      <c r="T27" s="55">
        <v>0</v>
      </c>
      <c r="U27" s="152">
        <v>152.30000000000001</v>
      </c>
      <c r="V27" s="57">
        <v>0</v>
      </c>
      <c r="W27" s="153">
        <v>0</v>
      </c>
      <c r="X27" s="57">
        <v>0</v>
      </c>
      <c r="Y27" s="57">
        <v>0</v>
      </c>
      <c r="Z27" s="153">
        <v>0</v>
      </c>
      <c r="AA27" s="57">
        <v>0</v>
      </c>
      <c r="AB27" s="153">
        <v>0</v>
      </c>
      <c r="AC27" s="57">
        <v>0</v>
      </c>
      <c r="AD27" s="57">
        <v>0</v>
      </c>
      <c r="AE27" s="57">
        <v>0</v>
      </c>
      <c r="AF27" s="57">
        <v>1.6605000000000001</v>
      </c>
      <c r="AG27" s="57">
        <v>0</v>
      </c>
      <c r="AH27" s="57">
        <v>0</v>
      </c>
      <c r="AI27" s="153">
        <v>0</v>
      </c>
      <c r="AJ27" s="153">
        <v>0</v>
      </c>
      <c r="AK27" s="153">
        <v>0</v>
      </c>
      <c r="AL27" s="57">
        <v>0</v>
      </c>
      <c r="AM27" s="153">
        <v>0</v>
      </c>
      <c r="AN27" s="57">
        <v>0</v>
      </c>
      <c r="AO27" s="153">
        <v>0</v>
      </c>
      <c r="AP27" s="57">
        <v>0</v>
      </c>
      <c r="AQ27" s="57">
        <v>0</v>
      </c>
      <c r="AR27" s="153">
        <v>0</v>
      </c>
      <c r="AS27" s="57">
        <v>0</v>
      </c>
      <c r="AT27" s="57">
        <v>0</v>
      </c>
      <c r="AU27" s="153">
        <v>0</v>
      </c>
      <c r="AV27" s="153">
        <v>0</v>
      </c>
      <c r="AW27" s="154">
        <v>1.6605000000000001</v>
      </c>
      <c r="AX27" s="58">
        <v>8.3000000000000004E-2</v>
      </c>
      <c r="AY27" s="155">
        <f t="shared" si="2"/>
        <v>8.3000000000000004E-2</v>
      </c>
      <c r="AZ27" s="155">
        <f t="shared" si="3"/>
        <v>0</v>
      </c>
      <c r="BA27" s="14">
        <v>1.7435</v>
      </c>
      <c r="BB27" s="59">
        <f>BA27-'[1]Тариф 26 свод без  ПДВ'!AU27</f>
        <v>-8.9999999999990088E-4</v>
      </c>
      <c r="BC27" s="57">
        <v>0</v>
      </c>
      <c r="BD27" s="57">
        <v>0</v>
      </c>
      <c r="BE27" s="57">
        <v>0</v>
      </c>
      <c r="BF27" s="156">
        <v>1.6605000000000001</v>
      </c>
      <c r="BG27" s="59">
        <v>8.3000000000000004E-2</v>
      </c>
      <c r="BH27" s="59"/>
      <c r="BI27" s="59"/>
      <c r="BJ27" s="14">
        <v>1.7435</v>
      </c>
      <c r="BK27" s="60"/>
      <c r="BL27" s="60">
        <v>1.6605000000000001</v>
      </c>
      <c r="BM27" s="60">
        <v>8.3000000000000004E-2</v>
      </c>
      <c r="BN27" s="14">
        <v>1.7435</v>
      </c>
      <c r="BO27" s="14"/>
      <c r="BP27" s="157"/>
      <c r="BQ27" s="158">
        <f>BJ27-'[1]Тариф 26 свод без  ПДВ'!BG27</f>
        <v>-8.9999999999990088E-4</v>
      </c>
      <c r="BR27" s="77">
        <f>'[1]Тариф 26 свод без  ПДВ'!BG27</f>
        <v>1.7444</v>
      </c>
      <c r="BS27" s="159">
        <f t="shared" si="4"/>
        <v>-8.9999999999990088E-4</v>
      </c>
      <c r="BU27" s="77">
        <f>'[1]Тариф 26 свод без  ПДВ'!AU27</f>
        <v>1.7444</v>
      </c>
      <c r="BV27" s="159">
        <f t="shared" si="5"/>
        <v>-8.9999999999990088E-4</v>
      </c>
      <c r="BX27" s="95">
        <v>4.7366000000000001</v>
      </c>
      <c r="BY27" s="95">
        <v>4.7366000000000001</v>
      </c>
      <c r="BZ27" s="95"/>
      <c r="CA27" s="200">
        <f t="shared" si="6"/>
        <v>0.36809103576405017</v>
      </c>
      <c r="CB27" s="200">
        <f t="shared" si="7"/>
        <v>0.36809103576405017</v>
      </c>
      <c r="CI27" s="160">
        <f>'[1]0 СВОД'!AYY42</f>
        <v>265.53681935266161</v>
      </c>
      <c r="CJ27" s="77">
        <f t="shared" si="12"/>
        <v>3186.4418322319393</v>
      </c>
      <c r="CM27" s="161">
        <v>20</v>
      </c>
      <c r="CN27" s="183" t="s">
        <v>496</v>
      </c>
      <c r="CO27" s="163">
        <v>1</v>
      </c>
      <c r="CP27" s="163">
        <v>0</v>
      </c>
      <c r="CQ27" s="164" t="s">
        <v>3</v>
      </c>
      <c r="CR27" s="165" t="s">
        <v>4</v>
      </c>
      <c r="CS27" s="166">
        <v>152.30000000000001</v>
      </c>
      <c r="CT27" s="166">
        <v>0</v>
      </c>
      <c r="CU27" s="167">
        <v>0</v>
      </c>
      <c r="CV27" s="168">
        <v>152.30000000000001</v>
      </c>
      <c r="CW27" s="166">
        <v>152.30000000000001</v>
      </c>
      <c r="CX27" s="167">
        <v>0</v>
      </c>
      <c r="CY27" s="166">
        <v>0</v>
      </c>
      <c r="CZ27" s="166"/>
      <c r="DA27" s="166"/>
      <c r="DB27" s="166"/>
      <c r="DC27" s="166">
        <v>0</v>
      </c>
      <c r="DD27" s="59">
        <v>0</v>
      </c>
      <c r="DE27" s="59">
        <v>0</v>
      </c>
      <c r="DF27" s="59">
        <v>0</v>
      </c>
      <c r="DG27" s="59">
        <v>0</v>
      </c>
      <c r="DH27" s="59">
        <v>0</v>
      </c>
      <c r="DI27" s="59">
        <v>0</v>
      </c>
      <c r="DJ27" s="59">
        <v>4.8099999999999997E-2</v>
      </c>
      <c r="DK27" s="169">
        <v>0</v>
      </c>
      <c r="DL27" s="169">
        <v>0</v>
      </c>
      <c r="DM27" s="169">
        <v>0</v>
      </c>
      <c r="DN27" s="169">
        <v>0</v>
      </c>
      <c r="DO27" s="184">
        <v>0.72660000000000002</v>
      </c>
      <c r="DP27" s="171">
        <f t="shared" si="13"/>
        <v>1.6605000000000001</v>
      </c>
      <c r="DQ27" s="59">
        <v>0</v>
      </c>
      <c r="DR27" s="59">
        <v>0</v>
      </c>
      <c r="DS27" s="59">
        <v>0</v>
      </c>
      <c r="DT27" s="59">
        <v>0</v>
      </c>
      <c r="DU27" s="59">
        <v>0</v>
      </c>
      <c r="DV27" s="59">
        <v>0</v>
      </c>
      <c r="DW27" s="59">
        <v>0</v>
      </c>
      <c r="DX27" s="169">
        <v>0</v>
      </c>
      <c r="DY27" s="169">
        <v>0</v>
      </c>
      <c r="DZ27" s="171" t="e">
        <f t="shared" si="14"/>
        <v>#DIV/0!</v>
      </c>
      <c r="EA27" s="169">
        <v>0</v>
      </c>
      <c r="EB27" s="171" t="e">
        <f t="shared" si="15"/>
        <v>#DIV/0!</v>
      </c>
      <c r="EC27" s="169">
        <v>0</v>
      </c>
      <c r="ED27" s="171" t="e">
        <f t="shared" si="16"/>
        <v>#DIV/0!</v>
      </c>
      <c r="EE27" s="169">
        <v>0</v>
      </c>
      <c r="EF27" s="169">
        <v>0</v>
      </c>
      <c r="EG27" s="169">
        <v>0</v>
      </c>
      <c r="EH27" s="59">
        <v>0</v>
      </c>
      <c r="EI27" s="155">
        <v>1.9400000000000001E-2</v>
      </c>
      <c r="EJ27" s="172">
        <v>0.79410000000000003</v>
      </c>
      <c r="EK27" s="173"/>
      <c r="EL27" s="169">
        <v>0</v>
      </c>
      <c r="EM27" s="169">
        <v>0</v>
      </c>
      <c r="EN27" s="59"/>
      <c r="EO27" s="172"/>
      <c r="ES27" s="57">
        <f t="shared" si="29"/>
        <v>0.79410000000000003</v>
      </c>
      <c r="ET27" s="57">
        <f t="shared" si="30"/>
        <v>0</v>
      </c>
      <c r="EU27" s="31"/>
      <c r="EV27" s="61">
        <f t="shared" si="17"/>
        <v>2.1955673089031609</v>
      </c>
      <c r="EW27" s="62"/>
      <c r="EX27" s="203"/>
      <c r="EY27" s="32"/>
      <c r="EZ27" s="158">
        <f t="shared" si="19"/>
        <v>1.7435</v>
      </c>
      <c r="FA27" s="158">
        <f t="shared" si="20"/>
        <v>1.7435</v>
      </c>
      <c r="FH27" s="174">
        <f t="shared" si="33"/>
        <v>265.53505000000001</v>
      </c>
      <c r="FJ27" s="87">
        <v>1.7397</v>
      </c>
      <c r="FK27" s="176">
        <f t="shared" si="34"/>
        <v>1.2620378852119105</v>
      </c>
      <c r="FL27" s="87">
        <v>1.7397</v>
      </c>
      <c r="FM27" s="87">
        <f t="shared" si="35"/>
        <v>0</v>
      </c>
      <c r="FO27" s="88">
        <f t="shared" si="21"/>
        <v>265.53505000000001</v>
      </c>
      <c r="FP27" s="79">
        <f t="shared" si="22"/>
        <v>0</v>
      </c>
      <c r="FS27" s="79">
        <f t="shared" si="23"/>
        <v>120.94143000000001</v>
      </c>
      <c r="FT27" s="79">
        <f t="shared" si="24"/>
        <v>0</v>
      </c>
      <c r="FU27" s="79">
        <f t="shared" si="36"/>
        <v>2.1955673089031609</v>
      </c>
      <c r="FV27" s="79" t="e">
        <f t="shared" si="36"/>
        <v>#DIV/0!</v>
      </c>
      <c r="FY27" s="79">
        <f t="shared" si="37"/>
        <v>265.53505000000001</v>
      </c>
      <c r="FZ27" s="79">
        <f t="shared" si="38"/>
        <v>0</v>
      </c>
      <c r="GB27" s="178">
        <f t="shared" si="39"/>
        <v>152.30000000000001</v>
      </c>
      <c r="GC27" s="178">
        <f t="shared" si="40"/>
        <v>0</v>
      </c>
      <c r="GG27" s="14">
        <v>1.3729</v>
      </c>
      <c r="GH27" s="175">
        <f t="shared" si="41"/>
        <v>1.2699395440308836</v>
      </c>
      <c r="GI27" s="14">
        <v>1.3729</v>
      </c>
      <c r="GJ27" s="175">
        <f t="shared" si="42"/>
        <v>1.2699395440308836</v>
      </c>
      <c r="GK27" s="175">
        <f t="shared" si="56"/>
        <v>0</v>
      </c>
      <c r="GN27" s="14">
        <v>1.6820999999999999</v>
      </c>
      <c r="GO27" s="175">
        <f t="shared" si="44"/>
        <v>1.2252166945880982</v>
      </c>
      <c r="GP27" s="179">
        <f t="shared" si="45"/>
        <v>1.0365019915581715</v>
      </c>
      <c r="GQ27" s="14">
        <v>1.6820999999999999</v>
      </c>
      <c r="GR27" s="175">
        <f t="shared" si="46"/>
        <v>1.2252166945880982</v>
      </c>
      <c r="GS27" s="175">
        <f t="shared" si="47"/>
        <v>1.0365019915581715</v>
      </c>
      <c r="GV27" s="32">
        <f t="shared" si="25"/>
        <v>265.53505000000001</v>
      </c>
      <c r="GW27" s="32">
        <f t="shared" si="26"/>
        <v>0</v>
      </c>
      <c r="GX27" s="180">
        <f t="shared" si="48"/>
        <v>265.53505000000001</v>
      </c>
      <c r="GZ27" s="32">
        <f t="shared" si="49"/>
        <v>1.7435</v>
      </c>
      <c r="HA27" s="32" t="e">
        <f t="shared" si="50"/>
        <v>#DIV/0!</v>
      </c>
      <c r="HB27" s="32">
        <f t="shared" si="51"/>
        <v>1.7435</v>
      </c>
    </row>
    <row r="28" spans="1:210" ht="19.2" customHeight="1" x14ac:dyDescent="0.3">
      <c r="A28" s="50">
        <v>20</v>
      </c>
      <c r="B28" s="51" t="s">
        <v>497</v>
      </c>
      <c r="C28" s="51"/>
      <c r="D28" s="52">
        <v>7</v>
      </c>
      <c r="E28" s="52">
        <v>1</v>
      </c>
      <c r="F28" s="63">
        <v>91</v>
      </c>
      <c r="G28" s="54" t="s">
        <v>166</v>
      </c>
      <c r="H28" s="181" t="s">
        <v>167</v>
      </c>
      <c r="I28" s="55">
        <f t="shared" si="27"/>
        <v>508.52999999999975</v>
      </c>
      <c r="J28" s="55">
        <f t="shared" si="0"/>
        <v>3092.57</v>
      </c>
      <c r="K28" s="55">
        <f t="shared" si="1"/>
        <v>0</v>
      </c>
      <c r="L28" s="56">
        <v>3601.1</v>
      </c>
      <c r="M28" s="56">
        <v>3601.1</v>
      </c>
      <c r="N28" s="56">
        <f t="shared" si="28"/>
        <v>508.52999999999975</v>
      </c>
      <c r="O28" s="56">
        <v>0</v>
      </c>
      <c r="P28" s="56">
        <v>0</v>
      </c>
      <c r="Q28" s="55"/>
      <c r="R28" s="55">
        <v>3601.1</v>
      </c>
      <c r="S28" s="55"/>
      <c r="T28" s="55">
        <v>3092.57</v>
      </c>
      <c r="U28" s="152">
        <v>508.52999999999975</v>
      </c>
      <c r="V28" s="57">
        <v>0.1235</v>
      </c>
      <c r="W28" s="57">
        <v>6.3399999999999998E-2</v>
      </c>
      <c r="X28" s="153">
        <v>0.29039999999999999</v>
      </c>
      <c r="Y28" s="153">
        <v>7.0999999999999994E-2</v>
      </c>
      <c r="Z28" s="57">
        <v>1.44E-2</v>
      </c>
      <c r="AA28" s="57">
        <v>0.22750000000000001</v>
      </c>
      <c r="AB28" s="57">
        <v>0</v>
      </c>
      <c r="AC28" s="153">
        <v>0.63149999999999995</v>
      </c>
      <c r="AD28" s="57">
        <v>0.19980000000000001</v>
      </c>
      <c r="AE28" s="57">
        <v>0</v>
      </c>
      <c r="AF28" s="57">
        <v>2.4457</v>
      </c>
      <c r="AG28" s="57">
        <v>0.1699</v>
      </c>
      <c r="AH28" s="57">
        <v>0.22689999999999999</v>
      </c>
      <c r="AI28" s="57">
        <v>0.12720000000000001</v>
      </c>
      <c r="AJ28" s="57">
        <v>9.9900000000000003E-2</v>
      </c>
      <c r="AK28" s="57">
        <v>2.81E-2</v>
      </c>
      <c r="AL28" s="57">
        <v>6.0499999999999998E-2</v>
      </c>
      <c r="AM28" s="57">
        <v>3.2899999999999999E-2</v>
      </c>
      <c r="AN28" s="57">
        <v>0</v>
      </c>
      <c r="AO28" s="57">
        <v>1.8540000000000001</v>
      </c>
      <c r="AP28" s="153">
        <v>1.1952</v>
      </c>
      <c r="AQ28" s="153">
        <v>0.10829999999999999</v>
      </c>
      <c r="AR28" s="57">
        <v>0.35949999999999999</v>
      </c>
      <c r="AS28" s="57">
        <v>3.9600000000000003E-2</v>
      </c>
      <c r="AT28" s="153">
        <v>6.4000000000000003E-3</v>
      </c>
      <c r="AU28" s="153">
        <v>0.7359</v>
      </c>
      <c r="AV28" s="153">
        <v>0</v>
      </c>
      <c r="AW28" s="154">
        <v>9.1114999999999995</v>
      </c>
      <c r="AX28" s="58">
        <v>0.4556</v>
      </c>
      <c r="AY28" s="155">
        <f t="shared" si="2"/>
        <v>0.45019999999999999</v>
      </c>
      <c r="AZ28" s="155">
        <f t="shared" si="3"/>
        <v>5.4000000000000159E-3</v>
      </c>
      <c r="BA28" s="14">
        <v>9.5670999999999999</v>
      </c>
      <c r="BB28" s="59">
        <f>BA28-'[1]Тариф 26 свод без  ПДВ'!AU28</f>
        <v>-4.0000000000084412E-4</v>
      </c>
      <c r="BC28" s="57">
        <v>0.71740000000000004</v>
      </c>
      <c r="BD28" s="57">
        <v>0</v>
      </c>
      <c r="BE28" s="57">
        <v>0.20080000000000001</v>
      </c>
      <c r="BF28" s="156">
        <v>10.029699999999998</v>
      </c>
      <c r="BG28" s="59">
        <v>0.50149999999999995</v>
      </c>
      <c r="BH28" s="59"/>
      <c r="BI28" s="59"/>
      <c r="BJ28" s="14">
        <v>10.531199999999998</v>
      </c>
      <c r="BK28" s="60"/>
      <c r="BL28" s="60">
        <v>4.9668999999999981</v>
      </c>
      <c r="BM28" s="60">
        <v>0.24829999999999999</v>
      </c>
      <c r="BN28" s="14">
        <v>5.2151999999999985</v>
      </c>
      <c r="BO28" s="14"/>
      <c r="BP28" s="157"/>
      <c r="BQ28" s="158">
        <f>BJ28-'[1]Тариф 26 свод без  ПДВ'!BG28</f>
        <v>-2.500000000001279E-3</v>
      </c>
      <c r="BR28" s="77">
        <f>'[1]Тариф 26 свод без  ПДВ'!BG28</f>
        <v>10.5337</v>
      </c>
      <c r="BS28" s="159">
        <f t="shared" si="4"/>
        <v>-2.500000000001279E-3</v>
      </c>
      <c r="BU28" s="77">
        <f>'[1]Тариф 26 свод без  ПДВ'!AU28</f>
        <v>9.5675000000000008</v>
      </c>
      <c r="BV28" s="159">
        <f t="shared" si="5"/>
        <v>-4.0000000000084412E-4</v>
      </c>
      <c r="BX28" s="95">
        <v>0.63529999999999998</v>
      </c>
      <c r="BY28" s="95">
        <v>0.63529999999999998</v>
      </c>
      <c r="BZ28" s="95"/>
      <c r="CA28" s="204">
        <f t="shared" si="6"/>
        <v>15.059184637179285</v>
      </c>
      <c r="CB28" s="204">
        <f t="shared" si="7"/>
        <v>16.576735400598139</v>
      </c>
      <c r="CI28" s="160">
        <f>'[1]0 СВОД'!AYY43</f>
        <v>37433.456969037652</v>
      </c>
      <c r="CJ28" s="77">
        <f t="shared" si="12"/>
        <v>449201.48362845182</v>
      </c>
      <c r="CM28" s="161">
        <v>21</v>
      </c>
      <c r="CN28" s="183" t="s">
        <v>498</v>
      </c>
      <c r="CO28" s="163">
        <v>7</v>
      </c>
      <c r="CP28" s="163">
        <v>1</v>
      </c>
      <c r="CQ28" s="164" t="s">
        <v>166</v>
      </c>
      <c r="CR28" s="165" t="s">
        <v>167</v>
      </c>
      <c r="CS28" s="166">
        <v>508.36999999999989</v>
      </c>
      <c r="CT28" s="166">
        <v>3074.05</v>
      </c>
      <c r="CU28" s="167">
        <v>0</v>
      </c>
      <c r="CV28" s="168">
        <v>3582.42</v>
      </c>
      <c r="CW28" s="166">
        <v>3582.42</v>
      </c>
      <c r="CX28" s="167">
        <v>0</v>
      </c>
      <c r="CY28" s="166">
        <v>0</v>
      </c>
      <c r="CZ28" s="166"/>
      <c r="DA28" s="166">
        <v>3582.42</v>
      </c>
      <c r="DB28" s="166"/>
      <c r="DC28" s="166">
        <v>3074.05</v>
      </c>
      <c r="DD28" s="59">
        <v>0.1216</v>
      </c>
      <c r="DE28" s="184">
        <v>0.11349999999999999</v>
      </c>
      <c r="DF28" s="59">
        <v>0.19189999999999999</v>
      </c>
      <c r="DG28" s="59">
        <v>4.19E-2</v>
      </c>
      <c r="DH28" s="184">
        <v>1.84E-2</v>
      </c>
      <c r="DI28" s="184">
        <v>0.14250000000000002</v>
      </c>
      <c r="DJ28" s="59">
        <v>4.8099999999999997E-2</v>
      </c>
      <c r="DK28" s="59">
        <v>0.3458</v>
      </c>
      <c r="DL28" s="59">
        <v>4.53E-2</v>
      </c>
      <c r="DM28" s="59">
        <v>0.1222</v>
      </c>
      <c r="DN28" s="169">
        <v>0</v>
      </c>
      <c r="DO28" s="184">
        <v>1.8288</v>
      </c>
      <c r="DP28" s="171">
        <f t="shared" si="13"/>
        <v>2.4457</v>
      </c>
      <c r="DQ28" s="59">
        <v>8.2400000000000001E-2</v>
      </c>
      <c r="DR28" s="59">
        <v>0.13669999999999999</v>
      </c>
      <c r="DS28" s="59">
        <v>3.3399999999999999E-2</v>
      </c>
      <c r="DT28" s="59">
        <v>4.7600000000000003E-2</v>
      </c>
      <c r="DU28" s="59">
        <v>1.1900000000000001E-2</v>
      </c>
      <c r="DV28" s="184">
        <v>3.6000000000000004E-2</v>
      </c>
      <c r="DW28" s="184">
        <v>1.3899999999999999E-2</v>
      </c>
      <c r="DX28" s="169">
        <v>0</v>
      </c>
      <c r="DY28" s="59">
        <v>0.91239999999999999</v>
      </c>
      <c r="DZ28" s="171">
        <f t="shared" si="14"/>
        <v>2.0320035072336697</v>
      </c>
      <c r="EA28" s="59">
        <v>0.71789999999999998</v>
      </c>
      <c r="EB28" s="171">
        <f t="shared" si="15"/>
        <v>1.8157124947764314</v>
      </c>
      <c r="EC28" s="59">
        <v>0.13950000000000001</v>
      </c>
      <c r="ED28" s="171">
        <f t="shared" si="16"/>
        <v>2.5770609318996414</v>
      </c>
      <c r="EE28" s="59">
        <v>3.0499999999999999E-2</v>
      </c>
      <c r="EF28" s="59">
        <v>4.1999999999999997E-3</v>
      </c>
      <c r="EG28" s="59">
        <v>0.25469999999999998</v>
      </c>
      <c r="EH28" s="59">
        <v>0</v>
      </c>
      <c r="EI28" s="205">
        <v>0.13600000000000001</v>
      </c>
      <c r="EJ28" s="172">
        <v>5.5770999999999988</v>
      </c>
      <c r="EK28" s="173"/>
      <c r="EL28" s="59">
        <v>0.31990000000000002</v>
      </c>
      <c r="EM28" s="59">
        <v>0.55349999999999999</v>
      </c>
      <c r="EN28" s="206">
        <v>0.15790000000000001</v>
      </c>
      <c r="EO28" s="172">
        <v>6.4723999999999977</v>
      </c>
      <c r="ES28" s="57">
        <f t="shared" si="29"/>
        <v>5.5770999999999988</v>
      </c>
      <c r="ET28" s="57">
        <f t="shared" si="30"/>
        <v>6.4723999999999977</v>
      </c>
      <c r="EU28" s="31"/>
      <c r="EV28" s="61">
        <f t="shared" si="17"/>
        <v>1.7154255796023026</v>
      </c>
      <c r="EW28" s="61">
        <f>BJ28/ET28</f>
        <v>1.6270935047277675</v>
      </c>
      <c r="EX28" s="185">
        <v>7.1757999999999997</v>
      </c>
      <c r="EY28" s="79">
        <v>8.9077000000000002</v>
      </c>
      <c r="EZ28" s="158">
        <f t="shared" si="19"/>
        <v>9.5670999999999999</v>
      </c>
      <c r="FA28" s="158">
        <f t="shared" si="20"/>
        <v>10.531199999999998</v>
      </c>
      <c r="FH28" s="174">
        <f t="shared" si="33"/>
        <v>34452.083809999996</v>
      </c>
      <c r="FJ28" s="87">
        <v>1.2662</v>
      </c>
      <c r="FK28" s="176">
        <f t="shared" si="34"/>
        <v>1.3547824827059727</v>
      </c>
      <c r="FL28" s="87">
        <v>1.3587</v>
      </c>
      <c r="FM28" s="87">
        <f t="shared" si="35"/>
        <v>1.1975369873612773</v>
      </c>
      <c r="FO28" s="88">
        <f t="shared" si="21"/>
        <v>34452.083809999996</v>
      </c>
      <c r="FP28" s="79">
        <f t="shared" si="22"/>
        <v>32568.473183999995</v>
      </c>
      <c r="FS28" s="79">
        <f t="shared" si="23"/>
        <v>20083.694809999994</v>
      </c>
      <c r="FT28" s="79">
        <f t="shared" si="24"/>
        <v>20016.350067999992</v>
      </c>
      <c r="FU28" s="79">
        <f t="shared" si="36"/>
        <v>1.7154255796023026</v>
      </c>
      <c r="FV28" s="79">
        <f t="shared" si="36"/>
        <v>1.6270935047277675</v>
      </c>
      <c r="FY28" s="79">
        <f t="shared" si="37"/>
        <v>4865.1573629999975</v>
      </c>
      <c r="FZ28" s="79">
        <f t="shared" si="38"/>
        <v>32568.473183999995</v>
      </c>
      <c r="GB28" s="178">
        <f t="shared" si="39"/>
        <v>508.52999999999975</v>
      </c>
      <c r="GC28" s="178">
        <f t="shared" si="40"/>
        <v>3092.57</v>
      </c>
      <c r="GG28" s="14">
        <v>7.5797999999999996</v>
      </c>
      <c r="GH28" s="175">
        <f t="shared" si="41"/>
        <v>1.2621836987783319</v>
      </c>
      <c r="GI28" s="14">
        <v>8.9034999999999993</v>
      </c>
      <c r="GJ28" s="175">
        <f t="shared" si="42"/>
        <v>1.182815746616499</v>
      </c>
      <c r="GK28" s="175">
        <f>GH28-GJ28</f>
        <v>7.93679521618329E-2</v>
      </c>
      <c r="GN28" s="14">
        <v>9.4126000000000012</v>
      </c>
      <c r="GO28" s="175">
        <f t="shared" si="44"/>
        <v>1.2418005752130665</v>
      </c>
      <c r="GP28" s="179">
        <f t="shared" si="45"/>
        <v>1.0164141682425683</v>
      </c>
      <c r="GQ28" s="14">
        <v>10.473000000000001</v>
      </c>
      <c r="GR28" s="175">
        <f t="shared" si="46"/>
        <v>1.1762789914078735</v>
      </c>
      <c r="GS28" s="175">
        <f t="shared" si="47"/>
        <v>1.0055571469492979</v>
      </c>
      <c r="GV28" s="32">
        <f t="shared" si="25"/>
        <v>4865.1573629999975</v>
      </c>
      <c r="GW28" s="32">
        <f t="shared" si="26"/>
        <v>32568.473183999995</v>
      </c>
      <c r="GX28" s="180">
        <f t="shared" si="48"/>
        <v>37433.630546999993</v>
      </c>
      <c r="GZ28" s="32">
        <f t="shared" si="49"/>
        <v>9.5670999999999999</v>
      </c>
      <c r="HA28" s="32">
        <f t="shared" si="50"/>
        <v>10.531199999999998</v>
      </c>
      <c r="HB28" s="32">
        <f t="shared" si="51"/>
        <v>10.395054440865289</v>
      </c>
    </row>
    <row r="29" spans="1:210" ht="19.2" customHeight="1" x14ac:dyDescent="0.3">
      <c r="A29" s="50">
        <v>21</v>
      </c>
      <c r="B29" s="51" t="s">
        <v>499</v>
      </c>
      <c r="C29" s="51"/>
      <c r="D29" s="52">
        <v>5</v>
      </c>
      <c r="E29" s="52">
        <v>4</v>
      </c>
      <c r="F29" s="63">
        <v>60</v>
      </c>
      <c r="G29" s="54" t="s">
        <v>48</v>
      </c>
      <c r="H29" s="181" t="s">
        <v>49</v>
      </c>
      <c r="I29" s="55">
        <f t="shared" si="27"/>
        <v>2791.7</v>
      </c>
      <c r="J29" s="55">
        <f t="shared" si="0"/>
        <v>0</v>
      </c>
      <c r="K29" s="55">
        <f t="shared" si="1"/>
        <v>0</v>
      </c>
      <c r="L29" s="56">
        <v>2791.7</v>
      </c>
      <c r="M29" s="56">
        <v>2791.7</v>
      </c>
      <c r="N29" s="56">
        <f t="shared" si="28"/>
        <v>2791.7</v>
      </c>
      <c r="O29" s="56">
        <v>0</v>
      </c>
      <c r="P29" s="56">
        <v>0</v>
      </c>
      <c r="Q29" s="55"/>
      <c r="R29" s="55">
        <v>2791.7</v>
      </c>
      <c r="S29" s="55"/>
      <c r="T29" s="55">
        <v>0</v>
      </c>
      <c r="U29" s="152">
        <v>2791.7</v>
      </c>
      <c r="V29" s="57">
        <v>0.1646</v>
      </c>
      <c r="W29" s="153">
        <v>9.1200000000000003E-2</v>
      </c>
      <c r="X29" s="57">
        <v>0.3105</v>
      </c>
      <c r="Y29" s="57">
        <v>7.4200000000000002E-2</v>
      </c>
      <c r="Z29" s="153">
        <v>2.86E-2</v>
      </c>
      <c r="AA29" s="57">
        <v>0.49270000000000003</v>
      </c>
      <c r="AB29" s="153">
        <v>0</v>
      </c>
      <c r="AC29" s="57">
        <v>0.63149999999999995</v>
      </c>
      <c r="AD29" s="57">
        <v>0.1699</v>
      </c>
      <c r="AE29" s="57">
        <v>0</v>
      </c>
      <c r="AF29" s="57">
        <v>1.9198</v>
      </c>
      <c r="AG29" s="57">
        <v>0.21820000000000001</v>
      </c>
      <c r="AH29" s="57">
        <v>0.3236</v>
      </c>
      <c r="AI29" s="153">
        <v>9.3100000000000002E-2</v>
      </c>
      <c r="AJ29" s="153">
        <v>0.10539999999999999</v>
      </c>
      <c r="AK29" s="153">
        <v>5.6300000000000003E-2</v>
      </c>
      <c r="AL29" s="57">
        <v>0.1699</v>
      </c>
      <c r="AM29" s="153">
        <v>3.3300000000000003E-2</v>
      </c>
      <c r="AN29" s="57">
        <v>0</v>
      </c>
      <c r="AO29" s="153">
        <v>2.8450000000000002</v>
      </c>
      <c r="AP29" s="57">
        <v>1.1323000000000001</v>
      </c>
      <c r="AQ29" s="57">
        <v>8.43E-2</v>
      </c>
      <c r="AR29" s="153">
        <v>0.52090000000000003</v>
      </c>
      <c r="AS29" s="57">
        <v>5.0999999999999997E-2</v>
      </c>
      <c r="AT29" s="57">
        <v>8.3000000000000001E-3</v>
      </c>
      <c r="AU29" s="153">
        <v>0.33929999999999999</v>
      </c>
      <c r="AV29" s="153">
        <v>0</v>
      </c>
      <c r="AW29" s="154">
        <v>9.863900000000001</v>
      </c>
      <c r="AX29" s="58">
        <v>0.49320000000000003</v>
      </c>
      <c r="AY29" s="155">
        <f t="shared" si="2"/>
        <v>0.48899999999999999</v>
      </c>
      <c r="AZ29" s="155">
        <f t="shared" si="3"/>
        <v>4.200000000000037E-3</v>
      </c>
      <c r="BA29" s="14">
        <v>10.357100000000001</v>
      </c>
      <c r="BB29" s="59">
        <f>BA29-'[1]Тариф 26 свод без  ПДВ'!AU29</f>
        <v>1.1000000000009891E-3</v>
      </c>
      <c r="BC29" s="57">
        <v>0</v>
      </c>
      <c r="BD29" s="57">
        <v>0</v>
      </c>
      <c r="BE29" s="57">
        <v>0</v>
      </c>
      <c r="BF29" s="156">
        <v>9.863900000000001</v>
      </c>
      <c r="BG29" s="59">
        <v>0.49320000000000003</v>
      </c>
      <c r="BH29" s="59"/>
      <c r="BI29" s="59"/>
      <c r="BJ29" s="14">
        <v>10.357100000000001</v>
      </c>
      <c r="BK29" s="60"/>
      <c r="BL29" s="60">
        <v>5.0264000000000024</v>
      </c>
      <c r="BM29" s="60">
        <v>0.25130000000000002</v>
      </c>
      <c r="BN29" s="14">
        <v>5.2777000000000021</v>
      </c>
      <c r="BO29" s="14"/>
      <c r="BP29" s="157"/>
      <c r="BQ29" s="158">
        <f>BJ29-'[1]Тариф 26 свод без  ПДВ'!BG29</f>
        <v>1.1000000000009891E-3</v>
      </c>
      <c r="BR29" s="77">
        <f>'[1]Тариф 26 свод без  ПДВ'!BG29</f>
        <v>10.356</v>
      </c>
      <c r="BS29" s="159">
        <f t="shared" si="4"/>
        <v>1.1000000000009891E-3</v>
      </c>
      <c r="BU29" s="77">
        <f>'[1]Тариф 26 свод без  ПДВ'!AU29</f>
        <v>10.356</v>
      </c>
      <c r="BV29" s="159">
        <f t="shared" si="5"/>
        <v>1.1000000000009891E-3</v>
      </c>
      <c r="BX29" s="95">
        <v>4.4535</v>
      </c>
      <c r="BY29" s="95">
        <v>5.4173</v>
      </c>
      <c r="BZ29" s="95"/>
      <c r="CA29" s="207">
        <f t="shared" si="6"/>
        <v>2.3256090715167845</v>
      </c>
      <c r="CB29" s="207">
        <f t="shared" si="7"/>
        <v>1.911856459860078</v>
      </c>
      <c r="CD29" s="160">
        <f>L29-CE29</f>
        <v>2791.7</v>
      </c>
      <c r="CE29" s="160">
        <f>T29</f>
        <v>0</v>
      </c>
      <c r="CF29" s="77">
        <f>CD29*BA29</f>
        <v>28913.916069999999</v>
      </c>
      <c r="CG29" s="77">
        <f>BJ29*CE29</f>
        <v>0</v>
      </c>
      <c r="CI29" s="160">
        <f>'[1]0 СВОД'!AYY44</f>
        <v>28913.67482331246</v>
      </c>
      <c r="CJ29" s="77">
        <f t="shared" si="12"/>
        <v>346964.09787974949</v>
      </c>
      <c r="CM29" s="161">
        <v>22</v>
      </c>
      <c r="CN29" s="162" t="s">
        <v>500</v>
      </c>
      <c r="CO29" s="163">
        <v>5</v>
      </c>
      <c r="CP29" s="163">
        <v>4</v>
      </c>
      <c r="CQ29" s="164" t="s">
        <v>48</v>
      </c>
      <c r="CR29" s="165" t="s">
        <v>49</v>
      </c>
      <c r="CS29" s="166">
        <v>2787.5</v>
      </c>
      <c r="CT29" s="166">
        <v>0</v>
      </c>
      <c r="CU29" s="167">
        <v>0</v>
      </c>
      <c r="CV29" s="168">
        <v>2787.5</v>
      </c>
      <c r="CW29" s="166">
        <v>2787.5</v>
      </c>
      <c r="CX29" s="167">
        <v>0</v>
      </c>
      <c r="CY29" s="166">
        <v>0</v>
      </c>
      <c r="CZ29" s="166"/>
      <c r="DA29" s="166">
        <v>2787.5</v>
      </c>
      <c r="DB29" s="166"/>
      <c r="DC29" s="166">
        <v>0</v>
      </c>
      <c r="DD29" s="59">
        <v>0.16170000000000001</v>
      </c>
      <c r="DE29" s="59">
        <v>0.14849999999999999</v>
      </c>
      <c r="DF29" s="59">
        <v>0.2044</v>
      </c>
      <c r="DG29" s="59">
        <v>4.3700000000000003E-2</v>
      </c>
      <c r="DH29" s="59">
        <v>1.0800000000000001E-2</v>
      </c>
      <c r="DI29" s="59">
        <v>0.2147</v>
      </c>
      <c r="DJ29" s="59">
        <v>4.8099999999999997E-2</v>
      </c>
      <c r="DK29" s="59">
        <v>0.3458</v>
      </c>
      <c r="DL29" s="169">
        <v>0</v>
      </c>
      <c r="DM29" s="59">
        <v>0.1036</v>
      </c>
      <c r="DN29" s="169">
        <v>0</v>
      </c>
      <c r="DO29" s="170">
        <v>1.1564999999999999</v>
      </c>
      <c r="DP29" s="171">
        <f t="shared" si="13"/>
        <v>1.9198</v>
      </c>
      <c r="DQ29" s="59">
        <v>0.1052</v>
      </c>
      <c r="DR29" s="59">
        <v>0.19389999999999999</v>
      </c>
      <c r="DS29" s="59">
        <v>2.41E-2</v>
      </c>
      <c r="DT29" s="59">
        <v>4.9700000000000001E-2</v>
      </c>
      <c r="DU29" s="59">
        <v>2.35E-2</v>
      </c>
      <c r="DV29" s="59">
        <v>5.9200000000000003E-2</v>
      </c>
      <c r="DW29" s="59">
        <v>9.1000000000000004E-3</v>
      </c>
      <c r="DX29" s="169">
        <v>0</v>
      </c>
      <c r="DY29" s="59">
        <v>1.4379999999999999</v>
      </c>
      <c r="DZ29" s="171">
        <f t="shared" si="14"/>
        <v>1.9784422809457582</v>
      </c>
      <c r="EA29" s="59">
        <v>0.68189999999999995</v>
      </c>
      <c r="EB29" s="171">
        <f t="shared" si="15"/>
        <v>1.7841325707581761</v>
      </c>
      <c r="EC29" s="59">
        <v>0.28720000000000001</v>
      </c>
      <c r="ED29" s="171">
        <f t="shared" si="16"/>
        <v>1.8137186629526463</v>
      </c>
      <c r="EE29" s="59">
        <v>3.9100000000000003E-2</v>
      </c>
      <c r="EF29" s="59">
        <v>5.4000000000000003E-3</v>
      </c>
      <c r="EG29" s="59">
        <v>0.26519999999999999</v>
      </c>
      <c r="EH29" s="59">
        <v>0</v>
      </c>
      <c r="EI29" s="208">
        <v>0.14050000000000001</v>
      </c>
      <c r="EJ29" s="172">
        <v>5.7598000000000011</v>
      </c>
      <c r="EK29" s="173"/>
      <c r="EL29" s="169">
        <v>0</v>
      </c>
      <c r="EM29" s="169">
        <v>0</v>
      </c>
      <c r="EN29" s="59"/>
      <c r="EO29" s="172"/>
      <c r="ES29" s="57">
        <f t="shared" si="29"/>
        <v>5.7598000000000011</v>
      </c>
      <c r="ET29" s="57">
        <f t="shared" si="30"/>
        <v>0</v>
      </c>
      <c r="EU29" s="31"/>
      <c r="EV29" s="61">
        <f t="shared" si="17"/>
        <v>1.7981700753498384</v>
      </c>
      <c r="EW29" s="62"/>
      <c r="EX29" s="158">
        <f>ES29*1.305-BA29</f>
        <v>-2.8405610000000001</v>
      </c>
      <c r="EY29" s="77">
        <f>ES29*1.344</f>
        <v>7.7411712000000019</v>
      </c>
      <c r="EZ29" s="158">
        <f t="shared" si="19"/>
        <v>10.357100000000001</v>
      </c>
      <c r="FA29" s="158">
        <f t="shared" si="20"/>
        <v>10.357100000000001</v>
      </c>
      <c r="FH29" s="174">
        <f t="shared" si="33"/>
        <v>28913.916069999999</v>
      </c>
      <c r="FJ29" s="87">
        <v>1.4166984964755718</v>
      </c>
      <c r="FK29" s="176">
        <f t="shared" si="34"/>
        <v>1.2692680057353645</v>
      </c>
      <c r="FM29" s="87" t="e">
        <f t="shared" si="35"/>
        <v>#DIV/0!</v>
      </c>
      <c r="FO29" s="88">
        <f t="shared" si="21"/>
        <v>28913.916069999999</v>
      </c>
      <c r="FP29" s="79">
        <f t="shared" si="22"/>
        <v>0</v>
      </c>
      <c r="FS29" s="79">
        <f t="shared" si="23"/>
        <v>16079.633660000001</v>
      </c>
      <c r="FT29" s="79">
        <f t="shared" si="24"/>
        <v>0</v>
      </c>
      <c r="FU29" s="79">
        <f t="shared" si="36"/>
        <v>1.7981700753498384</v>
      </c>
      <c r="FV29" s="79" t="e">
        <f t="shared" si="36"/>
        <v>#DIV/0!</v>
      </c>
      <c r="FY29" s="79">
        <f t="shared" si="37"/>
        <v>28913.916069999999</v>
      </c>
      <c r="FZ29" s="79">
        <f t="shared" si="38"/>
        <v>0</v>
      </c>
      <c r="GB29" s="178">
        <f t="shared" si="39"/>
        <v>2791.7</v>
      </c>
      <c r="GC29" s="178">
        <f t="shared" si="40"/>
        <v>0</v>
      </c>
      <c r="GG29" s="14">
        <v>8.155800000000001</v>
      </c>
      <c r="GH29" s="175">
        <f t="shared" si="41"/>
        <v>1.2699060791093455</v>
      </c>
      <c r="GI29" s="14">
        <v>8.155800000000001</v>
      </c>
      <c r="GJ29" s="175">
        <f t="shared" si="42"/>
        <v>1.2699060791093455</v>
      </c>
      <c r="GK29" s="175">
        <f t="shared" ref="GK29:GK32" si="60">GH29-GJ29</f>
        <v>0</v>
      </c>
      <c r="GN29" s="14">
        <v>10.5207</v>
      </c>
      <c r="GO29" s="175">
        <f t="shared" si="44"/>
        <v>1.2899654233796805</v>
      </c>
      <c r="GP29" s="179">
        <f t="shared" si="45"/>
        <v>0.9844497039170399</v>
      </c>
      <c r="GQ29" s="14">
        <v>10.5207</v>
      </c>
      <c r="GR29" s="175">
        <f t="shared" si="46"/>
        <v>1.2899654233796805</v>
      </c>
      <c r="GS29" s="175">
        <f t="shared" si="47"/>
        <v>0.9844497039170399</v>
      </c>
      <c r="GV29" s="32">
        <f t="shared" si="25"/>
        <v>28913.916069999999</v>
      </c>
      <c r="GW29" s="32">
        <f t="shared" si="26"/>
        <v>0</v>
      </c>
      <c r="GX29" s="180">
        <f t="shared" si="48"/>
        <v>28913.916069999999</v>
      </c>
      <c r="GZ29" s="32">
        <f t="shared" si="49"/>
        <v>10.357100000000001</v>
      </c>
      <c r="HA29" s="32" t="e">
        <f t="shared" si="50"/>
        <v>#DIV/0!</v>
      </c>
      <c r="HB29" s="32">
        <f t="shared" si="51"/>
        <v>10.357100000000001</v>
      </c>
    </row>
    <row r="30" spans="1:210" ht="19.2" customHeight="1" x14ac:dyDescent="0.3">
      <c r="A30" s="50">
        <v>22</v>
      </c>
      <c r="B30" s="51" t="s">
        <v>501</v>
      </c>
      <c r="C30" s="51"/>
      <c r="D30" s="52">
        <v>5</v>
      </c>
      <c r="E30" s="52">
        <v>2</v>
      </c>
      <c r="F30" s="63">
        <v>40</v>
      </c>
      <c r="G30" s="54" t="s">
        <v>50</v>
      </c>
      <c r="H30" s="181" t="s">
        <v>49</v>
      </c>
      <c r="I30" s="55">
        <f t="shared" si="27"/>
        <v>1719.5</v>
      </c>
      <c r="J30" s="55">
        <f t="shared" si="0"/>
        <v>0</v>
      </c>
      <c r="K30" s="55">
        <f t="shared" si="1"/>
        <v>0</v>
      </c>
      <c r="L30" s="56">
        <v>1719.5</v>
      </c>
      <c r="M30" s="56">
        <v>1719.5</v>
      </c>
      <c r="N30" s="56">
        <f t="shared" si="28"/>
        <v>1719.5</v>
      </c>
      <c r="O30" s="56">
        <v>0</v>
      </c>
      <c r="P30" s="56">
        <v>0</v>
      </c>
      <c r="Q30" s="55"/>
      <c r="R30" s="55">
        <v>1719.5</v>
      </c>
      <c r="S30" s="55"/>
      <c r="T30" s="55">
        <v>0</v>
      </c>
      <c r="U30" s="152">
        <v>1719.5</v>
      </c>
      <c r="V30" s="57">
        <v>0.17630000000000001</v>
      </c>
      <c r="W30" s="153">
        <v>0.1002</v>
      </c>
      <c r="X30" s="57">
        <v>0.31830000000000003</v>
      </c>
      <c r="Y30" s="57">
        <v>7.1400000000000005E-2</v>
      </c>
      <c r="Z30" s="153">
        <v>2.3199999999999998E-2</v>
      </c>
      <c r="AA30" s="57">
        <v>0.34279999999999999</v>
      </c>
      <c r="AB30" s="153">
        <v>0</v>
      </c>
      <c r="AC30" s="57">
        <v>0.63149999999999995</v>
      </c>
      <c r="AD30" s="57">
        <v>0.18390000000000001</v>
      </c>
      <c r="AE30" s="57">
        <v>0</v>
      </c>
      <c r="AF30" s="57">
        <v>2.2265000000000001</v>
      </c>
      <c r="AG30" s="57">
        <v>0.23669999999999999</v>
      </c>
      <c r="AH30" s="57">
        <v>0.37519999999999998</v>
      </c>
      <c r="AI30" s="153">
        <v>8.8499999999999995E-2</v>
      </c>
      <c r="AJ30" s="153">
        <v>8.9800000000000005E-2</v>
      </c>
      <c r="AK30" s="153">
        <v>4.5199999999999997E-2</v>
      </c>
      <c r="AL30" s="57">
        <v>0.11210000000000001</v>
      </c>
      <c r="AM30" s="153">
        <v>3.1399999999999997E-2</v>
      </c>
      <c r="AN30" s="57">
        <v>0</v>
      </c>
      <c r="AO30" s="153">
        <v>1.4918</v>
      </c>
      <c r="AP30" s="57">
        <v>0.91749999999999998</v>
      </c>
      <c r="AQ30" s="57">
        <v>8.7300000000000003E-2</v>
      </c>
      <c r="AR30" s="153">
        <v>0.53310000000000002</v>
      </c>
      <c r="AS30" s="57">
        <v>5.0200000000000002E-2</v>
      </c>
      <c r="AT30" s="57">
        <v>8.2000000000000007E-3</v>
      </c>
      <c r="AU30" s="153">
        <v>0.37930000000000003</v>
      </c>
      <c r="AV30" s="153">
        <v>0</v>
      </c>
      <c r="AW30" s="154">
        <v>8.5204000000000022</v>
      </c>
      <c r="AX30" s="58">
        <v>0.42599999999999999</v>
      </c>
      <c r="AY30" s="155">
        <f t="shared" si="2"/>
        <v>0.42170000000000002</v>
      </c>
      <c r="AZ30" s="155">
        <f t="shared" si="3"/>
        <v>4.2999999999999705E-3</v>
      </c>
      <c r="BA30" s="14">
        <v>8.9464000000000024</v>
      </c>
      <c r="BB30" s="59">
        <f>BA30-'[1]Тариф 26 свод без  ПДВ'!AU30</f>
        <v>-6.1999999999979849E-3</v>
      </c>
      <c r="BC30" s="57">
        <v>0</v>
      </c>
      <c r="BD30" s="57">
        <v>0</v>
      </c>
      <c r="BE30" s="57">
        <v>0</v>
      </c>
      <c r="BF30" s="156">
        <v>8.5204000000000022</v>
      </c>
      <c r="BG30" s="59">
        <v>0.42599999999999999</v>
      </c>
      <c r="BH30" s="59"/>
      <c r="BI30" s="59"/>
      <c r="BJ30" s="14">
        <v>8.9464000000000024</v>
      </c>
      <c r="BK30" s="60"/>
      <c r="BL30" s="60">
        <v>5.1987000000000023</v>
      </c>
      <c r="BM30" s="60">
        <v>0.25990000000000002</v>
      </c>
      <c r="BN30" s="14">
        <v>5.4586000000000023</v>
      </c>
      <c r="BO30" s="14"/>
      <c r="BP30" s="157"/>
      <c r="BQ30" s="158">
        <f>BJ30-'[1]Тариф 26 свод без  ПДВ'!BG30</f>
        <v>-6.1999999999979849E-3</v>
      </c>
      <c r="BR30" s="77">
        <f>'[1]Тариф 26 свод без  ПДВ'!BG30</f>
        <v>8.9526000000000003</v>
      </c>
      <c r="BS30" s="159">
        <f t="shared" si="4"/>
        <v>-6.1999999999979849E-3</v>
      </c>
      <c r="BU30" s="77">
        <f>'[1]Тариф 26 свод без  ПДВ'!AU30</f>
        <v>8.9526000000000003</v>
      </c>
      <c r="BV30" s="159">
        <f t="shared" si="5"/>
        <v>-6.1999999999979849E-3</v>
      </c>
      <c r="BX30" s="95">
        <v>4.6075999999999997</v>
      </c>
      <c r="BY30" s="95">
        <v>4.6075999999999997</v>
      </c>
      <c r="BZ30" s="95"/>
      <c r="CA30" s="62">
        <f t="shared" si="6"/>
        <v>1.9416616025696682</v>
      </c>
      <c r="CB30" s="62">
        <f t="shared" si="7"/>
        <v>1.9416616025696682</v>
      </c>
      <c r="CI30" s="160">
        <f>'[1]0 СВОД'!AYY45</f>
        <v>15382.993983992645</v>
      </c>
      <c r="CJ30" s="77">
        <f t="shared" si="12"/>
        <v>184595.92780791174</v>
      </c>
      <c r="CM30" s="161">
        <v>23</v>
      </c>
      <c r="CN30" s="162" t="s">
        <v>502</v>
      </c>
      <c r="CO30" s="163">
        <v>5</v>
      </c>
      <c r="CP30" s="163">
        <v>2</v>
      </c>
      <c r="CQ30" s="164" t="s">
        <v>50</v>
      </c>
      <c r="CR30" s="165" t="s">
        <v>49</v>
      </c>
      <c r="CS30" s="166">
        <v>1719.5</v>
      </c>
      <c r="CT30" s="166">
        <v>0</v>
      </c>
      <c r="CU30" s="167">
        <v>0</v>
      </c>
      <c r="CV30" s="168">
        <v>1719.5</v>
      </c>
      <c r="CW30" s="166">
        <v>1719.5</v>
      </c>
      <c r="CX30" s="167">
        <v>0</v>
      </c>
      <c r="CY30" s="166">
        <v>0</v>
      </c>
      <c r="CZ30" s="166"/>
      <c r="DA30" s="166">
        <v>1719.5</v>
      </c>
      <c r="DB30" s="166"/>
      <c r="DC30" s="166">
        <v>0</v>
      </c>
      <c r="DD30" s="59">
        <v>0.17269999999999999</v>
      </c>
      <c r="DE30" s="59">
        <v>0.2034</v>
      </c>
      <c r="DF30" s="59">
        <v>0.20910000000000001</v>
      </c>
      <c r="DG30" s="59">
        <v>4.2000000000000003E-2</v>
      </c>
      <c r="DH30" s="59">
        <v>8.6999999999999994E-3</v>
      </c>
      <c r="DI30" s="59">
        <v>0.14560000000000001</v>
      </c>
      <c r="DJ30" s="59">
        <v>4.8099999999999997E-2</v>
      </c>
      <c r="DK30" s="59">
        <v>0.3458</v>
      </c>
      <c r="DL30" s="169">
        <v>0</v>
      </c>
      <c r="DM30" s="59">
        <v>0.1119</v>
      </c>
      <c r="DN30" s="169">
        <v>0</v>
      </c>
      <c r="DO30" s="170">
        <v>1.1651</v>
      </c>
      <c r="DP30" s="171">
        <f t="shared" si="13"/>
        <v>2.2265000000000001</v>
      </c>
      <c r="DQ30" s="59">
        <v>0.11559999999999999</v>
      </c>
      <c r="DR30" s="59">
        <v>0.2656</v>
      </c>
      <c r="DS30" s="59">
        <v>2.3E-2</v>
      </c>
      <c r="DT30" s="59">
        <v>4.2299999999999997E-2</v>
      </c>
      <c r="DU30" s="59">
        <v>1.9099999999999999E-2</v>
      </c>
      <c r="DV30" s="59">
        <v>3.8800000000000001E-2</v>
      </c>
      <c r="DW30" s="59">
        <v>8.0999999999999996E-3</v>
      </c>
      <c r="DX30" s="169">
        <v>0</v>
      </c>
      <c r="DY30" s="59">
        <v>0.76180000000000003</v>
      </c>
      <c r="DZ30" s="171">
        <f t="shared" si="14"/>
        <v>1.9582567603045418</v>
      </c>
      <c r="EA30" s="59">
        <v>0.56020000000000003</v>
      </c>
      <c r="EB30" s="171">
        <f t="shared" si="15"/>
        <v>1.7936451267404496</v>
      </c>
      <c r="EC30" s="59">
        <v>0.307</v>
      </c>
      <c r="ED30" s="171">
        <f t="shared" si="16"/>
        <v>1.7364820846905538</v>
      </c>
      <c r="EE30" s="59">
        <v>3.8399999999999997E-2</v>
      </c>
      <c r="EF30" s="59">
        <v>5.3E-3</v>
      </c>
      <c r="EG30" s="59">
        <v>0.16789999999999999</v>
      </c>
      <c r="EH30" s="59">
        <v>0</v>
      </c>
      <c r="EI30" s="208">
        <v>0.1201</v>
      </c>
      <c r="EJ30" s="172">
        <v>4.925600000000002</v>
      </c>
      <c r="EK30" s="173"/>
      <c r="EL30" s="169">
        <v>0</v>
      </c>
      <c r="EM30" s="169">
        <v>0</v>
      </c>
      <c r="EN30" s="59"/>
      <c r="EO30" s="172"/>
      <c r="ES30" s="57">
        <f t="shared" si="29"/>
        <v>4.925600000000002</v>
      </c>
      <c r="ET30" s="57">
        <f t="shared" si="30"/>
        <v>0</v>
      </c>
      <c r="EU30" s="31"/>
      <c r="EV30" s="61">
        <f t="shared" si="17"/>
        <v>1.8163066428455414</v>
      </c>
      <c r="EW30" s="62"/>
      <c r="EX30" s="158">
        <f>ES30*1.305-BA30</f>
        <v>-2.5184920000000002</v>
      </c>
      <c r="EY30" s="77">
        <f t="shared" ref="EY30:EY32" si="61">ES30*1.344</f>
        <v>6.620006400000003</v>
      </c>
      <c r="EZ30" s="158">
        <f t="shared" si="19"/>
        <v>8.9464000000000024</v>
      </c>
      <c r="FA30" s="158">
        <f t="shared" si="20"/>
        <v>8.9464000000000024</v>
      </c>
      <c r="FH30" s="174">
        <f t="shared" si="33"/>
        <v>15383.334800000004</v>
      </c>
      <c r="FJ30" s="87">
        <v>1.402732662010719</v>
      </c>
      <c r="FK30" s="176">
        <f t="shared" si="34"/>
        <v>1.2948344984296531</v>
      </c>
      <c r="FM30" s="87" t="e">
        <f t="shared" si="35"/>
        <v>#DIV/0!</v>
      </c>
      <c r="FO30" s="88">
        <f t="shared" si="21"/>
        <v>15383.334800000004</v>
      </c>
      <c r="FP30" s="79">
        <f t="shared" si="22"/>
        <v>0</v>
      </c>
      <c r="FS30" s="79">
        <f t="shared" si="23"/>
        <v>8469.5692000000035</v>
      </c>
      <c r="FT30" s="79">
        <f t="shared" si="24"/>
        <v>0</v>
      </c>
      <c r="FU30" s="79">
        <f t="shared" si="36"/>
        <v>1.8163066428455414</v>
      </c>
      <c r="FV30" s="79" t="e">
        <f t="shared" si="36"/>
        <v>#DIV/0!</v>
      </c>
      <c r="FY30" s="79">
        <f t="shared" si="37"/>
        <v>15383.334800000004</v>
      </c>
      <c r="FZ30" s="79">
        <f t="shared" si="38"/>
        <v>0</v>
      </c>
      <c r="GB30" s="178">
        <f t="shared" si="39"/>
        <v>1719.5</v>
      </c>
      <c r="GC30" s="178">
        <f t="shared" si="40"/>
        <v>0</v>
      </c>
      <c r="GG30" s="14">
        <v>7.0448999999999993</v>
      </c>
      <c r="GH30" s="175">
        <f t="shared" si="41"/>
        <v>1.2699115672330343</v>
      </c>
      <c r="GI30" s="14">
        <v>7.0448999999999993</v>
      </c>
      <c r="GJ30" s="175">
        <f t="shared" si="42"/>
        <v>1.2699115672330343</v>
      </c>
      <c r="GK30" s="175">
        <f t="shared" si="60"/>
        <v>0</v>
      </c>
      <c r="GN30" s="14">
        <v>9.0221</v>
      </c>
      <c r="GO30" s="175">
        <f t="shared" si="44"/>
        <v>1.2806569291260346</v>
      </c>
      <c r="GP30" s="179">
        <f t="shared" si="45"/>
        <v>0.99160949224681638</v>
      </c>
      <c r="GQ30" s="14">
        <v>9.0221</v>
      </c>
      <c r="GR30" s="175">
        <f t="shared" si="46"/>
        <v>1.2806569291260346</v>
      </c>
      <c r="GS30" s="175">
        <f t="shared" si="47"/>
        <v>0.99160949224681638</v>
      </c>
      <c r="GV30" s="32">
        <f t="shared" si="25"/>
        <v>15383.334800000004</v>
      </c>
      <c r="GW30" s="32">
        <f t="shared" si="26"/>
        <v>0</v>
      </c>
      <c r="GX30" s="180">
        <f t="shared" si="48"/>
        <v>15383.334800000004</v>
      </c>
      <c r="GZ30" s="32">
        <f t="shared" si="49"/>
        <v>8.9464000000000024</v>
      </c>
      <c r="HA30" s="32" t="e">
        <f t="shared" si="50"/>
        <v>#DIV/0!</v>
      </c>
      <c r="HB30" s="32">
        <f t="shared" si="51"/>
        <v>8.9464000000000024</v>
      </c>
    </row>
    <row r="31" spans="1:210" ht="19.2" customHeight="1" x14ac:dyDescent="0.3">
      <c r="A31" s="50">
        <v>23</v>
      </c>
      <c r="B31" s="51" t="s">
        <v>503</v>
      </c>
      <c r="C31" s="51"/>
      <c r="D31" s="52">
        <v>5</v>
      </c>
      <c r="E31" s="52">
        <v>2</v>
      </c>
      <c r="F31" s="63">
        <v>40</v>
      </c>
      <c r="G31" s="54" t="s">
        <v>51</v>
      </c>
      <c r="H31" s="181" t="s">
        <v>49</v>
      </c>
      <c r="I31" s="55">
        <f t="shared" si="27"/>
        <v>1721.3</v>
      </c>
      <c r="J31" s="55">
        <f t="shared" si="0"/>
        <v>0</v>
      </c>
      <c r="K31" s="55">
        <f t="shared" si="1"/>
        <v>0</v>
      </c>
      <c r="L31" s="56">
        <v>1721.3</v>
      </c>
      <c r="M31" s="56">
        <v>1721.3</v>
      </c>
      <c r="N31" s="56">
        <f t="shared" si="28"/>
        <v>1721.3</v>
      </c>
      <c r="O31" s="56">
        <v>0</v>
      </c>
      <c r="P31" s="56">
        <v>0</v>
      </c>
      <c r="Q31" s="55"/>
      <c r="R31" s="55">
        <v>1721.3</v>
      </c>
      <c r="S31" s="55"/>
      <c r="T31" s="55">
        <v>0</v>
      </c>
      <c r="U31" s="152">
        <v>1721.3</v>
      </c>
      <c r="V31" s="57">
        <v>0.17610000000000001</v>
      </c>
      <c r="W31" s="153">
        <v>0.1</v>
      </c>
      <c r="X31" s="57">
        <v>0.31780000000000003</v>
      </c>
      <c r="Y31" s="57">
        <v>7.1300000000000002E-2</v>
      </c>
      <c r="Z31" s="153">
        <v>2.3199999999999998E-2</v>
      </c>
      <c r="AA31" s="57">
        <v>0.33629999999999999</v>
      </c>
      <c r="AB31" s="153">
        <v>0</v>
      </c>
      <c r="AC31" s="57">
        <v>0.63149999999999995</v>
      </c>
      <c r="AD31" s="57">
        <v>0.18379999999999999</v>
      </c>
      <c r="AE31" s="57">
        <v>0</v>
      </c>
      <c r="AF31" s="57">
        <v>2.1272000000000002</v>
      </c>
      <c r="AG31" s="57">
        <v>0.2364</v>
      </c>
      <c r="AH31" s="57">
        <v>0.3548</v>
      </c>
      <c r="AI31" s="153">
        <v>8.8099999999999998E-2</v>
      </c>
      <c r="AJ31" s="153">
        <v>8.9700000000000002E-2</v>
      </c>
      <c r="AK31" s="153">
        <v>4.5100000000000001E-2</v>
      </c>
      <c r="AL31" s="57">
        <v>0.112</v>
      </c>
      <c r="AM31" s="153">
        <v>3.1399999999999997E-2</v>
      </c>
      <c r="AN31" s="57">
        <v>0</v>
      </c>
      <c r="AO31" s="153">
        <v>1.5438000000000001</v>
      </c>
      <c r="AP31" s="57">
        <v>0.91649999999999998</v>
      </c>
      <c r="AQ31" s="57">
        <v>8.7300000000000003E-2</v>
      </c>
      <c r="AR31" s="153">
        <v>1.1865000000000001</v>
      </c>
      <c r="AS31" s="57">
        <v>5.0200000000000002E-2</v>
      </c>
      <c r="AT31" s="57">
        <v>8.0999999999999996E-3</v>
      </c>
      <c r="AU31" s="153">
        <v>0.39689999999999998</v>
      </c>
      <c r="AV31" s="153">
        <v>0</v>
      </c>
      <c r="AW31" s="154">
        <v>9.1140000000000008</v>
      </c>
      <c r="AX31" s="58">
        <v>0.45569999999999999</v>
      </c>
      <c r="AY31" s="155">
        <f t="shared" si="2"/>
        <v>0.45129999999999998</v>
      </c>
      <c r="AZ31" s="155">
        <f t="shared" si="3"/>
        <v>4.400000000000015E-3</v>
      </c>
      <c r="BA31" s="14">
        <v>9.569700000000001</v>
      </c>
      <c r="BB31" s="59">
        <f>BA31-'[1]Тариф 26 свод без  ПДВ'!AU31</f>
        <v>-6.9999999999836859E-4</v>
      </c>
      <c r="BC31" s="57">
        <v>0</v>
      </c>
      <c r="BD31" s="57">
        <v>0</v>
      </c>
      <c r="BE31" s="57">
        <v>0</v>
      </c>
      <c r="BF31" s="156">
        <v>9.1140000000000008</v>
      </c>
      <c r="BG31" s="59">
        <v>0.45569999999999999</v>
      </c>
      <c r="BH31" s="59"/>
      <c r="BI31" s="59"/>
      <c r="BJ31" s="14">
        <v>9.569700000000001</v>
      </c>
      <c r="BK31" s="60"/>
      <c r="BL31" s="60">
        <v>5.0702999999999996</v>
      </c>
      <c r="BM31" s="60">
        <v>0.2535</v>
      </c>
      <c r="BN31" s="14">
        <v>5.3237999999999994</v>
      </c>
      <c r="BO31" s="14"/>
      <c r="BP31" s="157"/>
      <c r="BQ31" s="158">
        <f>BJ31-'[1]Тариф 26 свод без  ПДВ'!BG31</f>
        <v>-6.9999999999836859E-4</v>
      </c>
      <c r="BR31" s="77">
        <f>'[1]Тариф 26 свод без  ПДВ'!BG31</f>
        <v>9.5703999999999994</v>
      </c>
      <c r="BS31" s="159">
        <f t="shared" si="4"/>
        <v>-6.9999999999836859E-4</v>
      </c>
      <c r="BU31" s="77">
        <f>'[1]Тариф 26 свод без  ПДВ'!AU31</f>
        <v>9.5703999999999994</v>
      </c>
      <c r="BV31" s="159">
        <f t="shared" si="5"/>
        <v>-6.9999999999836859E-4</v>
      </c>
      <c r="BX31" s="95">
        <v>3.9398</v>
      </c>
      <c r="BY31" s="95">
        <v>3.9398</v>
      </c>
      <c r="BZ31" s="95"/>
      <c r="CA31" s="62">
        <f t="shared" si="6"/>
        <v>2.4289811665566781</v>
      </c>
      <c r="CB31" s="62">
        <f t="shared" si="7"/>
        <v>2.4289811665566781</v>
      </c>
      <c r="CI31" s="160">
        <f>'[1]0 СВОД'!AYY46</f>
        <v>16472.906638334054</v>
      </c>
      <c r="CJ31" s="77">
        <f t="shared" si="12"/>
        <v>197674.87966000865</v>
      </c>
      <c r="CM31" s="161">
        <v>24</v>
      </c>
      <c r="CN31" s="162" t="s">
        <v>504</v>
      </c>
      <c r="CO31" s="163">
        <v>5</v>
      </c>
      <c r="CP31" s="163">
        <v>2</v>
      </c>
      <c r="CQ31" s="164" t="s">
        <v>51</v>
      </c>
      <c r="CR31" s="165" t="s">
        <v>49</v>
      </c>
      <c r="CS31" s="166">
        <v>1720.2</v>
      </c>
      <c r="CT31" s="166">
        <v>0</v>
      </c>
      <c r="CU31" s="167">
        <v>0</v>
      </c>
      <c r="CV31" s="168">
        <v>1720.2</v>
      </c>
      <c r="CW31" s="166">
        <v>1720.2</v>
      </c>
      <c r="CX31" s="167">
        <v>0</v>
      </c>
      <c r="CY31" s="166">
        <v>0</v>
      </c>
      <c r="CZ31" s="166"/>
      <c r="DA31" s="166">
        <v>1720.2</v>
      </c>
      <c r="DB31" s="166"/>
      <c r="DC31" s="166">
        <v>0</v>
      </c>
      <c r="DD31" s="59">
        <v>0.1726</v>
      </c>
      <c r="DE31" s="59">
        <v>0.16259999999999999</v>
      </c>
      <c r="DF31" s="59">
        <v>0.2089</v>
      </c>
      <c r="DG31" s="59">
        <v>4.2000000000000003E-2</v>
      </c>
      <c r="DH31" s="59">
        <v>8.6999999999999994E-3</v>
      </c>
      <c r="DI31" s="59">
        <v>0.14299999999999999</v>
      </c>
      <c r="DJ31" s="59">
        <v>4.8099999999999997E-2</v>
      </c>
      <c r="DK31" s="59">
        <v>0.3458</v>
      </c>
      <c r="DL31" s="169">
        <v>0</v>
      </c>
      <c r="DM31" s="59">
        <v>0.1119</v>
      </c>
      <c r="DN31" s="169">
        <v>0</v>
      </c>
      <c r="DO31" s="170">
        <v>1.1723000000000001</v>
      </c>
      <c r="DP31" s="171">
        <f t="shared" si="13"/>
        <v>2.1272000000000002</v>
      </c>
      <c r="DQ31" s="59">
        <v>0.1134</v>
      </c>
      <c r="DR31" s="59">
        <v>0.21240000000000001</v>
      </c>
      <c r="DS31" s="59">
        <v>2.29E-2</v>
      </c>
      <c r="DT31" s="59">
        <v>4.2299999999999997E-2</v>
      </c>
      <c r="DU31" s="59">
        <v>1.9099999999999999E-2</v>
      </c>
      <c r="DV31" s="59">
        <v>3.8800000000000001E-2</v>
      </c>
      <c r="DW31" s="59">
        <v>8.0999999999999996E-3</v>
      </c>
      <c r="DX31" s="169">
        <v>0</v>
      </c>
      <c r="DY31" s="59">
        <v>0.80500000000000005</v>
      </c>
      <c r="DZ31" s="171">
        <f t="shared" si="14"/>
        <v>1.9177639751552795</v>
      </c>
      <c r="EA31" s="59">
        <v>0.56000000000000005</v>
      </c>
      <c r="EB31" s="171">
        <f t="shared" si="15"/>
        <v>1.7925</v>
      </c>
      <c r="EC31" s="59">
        <v>0.64029999999999998</v>
      </c>
      <c r="ED31" s="171">
        <f t="shared" si="16"/>
        <v>1.8530376386069032</v>
      </c>
      <c r="EE31" s="59">
        <v>3.8399999999999997E-2</v>
      </c>
      <c r="EF31" s="59">
        <v>5.3E-3</v>
      </c>
      <c r="EG31" s="59">
        <v>0.24390000000000001</v>
      </c>
      <c r="EH31" s="59">
        <v>0</v>
      </c>
      <c r="EI31" s="208">
        <v>0.12909999999999999</v>
      </c>
      <c r="EJ31" s="172">
        <v>5.2949000000000019</v>
      </c>
      <c r="EK31" s="173"/>
      <c r="EL31" s="169">
        <v>0</v>
      </c>
      <c r="EM31" s="169">
        <v>0</v>
      </c>
      <c r="EN31" s="59"/>
      <c r="EO31" s="172"/>
      <c r="ES31" s="57">
        <f t="shared" si="29"/>
        <v>5.2949000000000019</v>
      </c>
      <c r="ET31" s="57">
        <f t="shared" si="30"/>
        <v>0</v>
      </c>
      <c r="EU31" s="31"/>
      <c r="EV31" s="61">
        <f t="shared" si="17"/>
        <v>1.8073429148803561</v>
      </c>
      <c r="EW31" s="62"/>
      <c r="EX31" s="158">
        <f>ES31*1.305-BA31</f>
        <v>-2.659855499999999</v>
      </c>
      <c r="EY31" s="77">
        <f t="shared" si="61"/>
        <v>7.1163456000000034</v>
      </c>
      <c r="EZ31" s="158">
        <f t="shared" si="19"/>
        <v>9.569700000000001</v>
      </c>
      <c r="FA31" s="158">
        <f t="shared" si="20"/>
        <v>9.569700000000001</v>
      </c>
      <c r="FH31" s="174">
        <f t="shared" si="33"/>
        <v>16472.32461</v>
      </c>
      <c r="FJ31" s="87">
        <v>1.4083174375342304</v>
      </c>
      <c r="FK31" s="176">
        <f t="shared" si="34"/>
        <v>1.2833348978798162</v>
      </c>
      <c r="FM31" s="87" t="e">
        <f t="shared" si="35"/>
        <v>#DIV/0!</v>
      </c>
      <c r="FO31" s="88">
        <f t="shared" si="21"/>
        <v>16472.32461</v>
      </c>
      <c r="FP31" s="79">
        <f t="shared" si="22"/>
        <v>0</v>
      </c>
      <c r="FS31" s="79">
        <f t="shared" si="23"/>
        <v>9114.1113700000024</v>
      </c>
      <c r="FT31" s="79">
        <f t="shared" si="24"/>
        <v>0</v>
      </c>
      <c r="FU31" s="79">
        <f t="shared" si="36"/>
        <v>1.8073429148803561</v>
      </c>
      <c r="FV31" s="79" t="e">
        <f t="shared" si="36"/>
        <v>#DIV/0!</v>
      </c>
      <c r="FY31" s="79">
        <f t="shared" si="37"/>
        <v>16472.32461</v>
      </c>
      <c r="FZ31" s="79">
        <f t="shared" si="38"/>
        <v>0</v>
      </c>
      <c r="GB31" s="178">
        <f t="shared" si="39"/>
        <v>1721.3</v>
      </c>
      <c r="GC31" s="178">
        <f t="shared" si="40"/>
        <v>0</v>
      </c>
      <c r="GG31" s="14">
        <v>7.5357000000000003</v>
      </c>
      <c r="GH31" s="175">
        <f t="shared" si="41"/>
        <v>1.269915203630718</v>
      </c>
      <c r="GI31" s="14">
        <v>7.5357000000000003</v>
      </c>
      <c r="GJ31" s="175">
        <f t="shared" si="42"/>
        <v>1.269915203630718</v>
      </c>
      <c r="GK31" s="175">
        <f t="shared" si="60"/>
        <v>0</v>
      </c>
      <c r="GN31" s="14">
        <v>9.5755999999999997</v>
      </c>
      <c r="GO31" s="175">
        <f t="shared" si="44"/>
        <v>1.2706981435035896</v>
      </c>
      <c r="GP31" s="179">
        <f t="shared" si="45"/>
        <v>0.99938385062032675</v>
      </c>
      <c r="GQ31" s="14">
        <v>9.5755999999999997</v>
      </c>
      <c r="GR31" s="175">
        <f t="shared" si="46"/>
        <v>1.2706981435035896</v>
      </c>
      <c r="GS31" s="175">
        <f t="shared" si="47"/>
        <v>0.99938385062032675</v>
      </c>
      <c r="GV31" s="32">
        <f t="shared" si="25"/>
        <v>16472.32461</v>
      </c>
      <c r="GW31" s="32">
        <f t="shared" si="26"/>
        <v>0</v>
      </c>
      <c r="GX31" s="180">
        <f t="shared" si="48"/>
        <v>16472.32461</v>
      </c>
      <c r="GZ31" s="32">
        <f t="shared" si="49"/>
        <v>9.5696999999999992</v>
      </c>
      <c r="HA31" s="32" t="e">
        <f t="shared" si="50"/>
        <v>#DIV/0!</v>
      </c>
      <c r="HB31" s="32">
        <f t="shared" si="51"/>
        <v>9.5696999999999992</v>
      </c>
    </row>
    <row r="32" spans="1:210" ht="19.2" customHeight="1" x14ac:dyDescent="0.3">
      <c r="A32" s="50">
        <v>24</v>
      </c>
      <c r="B32" s="51" t="s">
        <v>505</v>
      </c>
      <c r="C32" s="51"/>
      <c r="D32" s="52">
        <v>5</v>
      </c>
      <c r="E32" s="52">
        <v>4</v>
      </c>
      <c r="F32" s="63">
        <v>60</v>
      </c>
      <c r="G32" s="54" t="s">
        <v>52</v>
      </c>
      <c r="H32" s="181" t="s">
        <v>49</v>
      </c>
      <c r="I32" s="55">
        <f t="shared" si="27"/>
        <v>2751.8</v>
      </c>
      <c r="J32" s="55">
        <f t="shared" si="0"/>
        <v>0</v>
      </c>
      <c r="K32" s="55">
        <f t="shared" si="1"/>
        <v>0</v>
      </c>
      <c r="L32" s="56">
        <v>2751.8</v>
      </c>
      <c r="M32" s="56">
        <v>2751.8</v>
      </c>
      <c r="N32" s="56">
        <f t="shared" si="28"/>
        <v>2751.8</v>
      </c>
      <c r="O32" s="56">
        <v>0</v>
      </c>
      <c r="P32" s="56">
        <v>0</v>
      </c>
      <c r="Q32" s="55"/>
      <c r="R32" s="55">
        <v>2751.8</v>
      </c>
      <c r="S32" s="55"/>
      <c r="T32" s="55">
        <v>0</v>
      </c>
      <c r="U32" s="152">
        <v>2751.8</v>
      </c>
      <c r="V32" s="57">
        <v>0.16700000000000001</v>
      </c>
      <c r="W32" s="153">
        <v>9.2600000000000002E-2</v>
      </c>
      <c r="X32" s="57">
        <v>0.32350000000000001</v>
      </c>
      <c r="Y32" s="57">
        <v>7.4399999999999994E-2</v>
      </c>
      <c r="Z32" s="153">
        <v>2.9000000000000001E-2</v>
      </c>
      <c r="AA32" s="57">
        <v>0.49990000000000001</v>
      </c>
      <c r="AB32" s="153">
        <v>0</v>
      </c>
      <c r="AC32" s="57">
        <v>0.63149999999999995</v>
      </c>
      <c r="AD32" s="57">
        <v>0.1724</v>
      </c>
      <c r="AE32" s="57">
        <v>0</v>
      </c>
      <c r="AF32" s="57">
        <v>1.4722</v>
      </c>
      <c r="AG32" s="57">
        <v>0.2213</v>
      </c>
      <c r="AH32" s="57">
        <v>0.32829999999999998</v>
      </c>
      <c r="AI32" s="153">
        <v>8.8200000000000001E-2</v>
      </c>
      <c r="AJ32" s="153">
        <v>0.1067</v>
      </c>
      <c r="AK32" s="153">
        <v>5.6500000000000002E-2</v>
      </c>
      <c r="AL32" s="57">
        <v>0.17230000000000001</v>
      </c>
      <c r="AM32" s="153">
        <v>3.3599999999999998E-2</v>
      </c>
      <c r="AN32" s="57">
        <v>0</v>
      </c>
      <c r="AO32" s="153">
        <v>3.2099000000000002</v>
      </c>
      <c r="AP32" s="57">
        <v>1.1347</v>
      </c>
      <c r="AQ32" s="57">
        <v>8.8499999999999995E-2</v>
      </c>
      <c r="AR32" s="153">
        <v>0.6351</v>
      </c>
      <c r="AS32" s="57">
        <v>6.0100000000000001E-2</v>
      </c>
      <c r="AT32" s="57">
        <v>9.7999999999999997E-3</v>
      </c>
      <c r="AU32" s="153">
        <v>0.22009999999999999</v>
      </c>
      <c r="AV32" s="153">
        <v>0</v>
      </c>
      <c r="AW32" s="154">
        <v>9.8275999999999986</v>
      </c>
      <c r="AX32" s="58">
        <v>0.4914</v>
      </c>
      <c r="AY32" s="155">
        <f t="shared" si="2"/>
        <v>0.48699999999999999</v>
      </c>
      <c r="AZ32" s="155">
        <f t="shared" si="3"/>
        <v>4.400000000000015E-3</v>
      </c>
      <c r="BA32" s="14">
        <v>10.318999999999999</v>
      </c>
      <c r="BB32" s="59">
        <f>BA32-'[1]Тариф 26 свод без  ПДВ'!AU32</f>
        <v>-9.0000000000145519E-4</v>
      </c>
      <c r="BC32" s="57">
        <v>0</v>
      </c>
      <c r="BD32" s="57">
        <v>0</v>
      </c>
      <c r="BE32" s="57">
        <v>0</v>
      </c>
      <c r="BF32" s="156">
        <v>9.8275999999999986</v>
      </c>
      <c r="BG32" s="59">
        <v>0.4914</v>
      </c>
      <c r="BH32" s="59"/>
      <c r="BI32" s="59"/>
      <c r="BJ32" s="14">
        <v>10.318999999999999</v>
      </c>
      <c r="BK32" s="60"/>
      <c r="BL32" s="60">
        <v>4.6277999999999979</v>
      </c>
      <c r="BM32" s="60">
        <v>0.23139999999999999</v>
      </c>
      <c r="BN32" s="14">
        <v>4.8591999999999977</v>
      </c>
      <c r="BO32" s="14"/>
      <c r="BP32" s="157"/>
      <c r="BQ32" s="158">
        <f>BJ32-'[1]Тариф 26 свод без  ПДВ'!BG32</f>
        <v>-9.0000000000145519E-4</v>
      </c>
      <c r="BR32" s="77">
        <f>'[1]Тариф 26 свод без  ПДВ'!BG32</f>
        <v>10.319900000000001</v>
      </c>
      <c r="BS32" s="159">
        <f t="shared" si="4"/>
        <v>-9.0000000000145519E-4</v>
      </c>
      <c r="BU32" s="77">
        <f>'[1]Тариф 26 свод без  ПДВ'!AU32</f>
        <v>10.319900000000001</v>
      </c>
      <c r="BV32" s="159">
        <f t="shared" si="5"/>
        <v>-9.0000000000145519E-4</v>
      </c>
      <c r="BX32" s="95">
        <v>4.2354000000000003</v>
      </c>
      <c r="BY32" s="95">
        <v>4.2354000000000003</v>
      </c>
      <c r="BZ32" s="95"/>
      <c r="CA32" s="62">
        <f t="shared" si="6"/>
        <v>2.4363696463143971</v>
      </c>
      <c r="CB32" s="62">
        <f t="shared" si="7"/>
        <v>2.4363696463143971</v>
      </c>
      <c r="CI32" s="160">
        <f>'[1]0 СВОД'!AYY47</f>
        <v>28395.72444525205</v>
      </c>
      <c r="CJ32" s="77">
        <f t="shared" si="12"/>
        <v>340748.69334302458</v>
      </c>
      <c r="CM32" s="161">
        <v>26</v>
      </c>
      <c r="CN32" s="162" t="s">
        <v>506</v>
      </c>
      <c r="CO32" s="163">
        <v>5</v>
      </c>
      <c r="CP32" s="163">
        <v>4</v>
      </c>
      <c r="CQ32" s="164" t="s">
        <v>52</v>
      </c>
      <c r="CR32" s="165" t="s">
        <v>49</v>
      </c>
      <c r="CS32" s="166">
        <v>2749.2</v>
      </c>
      <c r="CT32" s="166">
        <v>0</v>
      </c>
      <c r="CU32" s="167">
        <v>0</v>
      </c>
      <c r="CV32" s="168">
        <v>2749.2</v>
      </c>
      <c r="CW32" s="166">
        <v>2749.2</v>
      </c>
      <c r="CX32" s="167">
        <v>0</v>
      </c>
      <c r="CY32" s="166">
        <v>0</v>
      </c>
      <c r="CZ32" s="166"/>
      <c r="DA32" s="166">
        <v>2749.2</v>
      </c>
      <c r="DB32" s="166"/>
      <c r="DC32" s="166">
        <v>0</v>
      </c>
      <c r="DD32" s="59">
        <v>0.16400000000000001</v>
      </c>
      <c r="DE32" s="59">
        <v>0.15049999999999999</v>
      </c>
      <c r="DF32" s="59">
        <v>0.21279999999999999</v>
      </c>
      <c r="DG32" s="59">
        <v>4.3799999999999999E-2</v>
      </c>
      <c r="DH32" s="59">
        <v>1.09E-2</v>
      </c>
      <c r="DI32" s="59">
        <v>0.2177</v>
      </c>
      <c r="DJ32" s="59">
        <v>4.8099999999999997E-2</v>
      </c>
      <c r="DK32" s="59">
        <v>0.3458</v>
      </c>
      <c r="DL32" s="169">
        <v>0</v>
      </c>
      <c r="DM32" s="59">
        <v>0.105</v>
      </c>
      <c r="DN32" s="169">
        <v>0</v>
      </c>
      <c r="DO32" s="170">
        <v>0.9153</v>
      </c>
      <c r="DP32" s="171">
        <f t="shared" si="13"/>
        <v>1.4722</v>
      </c>
      <c r="DQ32" s="59">
        <v>0.1067</v>
      </c>
      <c r="DR32" s="59">
        <v>0.1966</v>
      </c>
      <c r="DS32" s="59">
        <v>2.3E-2</v>
      </c>
      <c r="DT32" s="59">
        <v>5.0299999999999997E-2</v>
      </c>
      <c r="DU32" s="59">
        <v>2.3800000000000002E-2</v>
      </c>
      <c r="DV32" s="59">
        <v>6.0100000000000001E-2</v>
      </c>
      <c r="DW32" s="59">
        <v>9.1999999999999998E-3</v>
      </c>
      <c r="DX32" s="169">
        <v>0</v>
      </c>
      <c r="DY32" s="170">
        <v>1.6154999999999999</v>
      </c>
      <c r="DZ32" s="171">
        <f t="shared" si="14"/>
        <v>1.9869390281646551</v>
      </c>
      <c r="EA32" s="59">
        <v>0.68689999999999996</v>
      </c>
      <c r="EB32" s="171">
        <f t="shared" si="15"/>
        <v>1.7807541126801574</v>
      </c>
      <c r="EC32" s="59">
        <v>0.42180000000000001</v>
      </c>
      <c r="ED32" s="171">
        <f t="shared" si="16"/>
        <v>1.5056899004267426</v>
      </c>
      <c r="EE32" s="59">
        <v>4.5999999999999999E-2</v>
      </c>
      <c r="EF32" s="59">
        <v>6.4000000000000003E-3</v>
      </c>
      <c r="EG32" s="59">
        <v>0.15540000000000001</v>
      </c>
      <c r="EH32" s="59">
        <v>0</v>
      </c>
      <c r="EI32" s="208">
        <v>0.1404</v>
      </c>
      <c r="EJ32" s="172">
        <v>5.7559999999999993</v>
      </c>
      <c r="EK32" s="173"/>
      <c r="EL32" s="169">
        <v>0</v>
      </c>
      <c r="EM32" s="169">
        <v>0</v>
      </c>
      <c r="EN32" s="59"/>
      <c r="EO32" s="172"/>
      <c r="ES32" s="57">
        <f t="shared" si="29"/>
        <v>5.7559999999999993</v>
      </c>
      <c r="ET32" s="57">
        <f t="shared" si="30"/>
        <v>0</v>
      </c>
      <c r="EU32" s="31"/>
      <c r="EV32" s="61">
        <f t="shared" si="17"/>
        <v>1.7927380125086867</v>
      </c>
      <c r="EW32" s="62"/>
      <c r="EX32" s="158">
        <f>ES32*1.305-BA32</f>
        <v>-2.8074200000000005</v>
      </c>
      <c r="EY32" s="77">
        <f t="shared" si="61"/>
        <v>7.7360639999999998</v>
      </c>
      <c r="EZ32" s="158">
        <f t="shared" si="19"/>
        <v>10.318999999999999</v>
      </c>
      <c r="FA32" s="158">
        <f t="shared" si="20"/>
        <v>10.318999999999999</v>
      </c>
      <c r="FH32" s="174">
        <f t="shared" si="33"/>
        <v>28395.824199999999</v>
      </c>
      <c r="FJ32" s="87">
        <v>1.3501042390548994</v>
      </c>
      <c r="FK32" s="176">
        <f t="shared" si="34"/>
        <v>1.327851554457484</v>
      </c>
      <c r="FM32" s="87" t="e">
        <f t="shared" si="35"/>
        <v>#DIV/0!</v>
      </c>
      <c r="FO32" s="88">
        <f t="shared" si="21"/>
        <v>28395.824199999999</v>
      </c>
      <c r="FP32" s="79">
        <f t="shared" si="22"/>
        <v>0</v>
      </c>
      <c r="FS32" s="79">
        <f t="shared" si="23"/>
        <v>15839.360799999999</v>
      </c>
      <c r="FT32" s="79">
        <f t="shared" si="24"/>
        <v>0</v>
      </c>
      <c r="FU32" s="79">
        <f t="shared" si="36"/>
        <v>1.7927380125086867</v>
      </c>
      <c r="FV32" s="79" t="e">
        <f t="shared" si="36"/>
        <v>#DIV/0!</v>
      </c>
      <c r="FY32" s="79">
        <f t="shared" si="37"/>
        <v>28395.824199999999</v>
      </c>
      <c r="FZ32" s="79">
        <f t="shared" si="38"/>
        <v>0</v>
      </c>
      <c r="GB32" s="178">
        <f t="shared" si="39"/>
        <v>2751.8</v>
      </c>
      <c r="GC32" s="178">
        <f t="shared" si="40"/>
        <v>0</v>
      </c>
      <c r="GG32" s="14">
        <v>8.1257000000000001</v>
      </c>
      <c r="GH32" s="175">
        <f t="shared" si="41"/>
        <v>1.2699213606212387</v>
      </c>
      <c r="GI32" s="14">
        <v>8.1257000000000001</v>
      </c>
      <c r="GJ32" s="175">
        <f t="shared" si="42"/>
        <v>1.2699213606212387</v>
      </c>
      <c r="GK32" s="175">
        <f t="shared" si="60"/>
        <v>0</v>
      </c>
      <c r="GN32" s="14">
        <v>10.7143</v>
      </c>
      <c r="GO32" s="175">
        <f t="shared" si="44"/>
        <v>1.3185694770912044</v>
      </c>
      <c r="GP32" s="179">
        <f t="shared" si="45"/>
        <v>0.96310538252615652</v>
      </c>
      <c r="GQ32" s="14">
        <v>10.7143</v>
      </c>
      <c r="GR32" s="175">
        <f t="shared" si="46"/>
        <v>1.3185694770912044</v>
      </c>
      <c r="GS32" s="175">
        <f t="shared" si="47"/>
        <v>0.96310538252615652</v>
      </c>
      <c r="GV32" s="32">
        <f t="shared" si="25"/>
        <v>28395.824199999999</v>
      </c>
      <c r="GW32" s="32">
        <f t="shared" si="26"/>
        <v>0</v>
      </c>
      <c r="GX32" s="180">
        <f t="shared" si="48"/>
        <v>28395.824199999999</v>
      </c>
      <c r="GZ32" s="32">
        <f t="shared" si="49"/>
        <v>10.318999999999999</v>
      </c>
      <c r="HA32" s="32" t="e">
        <f t="shared" si="50"/>
        <v>#DIV/0!</v>
      </c>
      <c r="HB32" s="32">
        <f t="shared" si="51"/>
        <v>10.318999999999999</v>
      </c>
    </row>
    <row r="33" spans="1:210" ht="19.2" customHeight="1" x14ac:dyDescent="0.3">
      <c r="A33" s="50">
        <v>25</v>
      </c>
      <c r="B33" s="51" t="s">
        <v>507</v>
      </c>
      <c r="C33" s="51"/>
      <c r="D33" s="52">
        <v>9</v>
      </c>
      <c r="E33" s="52">
        <v>4</v>
      </c>
      <c r="F33" s="63">
        <v>140</v>
      </c>
      <c r="G33" s="54" t="s">
        <v>186</v>
      </c>
      <c r="H33" s="181" t="s">
        <v>173</v>
      </c>
      <c r="I33" s="55">
        <f t="shared" si="27"/>
        <v>689.30000000000018</v>
      </c>
      <c r="J33" s="55">
        <f t="shared" si="0"/>
        <v>7027.5</v>
      </c>
      <c r="K33" s="55">
        <f t="shared" si="1"/>
        <v>129.5</v>
      </c>
      <c r="L33" s="56">
        <v>7846.3</v>
      </c>
      <c r="M33" s="56">
        <v>7716.8</v>
      </c>
      <c r="N33" s="56">
        <f t="shared" si="28"/>
        <v>689.30000000000018</v>
      </c>
      <c r="O33" s="56">
        <v>129.5</v>
      </c>
      <c r="P33" s="56">
        <v>0</v>
      </c>
      <c r="Q33" s="55"/>
      <c r="R33" s="55">
        <v>7846.3</v>
      </c>
      <c r="S33" s="55"/>
      <c r="T33" s="55">
        <v>7027.5</v>
      </c>
      <c r="U33" s="152">
        <v>818.80000000000018</v>
      </c>
      <c r="V33" s="57">
        <v>0.17050000000000001</v>
      </c>
      <c r="W33" s="57">
        <v>9.7900000000000001E-2</v>
      </c>
      <c r="X33" s="153">
        <v>0.3044</v>
      </c>
      <c r="Y33" s="153">
        <v>6.6199999999999995E-2</v>
      </c>
      <c r="Z33" s="57">
        <v>2.24E-2</v>
      </c>
      <c r="AA33" s="57">
        <v>0.2918</v>
      </c>
      <c r="AB33" s="57">
        <v>0</v>
      </c>
      <c r="AC33" s="153">
        <v>0.63149999999999995</v>
      </c>
      <c r="AD33" s="57">
        <v>0.1411</v>
      </c>
      <c r="AE33" s="57">
        <v>0</v>
      </c>
      <c r="AF33" s="57">
        <v>2.9615999999999998</v>
      </c>
      <c r="AG33" s="57">
        <v>0.22109999999999999</v>
      </c>
      <c r="AH33" s="57">
        <v>0.35110000000000002</v>
      </c>
      <c r="AI33" s="57">
        <v>0.1065</v>
      </c>
      <c r="AJ33" s="57">
        <v>8.4500000000000006E-2</v>
      </c>
      <c r="AK33" s="57">
        <v>4.36E-2</v>
      </c>
      <c r="AL33" s="57">
        <v>0.11600000000000001</v>
      </c>
      <c r="AM33" s="57">
        <v>2.8799999999999999E-2</v>
      </c>
      <c r="AN33" s="57">
        <v>0</v>
      </c>
      <c r="AO33" s="57">
        <v>0.71689999999999998</v>
      </c>
      <c r="AP33" s="153">
        <v>1.7350000000000001</v>
      </c>
      <c r="AQ33" s="153">
        <v>8.8300000000000003E-2</v>
      </c>
      <c r="AR33" s="57">
        <v>0.29380000000000001</v>
      </c>
      <c r="AS33" s="57">
        <v>3.2500000000000001E-2</v>
      </c>
      <c r="AT33" s="153">
        <v>5.3E-3</v>
      </c>
      <c r="AU33" s="153">
        <v>0.1207</v>
      </c>
      <c r="AV33" s="153">
        <v>0</v>
      </c>
      <c r="AW33" s="154">
        <v>8.6314999999999991</v>
      </c>
      <c r="AX33" s="58">
        <v>0.43159999999999998</v>
      </c>
      <c r="AY33" s="155">
        <f t="shared" si="2"/>
        <v>0.42720000000000002</v>
      </c>
      <c r="AZ33" s="155">
        <f t="shared" si="3"/>
        <v>4.3999999999999595E-3</v>
      </c>
      <c r="BA33" s="14">
        <v>9.0630999999999986</v>
      </c>
      <c r="BB33" s="59">
        <f>BA33-'[1]Тариф 26 свод без  ПДВ'!AU33</f>
        <v>-3.0000000000107718E-4</v>
      </c>
      <c r="BC33" s="57">
        <v>1.8131999999999999</v>
      </c>
      <c r="BD33" s="57">
        <v>2.5600000000000001E-2</v>
      </c>
      <c r="BE33" s="57">
        <v>0.49199999999999999</v>
      </c>
      <c r="BF33" s="156">
        <v>10.962299999999999</v>
      </c>
      <c r="BG33" s="59">
        <v>0.54810000000000003</v>
      </c>
      <c r="BH33" s="59"/>
      <c r="BI33" s="59"/>
      <c r="BJ33" s="14">
        <v>11.510399999999999</v>
      </c>
      <c r="BK33" s="60"/>
      <c r="BL33" s="60">
        <v>5.7651000000000003</v>
      </c>
      <c r="BM33" s="60">
        <v>0.2883</v>
      </c>
      <c r="BN33" s="14">
        <v>6.0533999999999999</v>
      </c>
      <c r="BO33" s="14"/>
      <c r="BP33" s="157"/>
      <c r="BQ33" s="158">
        <f>BJ33-'[1]Тариф 26 свод без  ПДВ'!BG33</f>
        <v>-3.7000000000002586E-3</v>
      </c>
      <c r="BR33" s="77">
        <f>'[1]Тариф 26 свод без  ПДВ'!BG33</f>
        <v>11.514099999999999</v>
      </c>
      <c r="BS33" s="159">
        <f t="shared" si="4"/>
        <v>-3.7000000000002586E-3</v>
      </c>
      <c r="BU33" s="77">
        <f>'[1]Тариф 26 свод без  ПДВ'!AU33</f>
        <v>9.0633999999999997</v>
      </c>
      <c r="BV33" s="159">
        <f t="shared" si="5"/>
        <v>-3.0000000000107718E-4</v>
      </c>
      <c r="BX33" s="95">
        <v>4.2467000000000006</v>
      </c>
      <c r="BY33" s="95">
        <v>5.7813999999999997</v>
      </c>
      <c r="BZ33" s="95"/>
      <c r="CA33" s="182">
        <f t="shared" si="6"/>
        <v>2.134151223302799</v>
      </c>
      <c r="CB33" s="182">
        <f t="shared" si="7"/>
        <v>1.9909364513785588</v>
      </c>
      <c r="CD33" s="160">
        <f>L33-CE33</f>
        <v>818.80000000000018</v>
      </c>
      <c r="CE33" s="160">
        <f>T33</f>
        <v>7027.5</v>
      </c>
      <c r="CF33" s="77">
        <f>CD33*BA33</f>
        <v>7420.8662800000002</v>
      </c>
      <c r="CG33" s="77">
        <f>BJ33*CE33</f>
        <v>80889.335999999996</v>
      </c>
      <c r="CI33" s="160">
        <f>'[1]0 СВОД'!AYY48</f>
        <v>87919.911322248823</v>
      </c>
      <c r="CJ33" s="77">
        <f t="shared" si="12"/>
        <v>1055038.9358669859</v>
      </c>
      <c r="CM33" s="161">
        <v>27</v>
      </c>
      <c r="CN33" s="183" t="s">
        <v>508</v>
      </c>
      <c r="CO33" s="163">
        <v>9</v>
      </c>
      <c r="CP33" s="163">
        <v>4</v>
      </c>
      <c r="CQ33" s="164" t="s">
        <v>186</v>
      </c>
      <c r="CR33" s="165" t="s">
        <v>173</v>
      </c>
      <c r="CS33" s="166">
        <v>689.32999999999993</v>
      </c>
      <c r="CT33" s="166">
        <v>7025.87</v>
      </c>
      <c r="CU33" s="167">
        <v>129.5</v>
      </c>
      <c r="CV33" s="168">
        <v>7844.7</v>
      </c>
      <c r="CW33" s="166">
        <v>7715.2</v>
      </c>
      <c r="CX33" s="167">
        <v>129.5</v>
      </c>
      <c r="CY33" s="166">
        <v>0</v>
      </c>
      <c r="CZ33" s="166"/>
      <c r="DA33" s="166">
        <v>7844.7</v>
      </c>
      <c r="DB33" s="166"/>
      <c r="DC33" s="166">
        <v>7025.87</v>
      </c>
      <c r="DD33" s="59">
        <v>0.16769999999999999</v>
      </c>
      <c r="DE33" s="59">
        <v>0.15909999999999999</v>
      </c>
      <c r="DF33" s="59">
        <v>0.20019999999999999</v>
      </c>
      <c r="DG33" s="59">
        <v>3.8899999999999997E-2</v>
      </c>
      <c r="DH33" s="59">
        <v>8.3999999999999995E-3</v>
      </c>
      <c r="DI33" s="59">
        <v>0.12790000000000001</v>
      </c>
      <c r="DJ33" s="59">
        <v>4.8099999999999997E-2</v>
      </c>
      <c r="DK33" s="59">
        <v>0.3458</v>
      </c>
      <c r="DL33" s="169">
        <v>0</v>
      </c>
      <c r="DM33" s="59">
        <v>8.5900000000000004E-2</v>
      </c>
      <c r="DN33" s="169">
        <v>0</v>
      </c>
      <c r="DO33" s="184">
        <v>1.8486</v>
      </c>
      <c r="DP33" s="171">
        <f t="shared" si="13"/>
        <v>2.9615999999999998</v>
      </c>
      <c r="DQ33" s="59">
        <v>0.10639999999999999</v>
      </c>
      <c r="DR33" s="59">
        <v>0.21049999999999999</v>
      </c>
      <c r="DS33" s="59">
        <v>2.7799999999999998E-2</v>
      </c>
      <c r="DT33" s="59">
        <v>4.0099999999999997E-2</v>
      </c>
      <c r="DU33" s="59">
        <v>1.84E-2</v>
      </c>
      <c r="DV33" s="59">
        <v>4.0399999999999998E-2</v>
      </c>
      <c r="DW33" s="59">
        <v>6.8999999999999999E-3</v>
      </c>
      <c r="DX33" s="169">
        <v>0</v>
      </c>
      <c r="DY33" s="59">
        <v>0.31409999999999999</v>
      </c>
      <c r="DZ33" s="171">
        <f t="shared" si="14"/>
        <v>2.2823941419929961</v>
      </c>
      <c r="EA33" s="59">
        <v>1.0166999999999999</v>
      </c>
      <c r="EB33" s="171">
        <f t="shared" si="15"/>
        <v>1.7933510376708963</v>
      </c>
      <c r="EC33" s="59">
        <v>0.10249999999999999</v>
      </c>
      <c r="ED33" s="171">
        <f t="shared" si="16"/>
        <v>2.8663414634146345</v>
      </c>
      <c r="EE33" s="59">
        <v>2.4799999999999999E-2</v>
      </c>
      <c r="EF33" s="59">
        <v>3.5000000000000001E-3</v>
      </c>
      <c r="EG33" s="59">
        <v>7.4300000000000005E-2</v>
      </c>
      <c r="EH33" s="59">
        <v>0</v>
      </c>
      <c r="EI33" s="155">
        <v>0.12540000000000001</v>
      </c>
      <c r="EJ33" s="172">
        <v>5.1423999999999994</v>
      </c>
      <c r="EK33" s="173"/>
      <c r="EL33" s="59">
        <v>1.6863999999999999</v>
      </c>
      <c r="EM33" s="59">
        <v>0.2334</v>
      </c>
      <c r="EN33" s="59">
        <v>0.1734</v>
      </c>
      <c r="EO33" s="172">
        <v>7.110199999999999</v>
      </c>
      <c r="ES33" s="57">
        <f t="shared" si="29"/>
        <v>5.1423999999999994</v>
      </c>
      <c r="ET33" s="57">
        <f t="shared" si="30"/>
        <v>7.110199999999999</v>
      </c>
      <c r="EU33" s="31"/>
      <c r="EV33" s="61">
        <f t="shared" si="17"/>
        <v>1.7624261045426259</v>
      </c>
      <c r="EW33" s="61">
        <f>BJ33/ET33</f>
        <v>1.6188574161064386</v>
      </c>
      <c r="EX33" s="185">
        <v>6.6069000000000004</v>
      </c>
      <c r="EY33" s="174">
        <v>9.3498000000000001</v>
      </c>
      <c r="EZ33" s="158">
        <f t="shared" si="19"/>
        <v>9.0630999999999986</v>
      </c>
      <c r="FA33" s="158">
        <f t="shared" si="20"/>
        <v>11.510399999999999</v>
      </c>
      <c r="FB33" s="158">
        <f>BA33-EX33</f>
        <v>2.4561999999999982</v>
      </c>
      <c r="FC33" s="158">
        <f>BJ33-EY33</f>
        <v>2.1605999999999987</v>
      </c>
      <c r="FD33" s="175">
        <f>FB33/EX33</f>
        <v>0.37176285398598402</v>
      </c>
      <c r="FE33" s="175">
        <f>FC33/FA33</f>
        <v>0.18770850708924094</v>
      </c>
      <c r="FF33" s="158"/>
      <c r="FG33" s="174"/>
      <c r="FH33" s="174">
        <f t="shared" si="33"/>
        <v>71111.801529999997</v>
      </c>
      <c r="FI33" s="174"/>
      <c r="FJ33" s="176">
        <v>1.2847999999999999</v>
      </c>
      <c r="FK33" s="176">
        <f t="shared" si="34"/>
        <v>1.371751326698806</v>
      </c>
      <c r="FL33" s="87">
        <v>1.3149999999999999</v>
      </c>
      <c r="FM33" s="177">
        <f t="shared" si="35"/>
        <v>1.2310702784079381</v>
      </c>
      <c r="FO33" s="88">
        <f t="shared" si="21"/>
        <v>71111.801529999997</v>
      </c>
      <c r="FP33" s="79">
        <f t="shared" si="22"/>
        <v>80889.335999999996</v>
      </c>
      <c r="FS33" s="79">
        <f t="shared" si="23"/>
        <v>40348.813119999999</v>
      </c>
      <c r="FT33" s="79">
        <f t="shared" si="24"/>
        <v>49966.930499999995</v>
      </c>
      <c r="FU33" s="79">
        <f t="shared" si="36"/>
        <v>1.7624261045426259</v>
      </c>
      <c r="FV33" s="79">
        <f t="shared" si="36"/>
        <v>1.6188574161064386</v>
      </c>
      <c r="FY33" s="79">
        <f t="shared" si="37"/>
        <v>7420.8662800000002</v>
      </c>
      <c r="FZ33" s="79">
        <f t="shared" si="38"/>
        <v>80889.335999999996</v>
      </c>
      <c r="GB33" s="178">
        <f t="shared" si="39"/>
        <v>818.80000000000018</v>
      </c>
      <c r="GC33" s="178">
        <f t="shared" si="40"/>
        <v>7027.5</v>
      </c>
      <c r="GG33" s="14">
        <v>7.1374000000000004</v>
      </c>
      <c r="GH33" s="175">
        <f t="shared" si="41"/>
        <v>1.2698041303555914</v>
      </c>
      <c r="GI33" s="14">
        <v>9.9029000000000007</v>
      </c>
      <c r="GJ33" s="175">
        <f t="shared" si="42"/>
        <v>1.1623261872784738</v>
      </c>
      <c r="GK33" s="175">
        <f>GH33-GJ33</f>
        <v>0.10747794307711755</v>
      </c>
      <c r="GN33" s="14">
        <v>9.1352000000000029</v>
      </c>
      <c r="GO33" s="175">
        <f t="shared" si="44"/>
        <v>1.2799058480679242</v>
      </c>
      <c r="GP33" s="179">
        <f t="shared" si="45"/>
        <v>0.99210745249146115</v>
      </c>
      <c r="GQ33" s="14">
        <v>11.351200000000002</v>
      </c>
      <c r="GR33" s="175">
        <f t="shared" si="46"/>
        <v>1.1462500883579558</v>
      </c>
      <c r="GS33" s="175">
        <f t="shared" si="47"/>
        <v>1.0140249489040802</v>
      </c>
      <c r="GV33" s="32">
        <f t="shared" si="25"/>
        <v>7420.8662800000002</v>
      </c>
      <c r="GW33" s="32">
        <f t="shared" si="26"/>
        <v>80889.335999999996</v>
      </c>
      <c r="GX33" s="180">
        <f t="shared" si="48"/>
        <v>88310.202279999998</v>
      </c>
      <c r="GZ33" s="32">
        <f t="shared" si="49"/>
        <v>9.0630999999999986</v>
      </c>
      <c r="HA33" s="32">
        <f t="shared" si="50"/>
        <v>11.510399999999999</v>
      </c>
      <c r="HB33" s="32">
        <f t="shared" si="51"/>
        <v>11.255012207027516</v>
      </c>
    </row>
    <row r="34" spans="1:210" ht="19.2" customHeight="1" x14ac:dyDescent="0.3">
      <c r="A34" s="50">
        <v>26</v>
      </c>
      <c r="B34" s="51" t="s">
        <v>509</v>
      </c>
      <c r="C34" s="51"/>
      <c r="D34" s="52">
        <v>5</v>
      </c>
      <c r="E34" s="52">
        <v>4</v>
      </c>
      <c r="F34" s="63">
        <v>60</v>
      </c>
      <c r="G34" s="54" t="s">
        <v>53</v>
      </c>
      <c r="H34" s="181" t="s">
        <v>49</v>
      </c>
      <c r="I34" s="55">
        <f t="shared" si="27"/>
        <v>2769.6</v>
      </c>
      <c r="J34" s="55">
        <f t="shared" si="0"/>
        <v>0</v>
      </c>
      <c r="K34" s="55">
        <f t="shared" si="1"/>
        <v>0</v>
      </c>
      <c r="L34" s="56">
        <v>2769.6</v>
      </c>
      <c r="M34" s="56">
        <v>2769.6</v>
      </c>
      <c r="N34" s="56">
        <f t="shared" si="28"/>
        <v>2769.6</v>
      </c>
      <c r="O34" s="56">
        <v>0</v>
      </c>
      <c r="P34" s="56">
        <v>0</v>
      </c>
      <c r="Q34" s="55"/>
      <c r="R34" s="55">
        <v>2769.6</v>
      </c>
      <c r="S34" s="55"/>
      <c r="T34" s="55">
        <v>0</v>
      </c>
      <c r="U34" s="152">
        <v>2769.6</v>
      </c>
      <c r="V34" s="57">
        <v>0.16589999999999999</v>
      </c>
      <c r="W34" s="153">
        <v>9.1999999999999998E-2</v>
      </c>
      <c r="X34" s="57">
        <v>0.32329999999999998</v>
      </c>
      <c r="Y34" s="57">
        <v>7.4499999999999997E-2</v>
      </c>
      <c r="Z34" s="153">
        <v>2.8899999999999999E-2</v>
      </c>
      <c r="AA34" s="57">
        <v>0.49669999999999997</v>
      </c>
      <c r="AB34" s="153">
        <v>0</v>
      </c>
      <c r="AC34" s="57">
        <v>0.63149999999999995</v>
      </c>
      <c r="AD34" s="57">
        <v>0.17130000000000001</v>
      </c>
      <c r="AE34" s="57">
        <v>0</v>
      </c>
      <c r="AF34" s="57">
        <v>2.0827</v>
      </c>
      <c r="AG34" s="57">
        <v>0.21990000000000001</v>
      </c>
      <c r="AH34" s="57">
        <v>0.32619999999999999</v>
      </c>
      <c r="AI34" s="153">
        <v>8.8499999999999995E-2</v>
      </c>
      <c r="AJ34" s="153">
        <v>0.1061</v>
      </c>
      <c r="AK34" s="153">
        <v>5.6099999999999997E-2</v>
      </c>
      <c r="AL34" s="57">
        <v>0.17119999999999999</v>
      </c>
      <c r="AM34" s="153">
        <v>3.3500000000000002E-2</v>
      </c>
      <c r="AN34" s="57">
        <v>0</v>
      </c>
      <c r="AO34" s="153">
        <v>2.5465</v>
      </c>
      <c r="AP34" s="57">
        <v>1.133</v>
      </c>
      <c r="AQ34" s="57">
        <v>8.8200000000000001E-2</v>
      </c>
      <c r="AR34" s="153">
        <v>0.626</v>
      </c>
      <c r="AS34" s="57">
        <v>5.1299999999999998E-2</v>
      </c>
      <c r="AT34" s="57">
        <v>8.3000000000000001E-3</v>
      </c>
      <c r="AU34" s="153">
        <v>0.43730000000000002</v>
      </c>
      <c r="AV34" s="153">
        <v>0</v>
      </c>
      <c r="AW34" s="154">
        <v>9.9588999999999981</v>
      </c>
      <c r="AX34" s="58">
        <v>0.49790000000000001</v>
      </c>
      <c r="AY34" s="155">
        <f t="shared" si="2"/>
        <v>0.49349999999999999</v>
      </c>
      <c r="AZ34" s="155">
        <f t="shared" si="3"/>
        <v>4.400000000000015E-3</v>
      </c>
      <c r="BA34" s="14">
        <v>10.456799999999998</v>
      </c>
      <c r="BB34" s="59">
        <f>BA34-'[1]Тариф 26 свод без  ПДВ'!AU34</f>
        <v>5.7999999999971408E-3</v>
      </c>
      <c r="BC34" s="57">
        <v>0</v>
      </c>
      <c r="BD34" s="57">
        <v>0</v>
      </c>
      <c r="BE34" s="57">
        <v>0</v>
      </c>
      <c r="BF34" s="156">
        <v>9.9588999999999981</v>
      </c>
      <c r="BG34" s="59">
        <v>0.49790000000000001</v>
      </c>
      <c r="BH34" s="59"/>
      <c r="BI34" s="59"/>
      <c r="BJ34" s="14">
        <v>10.456799999999998</v>
      </c>
      <c r="BK34" s="60"/>
      <c r="BL34" s="60">
        <v>5.2160999999999982</v>
      </c>
      <c r="BM34" s="60">
        <v>0.26079999999999998</v>
      </c>
      <c r="BN34" s="14">
        <v>5.4768999999999979</v>
      </c>
      <c r="BO34" s="14"/>
      <c r="BP34" s="157"/>
      <c r="BQ34" s="158">
        <f>BJ34-'[1]Тариф 26 свод без  ПДВ'!BG34</f>
        <v>5.7999999999971408E-3</v>
      </c>
      <c r="BR34" s="77">
        <f>'[1]Тариф 26 свод без  ПДВ'!BG34</f>
        <v>10.451000000000001</v>
      </c>
      <c r="BS34" s="159">
        <f t="shared" si="4"/>
        <v>5.7999999999971408E-3</v>
      </c>
      <c r="BU34" s="77">
        <f>'[1]Тариф 26 свод без  ПДВ'!AU34</f>
        <v>10.451000000000001</v>
      </c>
      <c r="BV34" s="159">
        <f t="shared" si="5"/>
        <v>5.7999999999971408E-3</v>
      </c>
      <c r="BX34" s="95">
        <v>4.6036999999999999</v>
      </c>
      <c r="BY34" s="95">
        <v>4.6036999999999999</v>
      </c>
      <c r="BZ34" s="95"/>
      <c r="CA34" s="62">
        <f t="shared" si="6"/>
        <v>2.2713904033712011</v>
      </c>
      <c r="CB34" s="62">
        <f t="shared" si="7"/>
        <v>2.2713904033712011</v>
      </c>
      <c r="CI34" s="160">
        <f>'[1]0 СВОД'!AYY49</f>
        <v>28961.426666487314</v>
      </c>
      <c r="CJ34" s="77">
        <f t="shared" si="12"/>
        <v>347537.11999784777</v>
      </c>
      <c r="CM34" s="161">
        <v>29</v>
      </c>
      <c r="CN34" s="162" t="s">
        <v>510</v>
      </c>
      <c r="CO34" s="163">
        <v>5</v>
      </c>
      <c r="CP34" s="163">
        <v>4</v>
      </c>
      <c r="CQ34" s="164" t="s">
        <v>53</v>
      </c>
      <c r="CR34" s="165" t="s">
        <v>49</v>
      </c>
      <c r="CS34" s="166">
        <v>2766.3</v>
      </c>
      <c r="CT34" s="166">
        <v>0</v>
      </c>
      <c r="CU34" s="167">
        <v>0</v>
      </c>
      <c r="CV34" s="168">
        <v>2766.3</v>
      </c>
      <c r="CW34" s="166">
        <v>2766.3</v>
      </c>
      <c r="CX34" s="167">
        <v>0</v>
      </c>
      <c r="CY34" s="166">
        <v>0</v>
      </c>
      <c r="CZ34" s="166"/>
      <c r="DA34" s="166">
        <v>2766.3</v>
      </c>
      <c r="DB34" s="166"/>
      <c r="DC34" s="166">
        <v>0</v>
      </c>
      <c r="DD34" s="59">
        <v>0.16300000000000001</v>
      </c>
      <c r="DE34" s="59">
        <v>0.14960000000000001</v>
      </c>
      <c r="DF34" s="59">
        <v>0.21279999999999999</v>
      </c>
      <c r="DG34" s="59">
        <v>4.3900000000000002E-2</v>
      </c>
      <c r="DH34" s="59">
        <v>1.09E-2</v>
      </c>
      <c r="DI34" s="59">
        <v>0.21629999999999999</v>
      </c>
      <c r="DJ34" s="59">
        <v>4.8099999999999997E-2</v>
      </c>
      <c r="DK34" s="59">
        <v>0.3458</v>
      </c>
      <c r="DL34" s="169">
        <v>0</v>
      </c>
      <c r="DM34" s="59">
        <v>0.10440000000000001</v>
      </c>
      <c r="DN34" s="169">
        <v>0</v>
      </c>
      <c r="DO34" s="170">
        <v>1.1245000000000001</v>
      </c>
      <c r="DP34" s="171">
        <f t="shared" si="13"/>
        <v>2.0827</v>
      </c>
      <c r="DQ34" s="59">
        <v>0.106</v>
      </c>
      <c r="DR34" s="59">
        <v>0.19539999999999999</v>
      </c>
      <c r="DS34" s="59">
        <v>2.3E-2</v>
      </c>
      <c r="DT34" s="59">
        <v>0.05</v>
      </c>
      <c r="DU34" s="59">
        <v>2.3699999999999999E-2</v>
      </c>
      <c r="DV34" s="59">
        <v>5.9700000000000003E-2</v>
      </c>
      <c r="DW34" s="59">
        <v>9.1999999999999998E-3</v>
      </c>
      <c r="DX34" s="169">
        <v>0</v>
      </c>
      <c r="DY34" s="59">
        <v>1.4037999999999999</v>
      </c>
      <c r="DZ34" s="171">
        <f t="shared" si="14"/>
        <v>1.8140048439948711</v>
      </c>
      <c r="EA34" s="59">
        <v>0.68240000000000001</v>
      </c>
      <c r="EB34" s="171">
        <f t="shared" si="15"/>
        <v>1.7895662368112544</v>
      </c>
      <c r="EC34" s="59">
        <v>0.41670000000000001</v>
      </c>
      <c r="ED34" s="171">
        <f t="shared" si="16"/>
        <v>1.5022798176145908</v>
      </c>
      <c r="EE34" s="59">
        <v>3.9300000000000002E-2</v>
      </c>
      <c r="EF34" s="59">
        <v>5.4999999999999997E-3</v>
      </c>
      <c r="EG34" s="59">
        <v>0.25679999999999997</v>
      </c>
      <c r="EH34" s="59">
        <v>0</v>
      </c>
      <c r="EI34" s="208">
        <v>0.14230000000000001</v>
      </c>
      <c r="EJ34" s="172">
        <v>5.8330999999999982</v>
      </c>
      <c r="EK34" s="173"/>
      <c r="EL34" s="169">
        <v>0</v>
      </c>
      <c r="EM34" s="169">
        <v>0</v>
      </c>
      <c r="EN34" s="59"/>
      <c r="EO34" s="172"/>
      <c r="ES34" s="57">
        <f t="shared" si="29"/>
        <v>5.8330999999999982</v>
      </c>
      <c r="ET34" s="57">
        <f t="shared" si="30"/>
        <v>0</v>
      </c>
      <c r="EU34" s="31"/>
      <c r="EV34" s="61">
        <f t="shared" si="17"/>
        <v>1.7926659923539801</v>
      </c>
      <c r="EW34" s="62"/>
      <c r="EX34" s="158">
        <f>ES34*1.305-BA34</f>
        <v>-2.8446045</v>
      </c>
      <c r="EY34" s="77">
        <f>ES34*1.344</f>
        <v>7.8396863999999979</v>
      </c>
      <c r="EZ34" s="158">
        <f t="shared" si="19"/>
        <v>10.456799999999998</v>
      </c>
      <c r="FA34" s="158">
        <f t="shared" si="20"/>
        <v>10.456799999999998</v>
      </c>
      <c r="FH34" s="174">
        <f t="shared" si="33"/>
        <v>28961.153279999991</v>
      </c>
      <c r="FJ34" s="87">
        <v>1.3492999999999999</v>
      </c>
      <c r="FK34" s="176">
        <f t="shared" si="34"/>
        <v>1.3285896334054548</v>
      </c>
      <c r="FM34" s="87" t="e">
        <f t="shared" si="35"/>
        <v>#DIV/0!</v>
      </c>
      <c r="FO34" s="88">
        <f t="shared" si="21"/>
        <v>28961.153279999991</v>
      </c>
      <c r="FP34" s="79">
        <f t="shared" si="22"/>
        <v>0</v>
      </c>
      <c r="FS34" s="79">
        <f t="shared" si="23"/>
        <v>16155.353759999995</v>
      </c>
      <c r="FT34" s="79">
        <f t="shared" si="24"/>
        <v>0</v>
      </c>
      <c r="FU34" s="79">
        <f t="shared" si="36"/>
        <v>1.7926659923539801</v>
      </c>
      <c r="FV34" s="79" t="e">
        <f t="shared" si="36"/>
        <v>#DIV/0!</v>
      </c>
      <c r="FY34" s="79">
        <f t="shared" si="37"/>
        <v>28961.153279999991</v>
      </c>
      <c r="FZ34" s="79">
        <f t="shared" si="38"/>
        <v>0</v>
      </c>
      <c r="GB34" s="178">
        <f t="shared" si="39"/>
        <v>2769.6</v>
      </c>
      <c r="GC34" s="178">
        <f t="shared" si="40"/>
        <v>0</v>
      </c>
      <c r="GG34" s="14">
        <v>8.2340999999999998</v>
      </c>
      <c r="GH34" s="175">
        <f t="shared" si="41"/>
        <v>1.2699384267861695</v>
      </c>
      <c r="GI34" s="14">
        <v>8.2340999999999998</v>
      </c>
      <c r="GJ34" s="175">
        <f t="shared" si="42"/>
        <v>1.2699384267861695</v>
      </c>
      <c r="GK34" s="175">
        <f>GH34-GJ34</f>
        <v>0</v>
      </c>
      <c r="GN34" s="14">
        <v>10.611799999999999</v>
      </c>
      <c r="GO34" s="175">
        <f t="shared" si="44"/>
        <v>1.2887625848605189</v>
      </c>
      <c r="GP34" s="179">
        <f t="shared" si="45"/>
        <v>0.98539361842477236</v>
      </c>
      <c r="GQ34" s="14">
        <v>10.611799999999999</v>
      </c>
      <c r="GR34" s="175">
        <f t="shared" si="46"/>
        <v>1.2887625848605189</v>
      </c>
      <c r="GS34" s="175">
        <f t="shared" si="47"/>
        <v>0.98539361842477236</v>
      </c>
      <c r="GV34" s="32">
        <f t="shared" si="25"/>
        <v>28961.153279999991</v>
      </c>
      <c r="GW34" s="32">
        <f t="shared" si="26"/>
        <v>0</v>
      </c>
      <c r="GX34" s="180">
        <f t="shared" si="48"/>
        <v>28961.153279999991</v>
      </c>
      <c r="GZ34" s="32">
        <f t="shared" si="49"/>
        <v>10.456799999999998</v>
      </c>
      <c r="HA34" s="32" t="e">
        <f t="shared" si="50"/>
        <v>#DIV/0!</v>
      </c>
      <c r="HB34" s="32">
        <f t="shared" si="51"/>
        <v>10.456799999999998</v>
      </c>
    </row>
    <row r="35" spans="1:210" ht="19.2" customHeight="1" x14ac:dyDescent="0.3">
      <c r="A35" s="50">
        <v>27</v>
      </c>
      <c r="B35" s="51" t="s">
        <v>511</v>
      </c>
      <c r="C35" s="51"/>
      <c r="D35" s="52">
        <v>9</v>
      </c>
      <c r="E35" s="52">
        <v>5</v>
      </c>
      <c r="F35" s="63">
        <v>180</v>
      </c>
      <c r="G35" s="54" t="s">
        <v>187</v>
      </c>
      <c r="H35" s="181" t="s">
        <v>173</v>
      </c>
      <c r="I35" s="55">
        <f t="shared" si="27"/>
        <v>1014.3000000000011</v>
      </c>
      <c r="J35" s="55">
        <f t="shared" si="0"/>
        <v>8456.2999999999993</v>
      </c>
      <c r="K35" s="55">
        <f t="shared" si="1"/>
        <v>0</v>
      </c>
      <c r="L35" s="56">
        <v>9470.6</v>
      </c>
      <c r="M35" s="56">
        <v>9470.6</v>
      </c>
      <c r="N35" s="56">
        <f t="shared" si="28"/>
        <v>1014.3000000000011</v>
      </c>
      <c r="O35" s="56">
        <v>0</v>
      </c>
      <c r="P35" s="56">
        <v>0</v>
      </c>
      <c r="Q35" s="55"/>
      <c r="R35" s="55">
        <v>9470.6</v>
      </c>
      <c r="S35" s="55"/>
      <c r="T35" s="55">
        <v>8456.2999999999993</v>
      </c>
      <c r="U35" s="152">
        <v>1014.3000000000011</v>
      </c>
      <c r="V35" s="57">
        <v>0.17680000000000001</v>
      </c>
      <c r="W35" s="57">
        <v>0.1048</v>
      </c>
      <c r="X35" s="153">
        <v>0.32490000000000002</v>
      </c>
      <c r="Y35" s="153">
        <v>6.5500000000000003E-2</v>
      </c>
      <c r="Z35" s="57">
        <v>2.3199999999999998E-2</v>
      </c>
      <c r="AA35" s="57">
        <v>0.3468</v>
      </c>
      <c r="AB35" s="57">
        <v>0</v>
      </c>
      <c r="AC35" s="153">
        <v>0.63149999999999995</v>
      </c>
      <c r="AD35" s="57">
        <v>0.14949999999999999</v>
      </c>
      <c r="AE35" s="57">
        <v>0</v>
      </c>
      <c r="AF35" s="57">
        <v>2.6452</v>
      </c>
      <c r="AG35" s="57">
        <v>0.23019999999999999</v>
      </c>
      <c r="AH35" s="57">
        <v>0.37069999999999997</v>
      </c>
      <c r="AI35" s="57">
        <v>9.1600000000000001E-2</v>
      </c>
      <c r="AJ35" s="57">
        <v>7.46E-2</v>
      </c>
      <c r="AK35" s="57">
        <v>4.5100000000000001E-2</v>
      </c>
      <c r="AL35" s="57">
        <v>0.14399999999999999</v>
      </c>
      <c r="AM35" s="57">
        <v>2.9700000000000001E-2</v>
      </c>
      <c r="AN35" s="57">
        <v>0</v>
      </c>
      <c r="AO35" s="57">
        <v>1.0528999999999999</v>
      </c>
      <c r="AP35" s="153">
        <v>1.5384</v>
      </c>
      <c r="AQ35" s="153">
        <v>7.0699999999999999E-2</v>
      </c>
      <c r="AR35" s="57">
        <v>0.37680000000000002</v>
      </c>
      <c r="AS35" s="57">
        <v>2.76E-2</v>
      </c>
      <c r="AT35" s="153">
        <v>4.4999999999999997E-3</v>
      </c>
      <c r="AU35" s="153">
        <v>0.20710000000000001</v>
      </c>
      <c r="AV35" s="153">
        <v>0</v>
      </c>
      <c r="AW35" s="154">
        <v>8.7320999999999991</v>
      </c>
      <c r="AX35" s="58">
        <v>0.43659999999999999</v>
      </c>
      <c r="AY35" s="155">
        <f t="shared" si="2"/>
        <v>0.43309999999999998</v>
      </c>
      <c r="AZ35" s="155">
        <f t="shared" si="3"/>
        <v>3.5000000000000031E-3</v>
      </c>
      <c r="BA35" s="14">
        <v>9.1686999999999994</v>
      </c>
      <c r="BB35" s="59">
        <f>BA35-'[1]Тариф 26 свод без  ПДВ'!AU35</f>
        <v>4.2999999999988603E-3</v>
      </c>
      <c r="BC35" s="57">
        <v>1.9120999999999999</v>
      </c>
      <c r="BD35" s="57">
        <v>2.1299999999999999E-2</v>
      </c>
      <c r="BE35" s="57">
        <v>0.49580000000000002</v>
      </c>
      <c r="BF35" s="156">
        <v>11.161300000000001</v>
      </c>
      <c r="BG35" s="59">
        <v>0.55810000000000004</v>
      </c>
      <c r="BH35" s="59"/>
      <c r="BI35" s="59"/>
      <c r="BJ35" s="14">
        <v>11.7194</v>
      </c>
      <c r="BK35" s="60"/>
      <c r="BL35" s="60">
        <v>5.5568999999999988</v>
      </c>
      <c r="BM35" s="60">
        <v>0.27779999999999999</v>
      </c>
      <c r="BN35" s="14">
        <v>5.8346999999999989</v>
      </c>
      <c r="BO35" s="14"/>
      <c r="BP35" s="157"/>
      <c r="BQ35" s="158">
        <f>BJ35-'[1]Тариф 26 свод без  ПДВ'!BG35</f>
        <v>-6.0000000000002274E-3</v>
      </c>
      <c r="BR35" s="77">
        <f>'[1]Тариф 26 свод без  ПДВ'!BG35</f>
        <v>11.7254</v>
      </c>
      <c r="BS35" s="159">
        <f t="shared" si="4"/>
        <v>-6.0000000000002274E-3</v>
      </c>
      <c r="BU35" s="77">
        <f>'[1]Тариф 26 свод без  ПДВ'!AU35</f>
        <v>9.1644000000000005</v>
      </c>
      <c r="BV35" s="159">
        <f t="shared" si="5"/>
        <v>4.2999999999988603E-3</v>
      </c>
      <c r="BX35" s="95">
        <v>4.1074000000000002</v>
      </c>
      <c r="BY35" s="95">
        <v>5.7754000000000003</v>
      </c>
      <c r="BZ35" s="95"/>
      <c r="CA35" s="182">
        <f t="shared" si="6"/>
        <v>2.2322393728392655</v>
      </c>
      <c r="CB35" s="182">
        <f t="shared" si="7"/>
        <v>2.0291927831838485</v>
      </c>
      <c r="CD35" s="160">
        <f>L35-CE35</f>
        <v>1014.3000000000011</v>
      </c>
      <c r="CE35" s="160">
        <f>T35</f>
        <v>8456.2999999999993</v>
      </c>
      <c r="CF35" s="77">
        <f>CD35*BA35</f>
        <v>9299.8124100000095</v>
      </c>
      <c r="CG35" s="77">
        <f>BJ35*CE35</f>
        <v>99102.76221999999</v>
      </c>
      <c r="CI35" s="160">
        <f>'[1]0 СВОД'!AYY50</f>
        <v>108403.38310461164</v>
      </c>
      <c r="CJ35" s="77">
        <f t="shared" si="12"/>
        <v>1300840.5972553396</v>
      </c>
      <c r="CM35" s="161">
        <v>30</v>
      </c>
      <c r="CN35" s="183" t="s">
        <v>512</v>
      </c>
      <c r="CO35" s="163">
        <v>9</v>
      </c>
      <c r="CP35" s="163">
        <v>5</v>
      </c>
      <c r="CQ35" s="164" t="s">
        <v>187</v>
      </c>
      <c r="CR35" s="165" t="s">
        <v>173</v>
      </c>
      <c r="CS35" s="166">
        <v>1013.6100000000006</v>
      </c>
      <c r="CT35" s="166">
        <v>8445.6099999999988</v>
      </c>
      <c r="CU35" s="167">
        <v>0</v>
      </c>
      <c r="CV35" s="168">
        <v>9459.2199999999993</v>
      </c>
      <c r="CW35" s="166">
        <v>9459.2199999999993</v>
      </c>
      <c r="CX35" s="167">
        <v>0</v>
      </c>
      <c r="CY35" s="166">
        <v>0</v>
      </c>
      <c r="CZ35" s="166"/>
      <c r="DA35" s="166">
        <v>9459.2199999999993</v>
      </c>
      <c r="DB35" s="166"/>
      <c r="DC35" s="166">
        <v>8445.6099999999988</v>
      </c>
      <c r="DD35" s="59">
        <v>0.17419999999999999</v>
      </c>
      <c r="DE35" s="59">
        <v>0.16900000000000001</v>
      </c>
      <c r="DF35" s="59">
        <v>0.214</v>
      </c>
      <c r="DG35" s="59">
        <v>3.8600000000000002E-2</v>
      </c>
      <c r="DH35" s="59">
        <v>8.6999999999999994E-3</v>
      </c>
      <c r="DI35" s="59">
        <v>0.15160000000000001</v>
      </c>
      <c r="DJ35" s="59">
        <v>4.8099999999999997E-2</v>
      </c>
      <c r="DK35" s="59">
        <v>0.3458</v>
      </c>
      <c r="DL35" s="59">
        <v>3.4299999999999997E-2</v>
      </c>
      <c r="DM35" s="59">
        <v>9.11E-2</v>
      </c>
      <c r="DN35" s="169">
        <v>0</v>
      </c>
      <c r="DO35" s="184">
        <v>1.6658999999999999</v>
      </c>
      <c r="DP35" s="171">
        <f t="shared" si="13"/>
        <v>2.6452</v>
      </c>
      <c r="DQ35" s="59">
        <v>0.1109</v>
      </c>
      <c r="DR35" s="59">
        <v>0.2225</v>
      </c>
      <c r="DS35" s="59">
        <v>2.41E-2</v>
      </c>
      <c r="DT35" s="59">
        <v>3.5400000000000001E-2</v>
      </c>
      <c r="DU35" s="59">
        <v>1.9099999999999999E-2</v>
      </c>
      <c r="DV35" s="59">
        <v>5.0099999999999999E-2</v>
      </c>
      <c r="DW35" s="59">
        <v>7.4000000000000003E-3</v>
      </c>
      <c r="DX35" s="169">
        <v>0</v>
      </c>
      <c r="DY35" s="59">
        <v>0.53620000000000001</v>
      </c>
      <c r="DZ35" s="171">
        <f t="shared" si="14"/>
        <v>1.9636329727713537</v>
      </c>
      <c r="EA35" s="59">
        <v>0.90390000000000004</v>
      </c>
      <c r="EB35" s="171">
        <f t="shared" si="15"/>
        <v>1.7801747980971345</v>
      </c>
      <c r="EC35" s="59">
        <v>0.20710000000000001</v>
      </c>
      <c r="ED35" s="171">
        <f t="shared" si="16"/>
        <v>1.8194109126026075</v>
      </c>
      <c r="EE35" s="59">
        <v>2.1100000000000001E-2</v>
      </c>
      <c r="EF35" s="59">
        <v>2.8999999999999998E-3</v>
      </c>
      <c r="EG35" s="59">
        <v>0.1555</v>
      </c>
      <c r="EH35" s="59">
        <v>0</v>
      </c>
      <c r="EI35" s="155">
        <v>0.13089999999999999</v>
      </c>
      <c r="EJ35" s="172">
        <v>5.3683999999999994</v>
      </c>
      <c r="EK35" s="173"/>
      <c r="EL35" s="59">
        <v>1.5294000000000001</v>
      </c>
      <c r="EM35" s="59">
        <v>0.24840000000000001</v>
      </c>
      <c r="EN35" s="59">
        <v>0.1754</v>
      </c>
      <c r="EO35" s="172">
        <v>7.1906999999999996</v>
      </c>
      <c r="ES35" s="57">
        <f t="shared" si="29"/>
        <v>5.3683999999999994</v>
      </c>
      <c r="ET35" s="57">
        <f t="shared" si="30"/>
        <v>7.1906999999999996</v>
      </c>
      <c r="EU35" s="31"/>
      <c r="EV35" s="61">
        <f t="shared" si="17"/>
        <v>1.7079017956933165</v>
      </c>
      <c r="EW35" s="61">
        <f>BJ35/ET35</f>
        <v>1.6297996022640355</v>
      </c>
      <c r="EX35" s="185">
        <v>6.6616999999999997</v>
      </c>
      <c r="EY35" s="174">
        <v>9.3905999999999992</v>
      </c>
      <c r="EZ35" s="158">
        <f t="shared" si="19"/>
        <v>9.1686999999999994</v>
      </c>
      <c r="FA35" s="158">
        <f t="shared" si="20"/>
        <v>11.7194</v>
      </c>
      <c r="FB35" s="158">
        <f>BA35-EX35</f>
        <v>2.5069999999999997</v>
      </c>
      <c r="FC35" s="158">
        <f>BJ35-EY35</f>
        <v>2.3288000000000011</v>
      </c>
      <c r="FD35" s="175">
        <f>FB35/EX35</f>
        <v>0.37633036612276144</v>
      </c>
      <c r="FE35" s="175">
        <f>FC35/FA35</f>
        <v>0.19871324470536042</v>
      </c>
      <c r="FF35" s="158"/>
      <c r="FG35" s="174"/>
      <c r="FH35" s="174">
        <f t="shared" si="33"/>
        <v>86833.090219999998</v>
      </c>
      <c r="FI35" s="174"/>
      <c r="FJ35" s="176">
        <v>1.2408999999999999</v>
      </c>
      <c r="FK35" s="176">
        <f t="shared" si="34"/>
        <v>1.3763412004942515</v>
      </c>
      <c r="FL35" s="87">
        <v>1.306</v>
      </c>
      <c r="FM35" s="177">
        <f t="shared" si="35"/>
        <v>1.2479323141378527</v>
      </c>
      <c r="FO35" s="88">
        <f t="shared" si="21"/>
        <v>86833.090219999998</v>
      </c>
      <c r="FP35" s="79">
        <f t="shared" si="22"/>
        <v>99102.76221999999</v>
      </c>
      <c r="FS35" s="79">
        <f t="shared" si="23"/>
        <v>50841.969039999996</v>
      </c>
      <c r="FT35" s="79">
        <f t="shared" si="24"/>
        <v>60806.716409999994</v>
      </c>
      <c r="FU35" s="79">
        <f t="shared" si="36"/>
        <v>1.7079017956933165</v>
      </c>
      <c r="FV35" s="79">
        <f t="shared" si="36"/>
        <v>1.6297996022640355</v>
      </c>
      <c r="FY35" s="79">
        <f t="shared" si="37"/>
        <v>9299.8124100000095</v>
      </c>
      <c r="FZ35" s="79">
        <f t="shared" si="38"/>
        <v>99102.76221999999</v>
      </c>
      <c r="GB35" s="178">
        <f t="shared" si="39"/>
        <v>1014.3000000000011</v>
      </c>
      <c r="GC35" s="178">
        <f t="shared" si="40"/>
        <v>8456.2999999999993</v>
      </c>
      <c r="GG35" s="14">
        <v>7.2199000000000009</v>
      </c>
      <c r="GH35" s="175">
        <f t="shared" si="41"/>
        <v>1.2699206360198891</v>
      </c>
      <c r="GI35" s="14">
        <v>10.126500000000002</v>
      </c>
      <c r="GJ35" s="175">
        <f t="shared" si="42"/>
        <v>1.1573001530637435</v>
      </c>
      <c r="GK35" s="175">
        <f>GH35-GJ35</f>
        <v>0.11262048295614568</v>
      </c>
      <c r="GN35" s="14">
        <v>9.1343000000000032</v>
      </c>
      <c r="GO35" s="175">
        <f t="shared" si="44"/>
        <v>1.2651560270917883</v>
      </c>
      <c r="GP35" s="179">
        <f t="shared" si="45"/>
        <v>1.0037660247638021</v>
      </c>
      <c r="GQ35" s="14">
        <v>11.460500000000003</v>
      </c>
      <c r="GR35" s="175">
        <f t="shared" si="46"/>
        <v>1.1317335703352591</v>
      </c>
      <c r="GS35" s="175">
        <f t="shared" si="47"/>
        <v>1.0225906374067446</v>
      </c>
      <c r="GV35" s="32">
        <f t="shared" si="25"/>
        <v>9299.8124100000095</v>
      </c>
      <c r="GW35" s="32">
        <f t="shared" si="26"/>
        <v>99102.76221999999</v>
      </c>
      <c r="GX35" s="180">
        <f t="shared" si="48"/>
        <v>108402.57463</v>
      </c>
      <c r="GZ35" s="32">
        <f t="shared" si="49"/>
        <v>9.1686999999999994</v>
      </c>
      <c r="HA35" s="32">
        <f t="shared" si="50"/>
        <v>11.7194</v>
      </c>
      <c r="HB35" s="32">
        <f t="shared" si="51"/>
        <v>11.446220369353579</v>
      </c>
    </row>
    <row r="36" spans="1:210" ht="19.2" customHeight="1" x14ac:dyDescent="0.3">
      <c r="A36" s="50">
        <v>0.51</v>
      </c>
      <c r="B36" s="51" t="s">
        <v>513</v>
      </c>
      <c r="C36" s="51"/>
      <c r="D36" s="52">
        <v>5</v>
      </c>
      <c r="E36" s="52">
        <v>4</v>
      </c>
      <c r="F36" s="63">
        <v>60</v>
      </c>
      <c r="G36" s="54" t="s">
        <v>54</v>
      </c>
      <c r="H36" s="181" t="s">
        <v>49</v>
      </c>
      <c r="I36" s="55">
        <f t="shared" si="27"/>
        <v>2744.6</v>
      </c>
      <c r="J36" s="55">
        <f t="shared" si="0"/>
        <v>0</v>
      </c>
      <c r="K36" s="55">
        <f t="shared" si="1"/>
        <v>0</v>
      </c>
      <c r="L36" s="56">
        <v>2744.6</v>
      </c>
      <c r="M36" s="56">
        <v>2744.6</v>
      </c>
      <c r="N36" s="56">
        <f t="shared" si="28"/>
        <v>2744.6</v>
      </c>
      <c r="O36" s="56">
        <v>0</v>
      </c>
      <c r="P36" s="56">
        <v>0</v>
      </c>
      <c r="Q36" s="55"/>
      <c r="R36" s="55">
        <v>2744.6</v>
      </c>
      <c r="S36" s="55"/>
      <c r="T36" s="55">
        <v>0</v>
      </c>
      <c r="U36" s="152">
        <v>2744.6</v>
      </c>
      <c r="V36" s="57">
        <v>0.16739999999999999</v>
      </c>
      <c r="W36" s="153">
        <v>9.2799999999999994E-2</v>
      </c>
      <c r="X36" s="57">
        <v>0.32250000000000001</v>
      </c>
      <c r="Y36" s="57">
        <v>7.46E-2</v>
      </c>
      <c r="Z36" s="153">
        <v>2.9100000000000001E-2</v>
      </c>
      <c r="AA36" s="57">
        <v>0.50119999999999998</v>
      </c>
      <c r="AB36" s="153">
        <v>0</v>
      </c>
      <c r="AC36" s="57">
        <v>0.63149999999999995</v>
      </c>
      <c r="AD36" s="57">
        <v>0.1729</v>
      </c>
      <c r="AE36" s="57">
        <v>0</v>
      </c>
      <c r="AF36" s="57">
        <v>2.1635</v>
      </c>
      <c r="AG36" s="57">
        <v>0.22189999999999999</v>
      </c>
      <c r="AH36" s="57">
        <v>0.3291</v>
      </c>
      <c r="AI36" s="153">
        <v>8.7999999999999995E-2</v>
      </c>
      <c r="AJ36" s="153">
        <v>0.107</v>
      </c>
      <c r="AK36" s="153">
        <v>5.6599999999999998E-2</v>
      </c>
      <c r="AL36" s="57">
        <v>0.17280000000000001</v>
      </c>
      <c r="AM36" s="153">
        <v>3.3700000000000001E-2</v>
      </c>
      <c r="AN36" s="57">
        <v>0</v>
      </c>
      <c r="AO36" s="153">
        <v>2.7071000000000001</v>
      </c>
      <c r="AP36" s="57">
        <v>1.1495</v>
      </c>
      <c r="AQ36" s="57">
        <v>8.5400000000000004E-2</v>
      </c>
      <c r="AR36" s="153">
        <v>0.51419999999999999</v>
      </c>
      <c r="AS36" s="57">
        <v>5.16E-2</v>
      </c>
      <c r="AT36" s="57">
        <v>8.3999999999999995E-3</v>
      </c>
      <c r="AU36" s="153">
        <v>0.19420000000000001</v>
      </c>
      <c r="AV36" s="153">
        <v>0</v>
      </c>
      <c r="AW36" s="154">
        <v>9.8750000000000018</v>
      </c>
      <c r="AX36" s="58">
        <v>0.49380000000000002</v>
      </c>
      <c r="AY36" s="155">
        <f t="shared" si="2"/>
        <v>0.48949999999999999</v>
      </c>
      <c r="AZ36" s="155">
        <f t="shared" si="3"/>
        <v>4.300000000000026E-3</v>
      </c>
      <c r="BA36" s="14">
        <v>10.368800000000002</v>
      </c>
      <c r="BB36" s="59">
        <f>BA36-'[1]Тариф 26 свод без  ПДВ'!AU36</f>
        <v>1.800000000001134E-3</v>
      </c>
      <c r="BC36" s="57">
        <v>0</v>
      </c>
      <c r="BD36" s="57">
        <v>0</v>
      </c>
      <c r="BE36" s="57">
        <v>0</v>
      </c>
      <c r="BF36" s="156">
        <v>9.8750000000000018</v>
      </c>
      <c r="BG36" s="59">
        <v>0.49380000000000002</v>
      </c>
      <c r="BH36" s="59"/>
      <c r="BI36" s="59"/>
      <c r="BJ36" s="14">
        <v>10.368800000000002</v>
      </c>
      <c r="BK36" s="60"/>
      <c r="BL36" s="60">
        <v>5.3100000000000005</v>
      </c>
      <c r="BM36" s="60">
        <v>0.26550000000000001</v>
      </c>
      <c r="BN36" s="14">
        <v>5.5755000000000008</v>
      </c>
      <c r="BO36" s="14"/>
      <c r="BP36" s="157"/>
      <c r="BQ36" s="158">
        <f>BJ36-'[1]Тариф 26 свод без  ПДВ'!BG36</f>
        <v>1.800000000001134E-3</v>
      </c>
      <c r="BR36" s="77">
        <f>'[1]Тариф 26 свод без  ПДВ'!BG36</f>
        <v>10.367000000000001</v>
      </c>
      <c r="BS36" s="159">
        <f t="shared" si="4"/>
        <v>1.800000000001134E-3</v>
      </c>
      <c r="BU36" s="77">
        <f>'[1]Тариф 26 свод без  ПДВ'!AU36</f>
        <v>10.367000000000001</v>
      </c>
      <c r="BV36" s="159">
        <f t="shared" si="5"/>
        <v>1.800000000001134E-3</v>
      </c>
      <c r="BX36" s="95">
        <v>4.3351000000000006</v>
      </c>
      <c r="BY36" s="95">
        <v>4.3351000000000006</v>
      </c>
      <c r="BZ36" s="95"/>
      <c r="CA36" s="62">
        <f t="shared" si="6"/>
        <v>2.3918248713985837</v>
      </c>
      <c r="CB36" s="62">
        <f t="shared" si="7"/>
        <v>2.3918248713985837</v>
      </c>
      <c r="CI36" s="160">
        <f>'[1]0 СВОД'!AYY51</f>
        <v>28458.531663476224</v>
      </c>
      <c r="CJ36" s="77">
        <f t="shared" si="12"/>
        <v>341502.37996171467</v>
      </c>
      <c r="CM36" s="161">
        <v>31</v>
      </c>
      <c r="CN36" s="162" t="s">
        <v>514</v>
      </c>
      <c r="CO36" s="163">
        <v>5</v>
      </c>
      <c r="CP36" s="163">
        <v>4</v>
      </c>
      <c r="CQ36" s="164" t="s">
        <v>54</v>
      </c>
      <c r="CR36" s="165" t="s">
        <v>49</v>
      </c>
      <c r="CS36" s="166">
        <v>2744.6</v>
      </c>
      <c r="CT36" s="166">
        <v>0</v>
      </c>
      <c r="CU36" s="167">
        <v>0</v>
      </c>
      <c r="CV36" s="168">
        <v>2744.6</v>
      </c>
      <c r="CW36" s="166">
        <v>2744.6</v>
      </c>
      <c r="CX36" s="167">
        <v>0</v>
      </c>
      <c r="CY36" s="166">
        <v>0</v>
      </c>
      <c r="CZ36" s="166"/>
      <c r="DA36" s="166">
        <v>2744.6</v>
      </c>
      <c r="DB36" s="166"/>
      <c r="DC36" s="166">
        <v>0</v>
      </c>
      <c r="DD36" s="59">
        <v>0.1643</v>
      </c>
      <c r="DE36" s="59">
        <v>0.15079999999999999</v>
      </c>
      <c r="DF36" s="59">
        <v>0.21199999999999999</v>
      </c>
      <c r="DG36" s="59">
        <v>4.3900000000000002E-2</v>
      </c>
      <c r="DH36" s="59">
        <v>1.09E-2</v>
      </c>
      <c r="DI36" s="59">
        <v>0.218</v>
      </c>
      <c r="DJ36" s="59">
        <v>4.8099999999999997E-2</v>
      </c>
      <c r="DK36" s="59">
        <v>0.3458</v>
      </c>
      <c r="DL36" s="169">
        <v>0</v>
      </c>
      <c r="DM36" s="59">
        <v>0.1052</v>
      </c>
      <c r="DN36" s="169">
        <v>0</v>
      </c>
      <c r="DO36" s="170">
        <v>1.1953</v>
      </c>
      <c r="DP36" s="171">
        <f t="shared" si="13"/>
        <v>2.1635</v>
      </c>
      <c r="DQ36" s="59">
        <v>0.1069</v>
      </c>
      <c r="DR36" s="59">
        <v>0.19689999999999999</v>
      </c>
      <c r="DS36" s="59">
        <v>2.29E-2</v>
      </c>
      <c r="DT36" s="59">
        <v>5.04E-2</v>
      </c>
      <c r="DU36" s="59">
        <v>2.3900000000000001E-2</v>
      </c>
      <c r="DV36" s="59">
        <v>6.0199999999999997E-2</v>
      </c>
      <c r="DW36" s="59">
        <v>9.1999999999999998E-3</v>
      </c>
      <c r="DX36" s="169">
        <v>0</v>
      </c>
      <c r="DY36" s="59">
        <v>1.3977999999999999</v>
      </c>
      <c r="DZ36" s="171">
        <f t="shared" si="14"/>
        <v>1.9366862212047504</v>
      </c>
      <c r="EA36" s="59">
        <v>0.69099999999999995</v>
      </c>
      <c r="EB36" s="171">
        <f t="shared" si="15"/>
        <v>1.7871201157742402</v>
      </c>
      <c r="EC36" s="59">
        <v>0.2833</v>
      </c>
      <c r="ED36" s="171">
        <f t="shared" si="16"/>
        <v>1.8150370631839039</v>
      </c>
      <c r="EE36" s="59">
        <v>3.95E-2</v>
      </c>
      <c r="EF36" s="59">
        <v>5.4999999999999997E-3</v>
      </c>
      <c r="EG36" s="59">
        <v>0.26860000000000001</v>
      </c>
      <c r="EH36" s="59">
        <v>0</v>
      </c>
      <c r="EI36" s="208">
        <v>0.14130000000000001</v>
      </c>
      <c r="EJ36" s="172">
        <v>5.7916999999999987</v>
      </c>
      <c r="EK36" s="173"/>
      <c r="EL36" s="169">
        <v>0</v>
      </c>
      <c r="EM36" s="169">
        <v>0</v>
      </c>
      <c r="EN36" s="59"/>
      <c r="EO36" s="172"/>
      <c r="ES36" s="57">
        <f t="shared" si="29"/>
        <v>5.7916999999999987</v>
      </c>
      <c r="ET36" s="57">
        <f t="shared" si="30"/>
        <v>0</v>
      </c>
      <c r="EU36" s="31"/>
      <c r="EV36" s="61">
        <f t="shared" si="17"/>
        <v>1.7902860990728118</v>
      </c>
      <c r="EW36" s="62"/>
      <c r="EX36" s="158">
        <f>ES36*1.305-BA36</f>
        <v>-2.8106315000000039</v>
      </c>
      <c r="EY36" s="77">
        <f>ES36*1.344</f>
        <v>7.7840447999999984</v>
      </c>
      <c r="EZ36" s="158">
        <f t="shared" si="19"/>
        <v>10.368800000000002</v>
      </c>
      <c r="FA36" s="158">
        <f t="shared" si="20"/>
        <v>10.368800000000002</v>
      </c>
      <c r="FH36" s="174">
        <f t="shared" si="33"/>
        <v>28458.208480000005</v>
      </c>
      <c r="FJ36" s="87">
        <v>1.4104000000000001</v>
      </c>
      <c r="FK36" s="176">
        <f t="shared" si="34"/>
        <v>1.269346354986395</v>
      </c>
      <c r="FM36" s="87" t="e">
        <f t="shared" si="35"/>
        <v>#DIV/0!</v>
      </c>
      <c r="FO36" s="88">
        <f t="shared" si="21"/>
        <v>28458.208480000005</v>
      </c>
      <c r="FP36" s="79">
        <f t="shared" si="22"/>
        <v>0</v>
      </c>
      <c r="FS36" s="79">
        <f t="shared" si="23"/>
        <v>15895.899819999997</v>
      </c>
      <c r="FT36" s="79">
        <f t="shared" si="24"/>
        <v>0</v>
      </c>
      <c r="FU36" s="79">
        <f t="shared" si="36"/>
        <v>1.7902860990728118</v>
      </c>
      <c r="FV36" s="79" t="e">
        <f t="shared" si="36"/>
        <v>#DIV/0!</v>
      </c>
      <c r="FY36" s="79">
        <f t="shared" si="37"/>
        <v>28458.208480000005</v>
      </c>
      <c r="FZ36" s="79">
        <f t="shared" si="38"/>
        <v>0</v>
      </c>
      <c r="GB36" s="178">
        <f t="shared" si="39"/>
        <v>2744.6</v>
      </c>
      <c r="GC36" s="178">
        <f t="shared" si="40"/>
        <v>0</v>
      </c>
      <c r="GG36" s="14">
        <v>8.1648000000000014</v>
      </c>
      <c r="GH36" s="175">
        <f t="shared" si="41"/>
        <v>1.2699392514207328</v>
      </c>
      <c r="GI36" s="14">
        <v>8.1648000000000014</v>
      </c>
      <c r="GJ36" s="175">
        <f t="shared" si="42"/>
        <v>1.2699392514207328</v>
      </c>
      <c r="GK36" s="175">
        <f>GH36-GJ36</f>
        <v>0</v>
      </c>
      <c r="GN36" s="14">
        <v>10.547299999999998</v>
      </c>
      <c r="GO36" s="175">
        <f t="shared" si="44"/>
        <v>1.2918013913384279</v>
      </c>
      <c r="GP36" s="179">
        <f t="shared" si="45"/>
        <v>0.98307623752050322</v>
      </c>
      <c r="GQ36" s="14">
        <v>10.547299999999998</v>
      </c>
      <c r="GR36" s="175">
        <f t="shared" si="46"/>
        <v>1.2918013913384279</v>
      </c>
      <c r="GS36" s="175">
        <f t="shared" si="47"/>
        <v>0.98307623752050322</v>
      </c>
      <c r="GV36" s="32">
        <f t="shared" si="25"/>
        <v>28458.208480000005</v>
      </c>
      <c r="GW36" s="32">
        <f t="shared" si="26"/>
        <v>0</v>
      </c>
      <c r="GX36" s="180">
        <f t="shared" si="48"/>
        <v>28458.208480000005</v>
      </c>
      <c r="GZ36" s="32">
        <f t="shared" si="49"/>
        <v>10.368800000000002</v>
      </c>
      <c r="HA36" s="32" t="e">
        <f t="shared" si="50"/>
        <v>#DIV/0!</v>
      </c>
      <c r="HB36" s="32">
        <f t="shared" si="51"/>
        <v>10.368800000000002</v>
      </c>
    </row>
    <row r="37" spans="1:210" ht="19.2" customHeight="1" x14ac:dyDescent="0.3">
      <c r="A37" s="50">
        <v>29</v>
      </c>
      <c r="B37" s="51" t="s">
        <v>515</v>
      </c>
      <c r="C37" s="51"/>
      <c r="D37" s="52">
        <v>9</v>
      </c>
      <c r="E37" s="52">
        <v>4</v>
      </c>
      <c r="F37" s="63">
        <v>136</v>
      </c>
      <c r="G37" s="54" t="s">
        <v>188</v>
      </c>
      <c r="H37" s="181" t="s">
        <v>173</v>
      </c>
      <c r="I37" s="55">
        <f t="shared" si="27"/>
        <v>283.60000000000002</v>
      </c>
      <c r="J37" s="55">
        <f t="shared" si="0"/>
        <v>7037.2</v>
      </c>
      <c r="K37" s="55">
        <f t="shared" si="1"/>
        <v>447.4</v>
      </c>
      <c r="L37" s="56">
        <v>7768.2</v>
      </c>
      <c r="M37" s="56">
        <v>7320.8</v>
      </c>
      <c r="N37" s="56">
        <f t="shared" si="28"/>
        <v>283.60000000000036</v>
      </c>
      <c r="O37" s="56">
        <v>447.4</v>
      </c>
      <c r="P37" s="56">
        <v>0</v>
      </c>
      <c r="Q37" s="55"/>
      <c r="R37" s="55">
        <v>7768.2</v>
      </c>
      <c r="S37" s="55"/>
      <c r="T37" s="55">
        <v>7037.2</v>
      </c>
      <c r="U37" s="152">
        <v>731</v>
      </c>
      <c r="V37" s="57">
        <v>0.17180000000000001</v>
      </c>
      <c r="W37" s="57">
        <v>9.8900000000000002E-2</v>
      </c>
      <c r="X37" s="153">
        <v>0.30120000000000002</v>
      </c>
      <c r="Y37" s="153">
        <v>6.3399999999999998E-2</v>
      </c>
      <c r="Z37" s="57">
        <v>2.2599999999999999E-2</v>
      </c>
      <c r="AA37" s="57">
        <v>0.28420000000000001</v>
      </c>
      <c r="AB37" s="57">
        <v>0</v>
      </c>
      <c r="AC37" s="153">
        <v>0.63149999999999995</v>
      </c>
      <c r="AD37" s="57">
        <v>0.14249999999999999</v>
      </c>
      <c r="AE37" s="57">
        <v>0</v>
      </c>
      <c r="AF37" s="57">
        <v>2.9409000000000001</v>
      </c>
      <c r="AG37" s="57">
        <v>0.2223</v>
      </c>
      <c r="AH37" s="57">
        <v>0.35460000000000003</v>
      </c>
      <c r="AI37" s="57">
        <v>9.7600000000000006E-2</v>
      </c>
      <c r="AJ37" s="57">
        <v>6.7500000000000004E-2</v>
      </c>
      <c r="AK37" s="57">
        <v>4.3999999999999997E-2</v>
      </c>
      <c r="AL37" s="57">
        <v>0.115</v>
      </c>
      <c r="AM37" s="57">
        <v>2.9000000000000001E-2</v>
      </c>
      <c r="AN37" s="57">
        <v>0</v>
      </c>
      <c r="AO37" s="57">
        <v>0.78800000000000003</v>
      </c>
      <c r="AP37" s="153">
        <v>1.8079000000000001</v>
      </c>
      <c r="AQ37" s="153">
        <v>9.4899999999999998E-2</v>
      </c>
      <c r="AR37" s="57">
        <v>0.32540000000000002</v>
      </c>
      <c r="AS37" s="57">
        <v>3.2800000000000003E-2</v>
      </c>
      <c r="AT37" s="153">
        <v>5.3E-3</v>
      </c>
      <c r="AU37" s="153">
        <v>0.27289999999999998</v>
      </c>
      <c r="AV37" s="153">
        <v>0</v>
      </c>
      <c r="AW37" s="154">
        <v>8.914200000000001</v>
      </c>
      <c r="AX37" s="58">
        <v>0.44569999999999999</v>
      </c>
      <c r="AY37" s="155">
        <f t="shared" si="2"/>
        <v>0.441</v>
      </c>
      <c r="AZ37" s="155">
        <f t="shared" si="3"/>
        <v>4.699999999999982E-3</v>
      </c>
      <c r="BA37" s="14">
        <v>9.3599000000000014</v>
      </c>
      <c r="BB37" s="59">
        <f>BA37-'[1]Тариф 26 свод без  ПДВ'!AU37</f>
        <v>1.800000000001134E-3</v>
      </c>
      <c r="BC37" s="57">
        <v>1.948</v>
      </c>
      <c r="BD37" s="57">
        <v>0</v>
      </c>
      <c r="BE37" s="57">
        <v>0.39419999999999999</v>
      </c>
      <c r="BF37" s="156">
        <v>11.256400000000001</v>
      </c>
      <c r="BG37" s="59">
        <v>0.56279999999999997</v>
      </c>
      <c r="BH37" s="59"/>
      <c r="BI37" s="59"/>
      <c r="BJ37" s="14">
        <v>11.8192</v>
      </c>
      <c r="BK37" s="60"/>
      <c r="BL37" s="60">
        <v>5.7200000000000006</v>
      </c>
      <c r="BM37" s="60">
        <v>0.28599999999999998</v>
      </c>
      <c r="BN37" s="14">
        <v>6.0060000000000002</v>
      </c>
      <c r="BO37" s="14"/>
      <c r="BP37" s="157"/>
      <c r="BQ37" s="158">
        <f>BJ37-'[1]Тариф 26 свод без  ПДВ'!BG37</f>
        <v>-9.9999999999944578E-4</v>
      </c>
      <c r="BR37" s="77">
        <f>'[1]Тариф 26 свод без  ПДВ'!BG37</f>
        <v>11.8202</v>
      </c>
      <c r="BS37" s="159">
        <f t="shared" si="4"/>
        <v>-9.9999999999944578E-4</v>
      </c>
      <c r="BU37" s="77">
        <f>'[1]Тариф 26 свод без  ПДВ'!AU37</f>
        <v>9.3581000000000003</v>
      </c>
      <c r="BV37" s="159">
        <f t="shared" si="5"/>
        <v>1.800000000001134E-3</v>
      </c>
      <c r="BX37" s="95">
        <v>4.6657999999999999</v>
      </c>
      <c r="BY37" s="95">
        <v>4.6657999999999999</v>
      </c>
      <c r="BZ37" s="95"/>
      <c r="CA37" s="62">
        <f t="shared" si="6"/>
        <v>2.0060654121479709</v>
      </c>
      <c r="CB37" s="62">
        <f t="shared" si="7"/>
        <v>2.5331561575721206</v>
      </c>
      <c r="CI37" s="160">
        <f>'[1]0 СВОД'!AYY52</f>
        <v>88516.551199083711</v>
      </c>
      <c r="CJ37" s="77">
        <f t="shared" si="12"/>
        <v>1062198.6143890047</v>
      </c>
      <c r="CM37" s="161">
        <v>32</v>
      </c>
      <c r="CN37" s="183" t="s">
        <v>516</v>
      </c>
      <c r="CO37" s="163">
        <v>9</v>
      </c>
      <c r="CP37" s="163">
        <v>4</v>
      </c>
      <c r="CQ37" s="164" t="s">
        <v>188</v>
      </c>
      <c r="CR37" s="165" t="s">
        <v>173</v>
      </c>
      <c r="CS37" s="166">
        <v>283.62000000000046</v>
      </c>
      <c r="CT37" s="166">
        <v>7023.58</v>
      </c>
      <c r="CU37" s="167">
        <v>447.4</v>
      </c>
      <c r="CV37" s="168">
        <v>7754.6</v>
      </c>
      <c r="CW37" s="166">
        <v>7307.2000000000007</v>
      </c>
      <c r="CX37" s="167">
        <v>447.4</v>
      </c>
      <c r="CY37" s="166">
        <v>0</v>
      </c>
      <c r="CZ37" s="166"/>
      <c r="DA37" s="166">
        <v>7754.6</v>
      </c>
      <c r="DB37" s="166"/>
      <c r="DC37" s="166">
        <v>7023.58</v>
      </c>
      <c r="DD37" s="59">
        <v>0.16919999999999999</v>
      </c>
      <c r="DE37" s="59">
        <v>0.16089999999999999</v>
      </c>
      <c r="DF37" s="59">
        <v>0.19839999999999999</v>
      </c>
      <c r="DG37" s="59">
        <v>3.7400000000000003E-2</v>
      </c>
      <c r="DH37" s="59">
        <v>8.5000000000000006E-3</v>
      </c>
      <c r="DI37" s="59">
        <v>0.12470000000000001</v>
      </c>
      <c r="DJ37" s="59">
        <v>4.8099999999999997E-2</v>
      </c>
      <c r="DK37" s="59">
        <v>0.3458</v>
      </c>
      <c r="DL37" s="169">
        <v>0</v>
      </c>
      <c r="DM37" s="59">
        <v>8.6900000000000005E-2</v>
      </c>
      <c r="DN37" s="169">
        <v>0</v>
      </c>
      <c r="DO37" s="184">
        <v>1.7916000000000001</v>
      </c>
      <c r="DP37" s="171">
        <f t="shared" si="13"/>
        <v>2.9409000000000001</v>
      </c>
      <c r="DQ37" s="59">
        <v>0.1071</v>
      </c>
      <c r="DR37" s="59">
        <v>0.21290000000000001</v>
      </c>
      <c r="DS37" s="59">
        <v>2.53E-2</v>
      </c>
      <c r="DT37" s="59">
        <v>3.2199999999999999E-2</v>
      </c>
      <c r="DU37" s="59">
        <v>1.8599999999999998E-2</v>
      </c>
      <c r="DV37" s="59">
        <v>4.0099999999999997E-2</v>
      </c>
      <c r="DW37" s="59">
        <v>7.0000000000000001E-3</v>
      </c>
      <c r="DX37" s="169">
        <v>0</v>
      </c>
      <c r="DY37" s="59">
        <v>0.40760000000000002</v>
      </c>
      <c r="DZ37" s="171">
        <f t="shared" si="14"/>
        <v>1.9332679097154073</v>
      </c>
      <c r="EA37" s="59">
        <v>1.0619000000000001</v>
      </c>
      <c r="EB37" s="171">
        <f t="shared" si="15"/>
        <v>1.7918824748093041</v>
      </c>
      <c r="EC37" s="59">
        <v>0.16850000000000001</v>
      </c>
      <c r="ED37" s="171">
        <f t="shared" si="16"/>
        <v>1.9311572700296735</v>
      </c>
      <c r="EE37" s="59">
        <v>2.5100000000000001E-2</v>
      </c>
      <c r="EF37" s="59">
        <v>3.5000000000000001E-3</v>
      </c>
      <c r="EG37" s="59">
        <v>0.18679999999999999</v>
      </c>
      <c r="EH37" s="59">
        <v>0</v>
      </c>
      <c r="EI37" s="155">
        <v>0.13170000000000001</v>
      </c>
      <c r="EJ37" s="172">
        <v>5.3997999999999999</v>
      </c>
      <c r="EK37" s="173"/>
      <c r="EL37" s="59">
        <v>1.6870000000000001</v>
      </c>
      <c r="EM37" s="59">
        <v>0.23680000000000001</v>
      </c>
      <c r="EN37" s="59">
        <v>0.17979999999999999</v>
      </c>
      <c r="EO37" s="172">
        <v>7.3716999999999997</v>
      </c>
      <c r="ES37" s="57">
        <f t="shared" si="29"/>
        <v>5.3997999999999999</v>
      </c>
      <c r="ET37" s="57">
        <f t="shared" si="30"/>
        <v>7.3716999999999997</v>
      </c>
      <c r="EU37" s="31"/>
      <c r="EV37" s="61">
        <f t="shared" si="17"/>
        <v>1.7333790140375573</v>
      </c>
      <c r="EW37" s="61">
        <f>BJ37/ET37</f>
        <v>1.6033208079547461</v>
      </c>
      <c r="EX37" s="185">
        <v>7</v>
      </c>
      <c r="EY37" s="174">
        <v>9.7487999999999992</v>
      </c>
      <c r="EZ37" s="158">
        <f t="shared" si="19"/>
        <v>9.3599000000000014</v>
      </c>
      <c r="FA37" s="158">
        <f t="shared" si="20"/>
        <v>11.8192</v>
      </c>
      <c r="FB37" s="158">
        <f>BA37-EX37</f>
        <v>2.3599000000000014</v>
      </c>
      <c r="FC37" s="158">
        <f>BJ37-EY37</f>
        <v>2.0704000000000011</v>
      </c>
      <c r="FD37" s="175">
        <f>FB37/EX37</f>
        <v>0.33712857142857161</v>
      </c>
      <c r="FE37" s="175">
        <f>FC37/FA37</f>
        <v>0.1751726005144173</v>
      </c>
      <c r="FF37" s="158"/>
      <c r="FG37" s="174"/>
      <c r="FH37" s="174">
        <f t="shared" si="33"/>
        <v>72709.575180000014</v>
      </c>
      <c r="FI37" s="174"/>
      <c r="FJ37" s="176">
        <v>1.2964</v>
      </c>
      <c r="FK37" s="176">
        <f t="shared" si="34"/>
        <v>1.3370711308527903</v>
      </c>
      <c r="FL37" s="87">
        <v>1.3225</v>
      </c>
      <c r="FM37" s="177">
        <f t="shared" si="35"/>
        <v>1.2123408755801484</v>
      </c>
      <c r="FO37" s="88">
        <f t="shared" si="21"/>
        <v>72709.575180000014</v>
      </c>
      <c r="FP37" s="79">
        <f t="shared" si="22"/>
        <v>83174.074240000002</v>
      </c>
      <c r="FS37" s="79">
        <f t="shared" si="23"/>
        <v>41946.726360000001</v>
      </c>
      <c r="FT37" s="79">
        <f t="shared" si="24"/>
        <v>51876.127239999994</v>
      </c>
      <c r="FU37" s="79">
        <f t="shared" si="36"/>
        <v>1.7333790140375573</v>
      </c>
      <c r="FV37" s="79">
        <f t="shared" si="36"/>
        <v>1.6033208079547461</v>
      </c>
      <c r="FY37" s="79">
        <f t="shared" si="37"/>
        <v>6842.0869000000012</v>
      </c>
      <c r="FZ37" s="79">
        <f t="shared" si="38"/>
        <v>83174.074240000002</v>
      </c>
      <c r="GB37" s="178">
        <f t="shared" si="39"/>
        <v>731</v>
      </c>
      <c r="GC37" s="178">
        <f t="shared" si="40"/>
        <v>7037.2</v>
      </c>
      <c r="GG37" s="14">
        <v>7.4379000000000008</v>
      </c>
      <c r="GH37" s="175">
        <f t="shared" si="41"/>
        <v>1.2584062705871282</v>
      </c>
      <c r="GI37" s="14">
        <v>10.360100000000001</v>
      </c>
      <c r="GJ37" s="175">
        <f t="shared" si="42"/>
        <v>1.1408384088956669</v>
      </c>
      <c r="GK37" s="175">
        <f>GH37-GJ37</f>
        <v>0.11756786169146127</v>
      </c>
      <c r="GN37" s="14">
        <v>9.3363999999999994</v>
      </c>
      <c r="GO37" s="175">
        <f t="shared" si="44"/>
        <v>1.255246776643945</v>
      </c>
      <c r="GP37" s="179">
        <f t="shared" si="45"/>
        <v>1.0025170301186754</v>
      </c>
      <c r="GQ37" s="14">
        <v>11.666600000000001</v>
      </c>
      <c r="GR37" s="175">
        <f t="shared" si="46"/>
        <v>1.1261088213434234</v>
      </c>
      <c r="GS37" s="175">
        <f t="shared" si="47"/>
        <v>1.0130800747432842</v>
      </c>
      <c r="GV37" s="32">
        <f t="shared" si="25"/>
        <v>6842.0869000000012</v>
      </c>
      <c r="GW37" s="32">
        <f t="shared" si="26"/>
        <v>83174.074240000002</v>
      </c>
      <c r="GX37" s="180">
        <f t="shared" si="48"/>
        <v>90016.161139999997</v>
      </c>
      <c r="GZ37" s="32">
        <f t="shared" si="49"/>
        <v>9.3599000000000014</v>
      </c>
      <c r="HA37" s="32">
        <f t="shared" si="50"/>
        <v>11.8192</v>
      </c>
      <c r="HB37" s="32">
        <f t="shared" si="51"/>
        <v>11.587775950670682</v>
      </c>
    </row>
    <row r="38" spans="1:210" ht="19.2" customHeight="1" x14ac:dyDescent="0.3">
      <c r="A38" s="50">
        <v>30</v>
      </c>
      <c r="B38" s="51" t="s">
        <v>517</v>
      </c>
      <c r="C38" s="150" t="s">
        <v>518</v>
      </c>
      <c r="D38" s="52">
        <v>5</v>
      </c>
      <c r="E38" s="52">
        <v>7</v>
      </c>
      <c r="F38" s="63">
        <v>80</v>
      </c>
      <c r="G38" s="54" t="s">
        <v>55</v>
      </c>
      <c r="H38" s="181" t="s">
        <v>56</v>
      </c>
      <c r="I38" s="55">
        <f t="shared" si="27"/>
        <v>4568.2</v>
      </c>
      <c r="J38" s="55">
        <f t="shared" si="0"/>
        <v>0</v>
      </c>
      <c r="K38" s="55">
        <f t="shared" si="1"/>
        <v>0</v>
      </c>
      <c r="L38" s="56">
        <v>4568.2</v>
      </c>
      <c r="M38" s="56">
        <v>4568.2</v>
      </c>
      <c r="N38" s="56">
        <f t="shared" si="28"/>
        <v>4568.2</v>
      </c>
      <c r="O38" s="56">
        <v>0</v>
      </c>
      <c r="P38" s="56">
        <v>0</v>
      </c>
      <c r="Q38" s="55"/>
      <c r="R38" s="55">
        <v>4568.2</v>
      </c>
      <c r="S38" s="55"/>
      <c r="T38" s="55">
        <v>0</v>
      </c>
      <c r="U38" s="152">
        <v>4568.2</v>
      </c>
      <c r="V38" s="57">
        <v>0.16569999999999999</v>
      </c>
      <c r="W38" s="153">
        <v>0.1077</v>
      </c>
      <c r="X38" s="57">
        <v>0.3095</v>
      </c>
      <c r="Y38" s="57">
        <v>7.8799999999999995E-2</v>
      </c>
      <c r="Z38" s="153">
        <v>3.2800000000000003E-2</v>
      </c>
      <c r="AA38" s="57">
        <v>0.72789999999999999</v>
      </c>
      <c r="AB38" s="153">
        <v>0</v>
      </c>
      <c r="AC38" s="57">
        <v>0.63149999999999995</v>
      </c>
      <c r="AD38" s="57">
        <v>0.13850000000000001</v>
      </c>
      <c r="AE38" s="57">
        <v>0</v>
      </c>
      <c r="AF38" s="57">
        <v>1.8785000000000001</v>
      </c>
      <c r="AG38" s="57">
        <v>0.2185</v>
      </c>
      <c r="AH38" s="57">
        <v>0.32300000000000001</v>
      </c>
      <c r="AI38" s="153">
        <v>9.9199999999999997E-2</v>
      </c>
      <c r="AJ38" s="153">
        <v>0.1057</v>
      </c>
      <c r="AK38" s="153">
        <v>6.3799999999999996E-2</v>
      </c>
      <c r="AL38" s="57">
        <v>0.28449999999999998</v>
      </c>
      <c r="AM38" s="153">
        <v>3.6400000000000002E-2</v>
      </c>
      <c r="AN38" s="57">
        <v>0</v>
      </c>
      <c r="AO38" s="153">
        <v>1.7063999999999999</v>
      </c>
      <c r="AP38" s="57">
        <v>0.7742</v>
      </c>
      <c r="AQ38" s="57">
        <v>0.1104</v>
      </c>
      <c r="AR38" s="153">
        <v>0.4652</v>
      </c>
      <c r="AS38" s="57">
        <v>6.9699999999999998E-2</v>
      </c>
      <c r="AT38" s="57">
        <v>1.1299999999999999E-2</v>
      </c>
      <c r="AU38" s="153">
        <v>0.27079999999999999</v>
      </c>
      <c r="AV38" s="153">
        <v>0</v>
      </c>
      <c r="AW38" s="154">
        <v>8.61</v>
      </c>
      <c r="AX38" s="58">
        <v>0.43049999999999999</v>
      </c>
      <c r="AY38" s="155">
        <f t="shared" si="2"/>
        <v>0.42499999999999999</v>
      </c>
      <c r="AZ38" s="155">
        <f t="shared" si="3"/>
        <v>5.5000000000000049E-3</v>
      </c>
      <c r="BA38" s="14">
        <v>9.0404999999999998</v>
      </c>
      <c r="BB38" s="59">
        <f>BA38-'[1]Тариф 26 свод без  ПДВ'!AU38</f>
        <v>-1.5999999999998238E-3</v>
      </c>
      <c r="BC38" s="57">
        <v>0</v>
      </c>
      <c r="BD38" s="57">
        <v>0</v>
      </c>
      <c r="BE38" s="57">
        <v>0</v>
      </c>
      <c r="BF38" s="156">
        <v>8.61</v>
      </c>
      <c r="BG38" s="59">
        <v>0.43049999999999999</v>
      </c>
      <c r="BH38" s="59"/>
      <c r="BI38" s="59"/>
      <c r="BJ38" s="14">
        <v>9.0404999999999998</v>
      </c>
      <c r="BK38" s="60"/>
      <c r="BL38" s="60">
        <v>5.3933999999999997</v>
      </c>
      <c r="BM38" s="60">
        <v>0.2697</v>
      </c>
      <c r="BN38" s="14">
        <v>5.6631</v>
      </c>
      <c r="BO38" s="14"/>
      <c r="BP38" s="157"/>
      <c r="BQ38" s="158">
        <f>BJ38-'[1]Тариф 26 свод без  ПДВ'!BG38</f>
        <v>-1.5999999999998238E-3</v>
      </c>
      <c r="BR38" s="77">
        <f>'[1]Тариф 26 свод без  ПДВ'!BG38</f>
        <v>9.0420999999999996</v>
      </c>
      <c r="BS38" s="159">
        <f t="shared" si="4"/>
        <v>-1.5999999999998238E-3</v>
      </c>
      <c r="BU38" s="77">
        <f>'[1]Тариф 26 свод без  ПДВ'!AU38</f>
        <v>9.0420999999999996</v>
      </c>
      <c r="BV38" s="159">
        <f t="shared" si="5"/>
        <v>-1.5999999999998238E-3</v>
      </c>
      <c r="BX38" s="95">
        <v>4.2877000000000001</v>
      </c>
      <c r="BY38" s="95">
        <v>5.8009000000000004</v>
      </c>
      <c r="BZ38" s="95"/>
      <c r="CA38" s="182">
        <f t="shared" si="6"/>
        <v>2.1084730741423141</v>
      </c>
      <c r="CB38" s="182">
        <f t="shared" si="7"/>
        <v>1.5584650657656569</v>
      </c>
      <c r="CD38" s="160">
        <f>L38-CE38</f>
        <v>4568.2</v>
      </c>
      <c r="CE38" s="160">
        <f>T38</f>
        <v>0</v>
      </c>
      <c r="CF38" s="77">
        <f>CD38*BA38</f>
        <v>41298.812099999996</v>
      </c>
      <c r="CG38" s="77">
        <f>BJ38*CE38</f>
        <v>0</v>
      </c>
      <c r="CI38" s="160">
        <f>'[1]0 СВОД'!AYY53</f>
        <v>41299.187174659703</v>
      </c>
      <c r="CJ38" s="77">
        <f t="shared" si="12"/>
        <v>495590.24609591643</v>
      </c>
      <c r="CM38" s="161">
        <v>33</v>
      </c>
      <c r="CN38" s="183" t="s">
        <v>519</v>
      </c>
      <c r="CO38" s="163">
        <v>5</v>
      </c>
      <c r="CP38" s="163">
        <v>7</v>
      </c>
      <c r="CQ38" s="164" t="s">
        <v>55</v>
      </c>
      <c r="CR38" s="165" t="s">
        <v>56</v>
      </c>
      <c r="CS38" s="166">
        <v>4567.95</v>
      </c>
      <c r="CT38" s="166">
        <v>0</v>
      </c>
      <c r="CU38" s="167">
        <v>0</v>
      </c>
      <c r="CV38" s="168">
        <v>4567.95</v>
      </c>
      <c r="CW38" s="166">
        <v>4567.95</v>
      </c>
      <c r="CX38" s="167">
        <v>0</v>
      </c>
      <c r="CY38" s="166">
        <v>0</v>
      </c>
      <c r="CZ38" s="166"/>
      <c r="DA38" s="166">
        <v>4567.95</v>
      </c>
      <c r="DB38" s="166"/>
      <c r="DC38" s="166">
        <v>0</v>
      </c>
      <c r="DD38" s="59">
        <v>0.16250000000000001</v>
      </c>
      <c r="DE38" s="59">
        <v>0.18440000000000001</v>
      </c>
      <c r="DF38" s="59">
        <v>0.20349999999999999</v>
      </c>
      <c r="DG38" s="59">
        <v>4.6300000000000001E-2</v>
      </c>
      <c r="DH38" s="59">
        <v>1.23E-2</v>
      </c>
      <c r="DI38" s="59">
        <v>0.32079999999999997</v>
      </c>
      <c r="DJ38" s="59">
        <v>4.8099999999999997E-2</v>
      </c>
      <c r="DK38" s="59">
        <v>0.3458</v>
      </c>
      <c r="DL38" s="169">
        <v>0</v>
      </c>
      <c r="DM38" s="59">
        <v>8.43E-2</v>
      </c>
      <c r="DN38" s="169">
        <v>0</v>
      </c>
      <c r="DO38" s="184">
        <v>1.1091</v>
      </c>
      <c r="DP38" s="171">
        <f t="shared" si="13"/>
        <v>1.8785000000000001</v>
      </c>
      <c r="DQ38" s="59">
        <v>0.1052</v>
      </c>
      <c r="DR38" s="59">
        <v>0.22409999999999999</v>
      </c>
      <c r="DS38" s="59">
        <v>2.5700000000000001E-2</v>
      </c>
      <c r="DT38" s="59">
        <v>4.9799999999999997E-2</v>
      </c>
      <c r="DU38" s="59">
        <v>2.69E-2</v>
      </c>
      <c r="DV38" s="59">
        <v>9.9299999999999999E-2</v>
      </c>
      <c r="DW38" s="59">
        <v>1.0500000000000001E-2</v>
      </c>
      <c r="DX38" s="169">
        <v>0</v>
      </c>
      <c r="DY38" s="59">
        <v>0.83979999999999999</v>
      </c>
      <c r="DZ38" s="171">
        <f t="shared" si="14"/>
        <v>2.0319123600857347</v>
      </c>
      <c r="EA38" s="59">
        <v>0.49309999999999998</v>
      </c>
      <c r="EB38" s="171">
        <f t="shared" si="15"/>
        <v>1.7939566010951127</v>
      </c>
      <c r="EC38" s="59">
        <v>0.2346</v>
      </c>
      <c r="ED38" s="171">
        <f t="shared" si="16"/>
        <v>1.9829497016197783</v>
      </c>
      <c r="EE38" s="59">
        <v>5.33E-2</v>
      </c>
      <c r="EF38" s="59">
        <v>7.4000000000000003E-3</v>
      </c>
      <c r="EG38" s="59">
        <v>0.31900000000000001</v>
      </c>
      <c r="EH38" s="59">
        <v>0</v>
      </c>
      <c r="EI38" s="208">
        <v>0.12509999999999999</v>
      </c>
      <c r="EJ38" s="172">
        <v>5.1308999999999996</v>
      </c>
      <c r="EK38" s="173"/>
      <c r="EL38" s="169">
        <v>0</v>
      </c>
      <c r="EM38" s="169">
        <v>0</v>
      </c>
      <c r="EN38" s="59"/>
      <c r="EO38" s="172"/>
      <c r="ES38" s="57">
        <f t="shared" si="29"/>
        <v>5.1308999999999996</v>
      </c>
      <c r="ET38" s="57">
        <f t="shared" si="30"/>
        <v>0</v>
      </c>
      <c r="EU38" s="31"/>
      <c r="EV38" s="65">
        <f t="shared" si="17"/>
        <v>1.7619715839326435</v>
      </c>
      <c r="EW38" s="62"/>
      <c r="EX38" s="158">
        <f>ES38*1.305-BA38</f>
        <v>-2.344675500000001</v>
      </c>
      <c r="EY38" s="77">
        <f>ES38*1.344</f>
        <v>6.8959295999999997</v>
      </c>
      <c r="EZ38" s="158">
        <f t="shared" si="19"/>
        <v>9.0404999999999998</v>
      </c>
      <c r="FA38" s="158">
        <f t="shared" si="20"/>
        <v>9.0404999999999998</v>
      </c>
      <c r="FH38" s="174">
        <f t="shared" si="33"/>
        <v>41298.812099999996</v>
      </c>
      <c r="FJ38" s="87">
        <v>1.3440137207897254</v>
      </c>
      <c r="FK38" s="176">
        <f t="shared" si="34"/>
        <v>1.3109773781902549</v>
      </c>
      <c r="FM38" s="87" t="e">
        <f t="shared" si="35"/>
        <v>#DIV/0!</v>
      </c>
      <c r="FO38" s="88">
        <f t="shared" si="21"/>
        <v>41298.812099999996</v>
      </c>
      <c r="FP38" s="79">
        <f t="shared" si="22"/>
        <v>0</v>
      </c>
      <c r="FS38" s="79">
        <f t="shared" si="23"/>
        <v>23438.977379999997</v>
      </c>
      <c r="FT38" s="79">
        <f t="shared" si="24"/>
        <v>0</v>
      </c>
      <c r="FU38" s="79">
        <f t="shared" si="36"/>
        <v>1.7619715839326435</v>
      </c>
      <c r="FV38" s="79" t="e">
        <f t="shared" si="36"/>
        <v>#DIV/0!</v>
      </c>
      <c r="FY38" s="79">
        <f t="shared" si="37"/>
        <v>41298.812099999996</v>
      </c>
      <c r="FZ38" s="79">
        <f t="shared" si="38"/>
        <v>0</v>
      </c>
      <c r="GB38" s="178">
        <f t="shared" si="39"/>
        <v>4568.2</v>
      </c>
      <c r="GC38" s="178">
        <f t="shared" si="40"/>
        <v>0</v>
      </c>
      <c r="GG38" s="14">
        <v>7.1189999999999998</v>
      </c>
      <c r="GH38" s="175">
        <f t="shared" si="41"/>
        <v>1.2699115044247788</v>
      </c>
      <c r="GI38" s="14">
        <v>7.1189999999999998</v>
      </c>
      <c r="GJ38" s="175">
        <f t="shared" si="42"/>
        <v>1.2699115044247788</v>
      </c>
      <c r="GK38" s="175">
        <f t="shared" ref="GK38:GK68" si="62">GH38-GJ38</f>
        <v>0</v>
      </c>
      <c r="GN38" s="14">
        <v>9.0396999999999998</v>
      </c>
      <c r="GO38" s="175">
        <f t="shared" si="44"/>
        <v>1.2697991290911645</v>
      </c>
      <c r="GP38" s="179">
        <f t="shared" si="45"/>
        <v>1.0000884985121188</v>
      </c>
      <c r="GQ38" s="14">
        <v>9.0396999999999998</v>
      </c>
      <c r="GR38" s="175">
        <f t="shared" si="46"/>
        <v>1.2697991290911645</v>
      </c>
      <c r="GS38" s="175">
        <f t="shared" si="47"/>
        <v>1.0000884985121188</v>
      </c>
      <c r="GV38" s="32">
        <f t="shared" si="25"/>
        <v>41298.812099999996</v>
      </c>
      <c r="GW38" s="32">
        <f t="shared" si="26"/>
        <v>0</v>
      </c>
      <c r="GX38" s="180">
        <f t="shared" si="48"/>
        <v>41298.812099999996</v>
      </c>
      <c r="GZ38" s="32">
        <f t="shared" si="49"/>
        <v>9.0404999999999998</v>
      </c>
      <c r="HA38" s="32" t="e">
        <f t="shared" si="50"/>
        <v>#DIV/0!</v>
      </c>
      <c r="HB38" s="32">
        <f t="shared" si="51"/>
        <v>9.0404999999999998</v>
      </c>
    </row>
    <row r="39" spans="1:210" ht="19.2" customHeight="1" x14ac:dyDescent="0.3">
      <c r="A39" s="50">
        <v>31</v>
      </c>
      <c r="B39" s="51" t="s">
        <v>520</v>
      </c>
      <c r="C39" s="150" t="s">
        <v>518</v>
      </c>
      <c r="D39" s="52">
        <v>5</v>
      </c>
      <c r="E39" s="52">
        <v>6</v>
      </c>
      <c r="F39" s="63">
        <v>90</v>
      </c>
      <c r="G39" s="54" t="s">
        <v>57</v>
      </c>
      <c r="H39" s="181" t="s">
        <v>49</v>
      </c>
      <c r="I39" s="55">
        <f t="shared" si="27"/>
        <v>4737.7</v>
      </c>
      <c r="J39" s="55">
        <f t="shared" si="0"/>
        <v>0</v>
      </c>
      <c r="K39" s="55">
        <f t="shared" si="1"/>
        <v>0</v>
      </c>
      <c r="L39" s="56">
        <v>4737.7</v>
      </c>
      <c r="M39" s="56">
        <v>4737.7</v>
      </c>
      <c r="N39" s="56">
        <f t="shared" si="28"/>
        <v>4737.7</v>
      </c>
      <c r="O39" s="56">
        <v>0</v>
      </c>
      <c r="P39" s="56">
        <v>0</v>
      </c>
      <c r="Q39" s="55"/>
      <c r="R39" s="55">
        <v>4737.7</v>
      </c>
      <c r="S39" s="55"/>
      <c r="T39" s="55">
        <v>0</v>
      </c>
      <c r="U39" s="152">
        <v>4737.7</v>
      </c>
      <c r="V39" s="57">
        <v>0.1653</v>
      </c>
      <c r="W39" s="153">
        <v>7.9899999999999999E-2</v>
      </c>
      <c r="X39" s="57">
        <v>0.3306</v>
      </c>
      <c r="Y39" s="57">
        <v>7.3400000000000007E-2</v>
      </c>
      <c r="Z39" s="153">
        <v>3.7999999999999999E-2</v>
      </c>
      <c r="AA39" s="57">
        <v>0.56310000000000004</v>
      </c>
      <c r="AB39" s="153">
        <v>0</v>
      </c>
      <c r="AC39" s="57">
        <v>0.63149999999999995</v>
      </c>
      <c r="AD39" s="57">
        <v>0.1502</v>
      </c>
      <c r="AE39" s="57">
        <v>0</v>
      </c>
      <c r="AF39" s="57">
        <v>2.3104</v>
      </c>
      <c r="AG39" s="57">
        <v>0.2162</v>
      </c>
      <c r="AH39" s="57">
        <v>0.29189999999999999</v>
      </c>
      <c r="AI39" s="153">
        <v>9.0700000000000003E-2</v>
      </c>
      <c r="AJ39" s="153">
        <v>9.1600000000000001E-2</v>
      </c>
      <c r="AK39" s="153">
        <v>7.3800000000000004E-2</v>
      </c>
      <c r="AL39" s="57">
        <v>0.20830000000000001</v>
      </c>
      <c r="AM39" s="153">
        <v>3.1199999999999999E-2</v>
      </c>
      <c r="AN39" s="57">
        <v>0</v>
      </c>
      <c r="AO39" s="153">
        <v>1.7713000000000001</v>
      </c>
      <c r="AP39" s="57">
        <v>0.95350000000000001</v>
      </c>
      <c r="AQ39" s="57">
        <v>8.6199999999999999E-2</v>
      </c>
      <c r="AR39" s="153">
        <v>0.57799999999999996</v>
      </c>
      <c r="AS39" s="57">
        <v>5.4399999999999997E-2</v>
      </c>
      <c r="AT39" s="57">
        <v>8.8000000000000005E-3</v>
      </c>
      <c r="AU39" s="153">
        <v>0.1333</v>
      </c>
      <c r="AV39" s="153">
        <v>0</v>
      </c>
      <c r="AW39" s="154">
        <v>8.9315999999999995</v>
      </c>
      <c r="AX39" s="58">
        <v>0.4466</v>
      </c>
      <c r="AY39" s="155">
        <f t="shared" si="2"/>
        <v>0.44230000000000003</v>
      </c>
      <c r="AZ39" s="155">
        <f t="shared" si="3"/>
        <v>4.2999999999999705E-3</v>
      </c>
      <c r="BA39" s="14">
        <v>9.3781999999999996</v>
      </c>
      <c r="BB39" s="59">
        <f>BA39-'[1]Тариф 26 свод без  ПДВ'!AU39</f>
        <v>2.2000000000002018E-3</v>
      </c>
      <c r="BC39" s="57">
        <v>0</v>
      </c>
      <c r="BD39" s="57">
        <v>0</v>
      </c>
      <c r="BE39" s="57">
        <v>0</v>
      </c>
      <c r="BF39" s="156">
        <v>8.9315999999999995</v>
      </c>
      <c r="BG39" s="59">
        <v>0.4466</v>
      </c>
      <c r="BH39" s="59"/>
      <c r="BI39" s="59"/>
      <c r="BJ39" s="14">
        <v>9.3781999999999996</v>
      </c>
      <c r="BK39" s="60"/>
      <c r="BL39" s="60">
        <v>5.4954999999999998</v>
      </c>
      <c r="BM39" s="60">
        <v>0.27479999999999999</v>
      </c>
      <c r="BN39" s="14">
        <v>5.7702999999999998</v>
      </c>
      <c r="BO39" s="14"/>
      <c r="BP39" s="157"/>
      <c r="BQ39" s="158">
        <f>BJ39-'[1]Тариф 26 свод без  ПДВ'!BG39</f>
        <v>2.2000000000002018E-3</v>
      </c>
      <c r="BR39" s="77">
        <f>'[1]Тариф 26 свод без  ПДВ'!BG39</f>
        <v>9.3759999999999994</v>
      </c>
      <c r="BS39" s="159">
        <f t="shared" si="4"/>
        <v>2.2000000000002018E-3</v>
      </c>
      <c r="BU39" s="77">
        <f>'[1]Тариф 26 свод без  ПДВ'!AU39</f>
        <v>9.3759999999999994</v>
      </c>
      <c r="BV39" s="159">
        <f t="shared" si="5"/>
        <v>2.2000000000002018E-3</v>
      </c>
      <c r="BX39" s="95">
        <v>4.6323000000000008</v>
      </c>
      <c r="BY39" s="95">
        <v>4.6323000000000008</v>
      </c>
      <c r="BZ39" s="95"/>
      <c r="CA39" s="62">
        <f t="shared" si="6"/>
        <v>2.0245234548712299</v>
      </c>
      <c r="CB39" s="62">
        <f t="shared" si="7"/>
        <v>2.0245234548712299</v>
      </c>
      <c r="CI39" s="160">
        <f>'[1]0 СВОД'!AYY54</f>
        <v>44431.923386022689</v>
      </c>
      <c r="CJ39" s="77">
        <f t="shared" si="12"/>
        <v>533183.08063227229</v>
      </c>
      <c r="CM39" s="161">
        <v>34</v>
      </c>
      <c r="CN39" s="183" t="s">
        <v>521</v>
      </c>
      <c r="CO39" s="163">
        <v>5</v>
      </c>
      <c r="CP39" s="163">
        <v>6</v>
      </c>
      <c r="CQ39" s="164" t="s">
        <v>57</v>
      </c>
      <c r="CR39" s="165" t="s">
        <v>49</v>
      </c>
      <c r="CS39" s="166">
        <v>4734.1000000000004</v>
      </c>
      <c r="CT39" s="166">
        <v>0</v>
      </c>
      <c r="CU39" s="167">
        <v>0</v>
      </c>
      <c r="CV39" s="168">
        <v>4734.1000000000004</v>
      </c>
      <c r="CW39" s="166">
        <v>4734.1000000000004</v>
      </c>
      <c r="CX39" s="167">
        <v>0</v>
      </c>
      <c r="CY39" s="166">
        <v>0</v>
      </c>
      <c r="CZ39" s="166"/>
      <c r="DA39" s="166">
        <v>4734.1000000000004</v>
      </c>
      <c r="DB39" s="166"/>
      <c r="DC39" s="166">
        <v>0</v>
      </c>
      <c r="DD39" s="59">
        <v>0.15870000000000001</v>
      </c>
      <c r="DE39" s="59">
        <v>0.1472</v>
      </c>
      <c r="DF39" s="59">
        <v>0.19980000000000001</v>
      </c>
      <c r="DG39" s="59">
        <v>4.6699999999999998E-2</v>
      </c>
      <c r="DH39" s="59">
        <v>1.43E-2</v>
      </c>
      <c r="DI39" s="59">
        <v>0.22789999999999999</v>
      </c>
      <c r="DJ39" s="59">
        <v>4.8099999999999997E-2</v>
      </c>
      <c r="DK39" s="59">
        <v>0.3458</v>
      </c>
      <c r="DL39" s="169">
        <v>0</v>
      </c>
      <c r="DM39" s="59">
        <v>9.1499999999999998E-2</v>
      </c>
      <c r="DN39" s="169">
        <v>0</v>
      </c>
      <c r="DO39" s="184">
        <v>1.4476</v>
      </c>
      <c r="DP39" s="171">
        <f t="shared" si="13"/>
        <v>2.3104</v>
      </c>
      <c r="DQ39" s="59">
        <v>0.1032</v>
      </c>
      <c r="DR39" s="59">
        <v>0.1923</v>
      </c>
      <c r="DS39" s="59">
        <v>2.75E-2</v>
      </c>
      <c r="DT39" s="59">
        <v>4.8000000000000001E-2</v>
      </c>
      <c r="DU39" s="59">
        <v>3.1199999999999999E-2</v>
      </c>
      <c r="DV39" s="59">
        <v>6.8500000000000005E-2</v>
      </c>
      <c r="DW39" s="59">
        <v>8.2000000000000007E-3</v>
      </c>
      <c r="DX39" s="169">
        <v>0</v>
      </c>
      <c r="DY39" s="59">
        <v>0.89680000000000004</v>
      </c>
      <c r="DZ39" s="171">
        <f t="shared" si="14"/>
        <v>1.9751338090990187</v>
      </c>
      <c r="EA39" s="59">
        <v>0.58120000000000005</v>
      </c>
      <c r="EB39" s="171">
        <f t="shared" si="15"/>
        <v>1.7888850653819683</v>
      </c>
      <c r="EC39" s="59">
        <v>0.29520000000000002</v>
      </c>
      <c r="ED39" s="171">
        <f t="shared" si="16"/>
        <v>1.9579945799457992</v>
      </c>
      <c r="EE39" s="59">
        <v>4.1700000000000001E-2</v>
      </c>
      <c r="EF39" s="59">
        <v>5.7999999999999996E-3</v>
      </c>
      <c r="EG39" s="59">
        <v>0.1187</v>
      </c>
      <c r="EH39" s="59">
        <v>0</v>
      </c>
      <c r="EI39" s="208">
        <v>0.12859999999999999</v>
      </c>
      <c r="EJ39" s="172">
        <v>5.2744999999999989</v>
      </c>
      <c r="EK39" s="173"/>
      <c r="EL39" s="169">
        <v>0</v>
      </c>
      <c r="EM39" s="169">
        <v>0</v>
      </c>
      <c r="EN39" s="59"/>
      <c r="EO39" s="172"/>
      <c r="ES39" s="57">
        <f t="shared" si="29"/>
        <v>5.2744999999999989</v>
      </c>
      <c r="ET39" s="57">
        <f t="shared" si="30"/>
        <v>0</v>
      </c>
      <c r="EU39" s="31"/>
      <c r="EV39" s="65">
        <f t="shared" si="17"/>
        <v>1.7780263532088352</v>
      </c>
      <c r="EW39" s="62"/>
      <c r="EX39" s="158">
        <f>ES39*1.305-BA39</f>
        <v>-2.4949775000000018</v>
      </c>
      <c r="EY39" s="77">
        <f t="shared" ref="EY39:EY40" si="63">ES39*1.344</f>
        <v>7.0889279999999992</v>
      </c>
      <c r="EZ39" s="158">
        <f t="shared" si="19"/>
        <v>9.3781999999999996</v>
      </c>
      <c r="FA39" s="158">
        <f t="shared" si="20"/>
        <v>9.3781999999999996</v>
      </c>
      <c r="FH39" s="174">
        <f t="shared" si="33"/>
        <v>44431.098139999995</v>
      </c>
      <c r="FJ39" s="87">
        <v>1.3582330078680447</v>
      </c>
      <c r="FK39" s="176">
        <f t="shared" si="34"/>
        <v>1.3090731434952538</v>
      </c>
      <c r="FM39" s="87" t="e">
        <f t="shared" si="35"/>
        <v>#DIV/0!</v>
      </c>
      <c r="FO39" s="88">
        <f t="shared" si="21"/>
        <v>44431.098139999995</v>
      </c>
      <c r="FP39" s="79">
        <f t="shared" si="22"/>
        <v>0</v>
      </c>
      <c r="FS39" s="79">
        <f t="shared" si="23"/>
        <v>24988.998649999994</v>
      </c>
      <c r="FT39" s="79">
        <f t="shared" si="24"/>
        <v>0</v>
      </c>
      <c r="FU39" s="79">
        <f t="shared" si="36"/>
        <v>1.7780263532088352</v>
      </c>
      <c r="FV39" s="79" t="e">
        <f t="shared" si="36"/>
        <v>#DIV/0!</v>
      </c>
      <c r="FY39" s="79">
        <f t="shared" si="37"/>
        <v>44431.098139999995</v>
      </c>
      <c r="FZ39" s="79">
        <f t="shared" si="38"/>
        <v>0</v>
      </c>
      <c r="GB39" s="178">
        <f t="shared" si="39"/>
        <v>4737.7</v>
      </c>
      <c r="GC39" s="178">
        <f t="shared" si="40"/>
        <v>0</v>
      </c>
      <c r="GG39" s="14">
        <v>7.3849</v>
      </c>
      <c r="GH39" s="175">
        <f t="shared" si="41"/>
        <v>1.269915638668093</v>
      </c>
      <c r="GI39" s="14">
        <v>7.3849</v>
      </c>
      <c r="GJ39" s="175">
        <f t="shared" si="42"/>
        <v>1.269915638668093</v>
      </c>
      <c r="GK39" s="175">
        <f t="shared" si="62"/>
        <v>0</v>
      </c>
      <c r="GN39" s="14">
        <v>9.7439</v>
      </c>
      <c r="GO39" s="175">
        <f t="shared" si="44"/>
        <v>1.3194356050860541</v>
      </c>
      <c r="GP39" s="179">
        <f t="shared" si="45"/>
        <v>0.9624688266505198</v>
      </c>
      <c r="GQ39" s="14">
        <v>9.7439</v>
      </c>
      <c r="GR39" s="175">
        <f t="shared" si="46"/>
        <v>1.3194356050860541</v>
      </c>
      <c r="GS39" s="175">
        <f t="shared" si="47"/>
        <v>0.9624688266505198</v>
      </c>
      <c r="GV39" s="32">
        <f t="shared" si="25"/>
        <v>44431.098139999995</v>
      </c>
      <c r="GW39" s="32">
        <f t="shared" si="26"/>
        <v>0</v>
      </c>
      <c r="GX39" s="180">
        <f t="shared" si="48"/>
        <v>44431.098139999995</v>
      </c>
      <c r="GZ39" s="32">
        <f t="shared" si="49"/>
        <v>9.3781999999999996</v>
      </c>
      <c r="HA39" s="32" t="e">
        <f t="shared" si="50"/>
        <v>#DIV/0!</v>
      </c>
      <c r="HB39" s="32">
        <f t="shared" si="51"/>
        <v>9.3781999999999996</v>
      </c>
    </row>
    <row r="40" spans="1:210" ht="19.2" customHeight="1" x14ac:dyDescent="0.3">
      <c r="A40" s="50">
        <v>32</v>
      </c>
      <c r="B40" s="51" t="s">
        <v>522</v>
      </c>
      <c r="C40" s="150" t="s">
        <v>518</v>
      </c>
      <c r="D40" s="52">
        <v>5</v>
      </c>
      <c r="E40" s="52">
        <v>4</v>
      </c>
      <c r="F40" s="63">
        <v>60</v>
      </c>
      <c r="G40" s="54" t="s">
        <v>58</v>
      </c>
      <c r="H40" s="181" t="s">
        <v>49</v>
      </c>
      <c r="I40" s="55">
        <f t="shared" si="27"/>
        <v>2911.3</v>
      </c>
      <c r="J40" s="55">
        <f t="shared" si="0"/>
        <v>0</v>
      </c>
      <c r="K40" s="55">
        <f t="shared" si="1"/>
        <v>0</v>
      </c>
      <c r="L40" s="56">
        <v>2911.3</v>
      </c>
      <c r="M40" s="56">
        <v>2911.3</v>
      </c>
      <c r="N40" s="56">
        <f t="shared" si="28"/>
        <v>2911.3</v>
      </c>
      <c r="O40" s="56">
        <v>0</v>
      </c>
      <c r="P40" s="56">
        <v>0</v>
      </c>
      <c r="Q40" s="55"/>
      <c r="R40" s="55">
        <v>2911.3</v>
      </c>
      <c r="S40" s="55"/>
      <c r="T40" s="55">
        <v>0</v>
      </c>
      <c r="U40" s="152">
        <v>2911.3</v>
      </c>
      <c r="V40" s="57">
        <v>0.16189999999999999</v>
      </c>
      <c r="W40" s="153">
        <v>8.7499999999999994E-2</v>
      </c>
      <c r="X40" s="57">
        <v>0.33260000000000001</v>
      </c>
      <c r="Y40" s="57">
        <v>7.4499999999999997E-2</v>
      </c>
      <c r="Z40" s="153">
        <v>3.09E-2</v>
      </c>
      <c r="AA40" s="57">
        <v>0.46629999999999999</v>
      </c>
      <c r="AB40" s="153">
        <v>0</v>
      </c>
      <c r="AC40" s="57">
        <v>0.63149999999999995</v>
      </c>
      <c r="AD40" s="57">
        <v>0.16300000000000001</v>
      </c>
      <c r="AE40" s="57">
        <v>0</v>
      </c>
      <c r="AF40" s="57">
        <v>2.1282999999999999</v>
      </c>
      <c r="AG40" s="57">
        <v>0.21410000000000001</v>
      </c>
      <c r="AH40" s="57">
        <v>0.31030000000000002</v>
      </c>
      <c r="AI40" s="153">
        <v>8.7300000000000003E-2</v>
      </c>
      <c r="AJ40" s="153">
        <v>0.1042</v>
      </c>
      <c r="AK40" s="153">
        <v>6.0100000000000001E-2</v>
      </c>
      <c r="AL40" s="57">
        <v>0.16289999999999999</v>
      </c>
      <c r="AM40" s="153">
        <v>3.1699999999999999E-2</v>
      </c>
      <c r="AN40" s="57">
        <v>0</v>
      </c>
      <c r="AO40" s="153">
        <v>2.4333999999999998</v>
      </c>
      <c r="AP40" s="57">
        <v>1.0831999999999999</v>
      </c>
      <c r="AQ40" s="57">
        <v>8.7800000000000003E-2</v>
      </c>
      <c r="AR40" s="153">
        <v>0.60519999999999996</v>
      </c>
      <c r="AS40" s="57">
        <v>5.5E-2</v>
      </c>
      <c r="AT40" s="57">
        <v>8.8999999999999999E-3</v>
      </c>
      <c r="AU40" s="153">
        <v>0.16889999999999999</v>
      </c>
      <c r="AV40" s="153">
        <v>0</v>
      </c>
      <c r="AW40" s="154">
        <v>9.4894999999999996</v>
      </c>
      <c r="AX40" s="58">
        <v>0.47449999999999998</v>
      </c>
      <c r="AY40" s="155">
        <f t="shared" si="2"/>
        <v>0.47010000000000002</v>
      </c>
      <c r="AZ40" s="155">
        <f t="shared" si="3"/>
        <v>4.3999999999999595E-3</v>
      </c>
      <c r="BA40" s="14">
        <v>9.9640000000000004</v>
      </c>
      <c r="BB40" s="59">
        <f>BA40-'[1]Тариф 26 свод без  ПДВ'!AU40</f>
        <v>-5.6999999999991502E-3</v>
      </c>
      <c r="BC40" s="57">
        <v>0</v>
      </c>
      <c r="BD40" s="57">
        <v>0</v>
      </c>
      <c r="BE40" s="57">
        <v>0</v>
      </c>
      <c r="BF40" s="156">
        <v>9.4894999999999996</v>
      </c>
      <c r="BG40" s="59">
        <v>0.47449999999999998</v>
      </c>
      <c r="BH40" s="59"/>
      <c r="BI40" s="59"/>
      <c r="BJ40" s="14">
        <v>9.9640000000000004</v>
      </c>
      <c r="BK40" s="60"/>
      <c r="BL40" s="60">
        <v>5.1987999999999994</v>
      </c>
      <c r="BM40" s="60">
        <v>0.25990000000000002</v>
      </c>
      <c r="BN40" s="14">
        <v>5.4586999999999994</v>
      </c>
      <c r="BO40" s="14"/>
      <c r="BP40" s="157"/>
      <c r="BQ40" s="158">
        <f>BJ40-'[1]Тариф 26 свод без  ПДВ'!BG40</f>
        <v>-5.6999999999991502E-3</v>
      </c>
      <c r="BR40" s="77">
        <f>'[1]Тариф 26 свод без  ПДВ'!BG40</f>
        <v>9.9696999999999996</v>
      </c>
      <c r="BS40" s="159">
        <f t="shared" si="4"/>
        <v>-5.6999999999991502E-3</v>
      </c>
      <c r="BU40" s="77">
        <f>'[1]Тариф 26 свод без  ПДВ'!AU40</f>
        <v>9.9696999999999996</v>
      </c>
      <c r="BV40" s="159">
        <f t="shared" si="5"/>
        <v>-5.6999999999991502E-3</v>
      </c>
      <c r="BX40" s="95">
        <v>4.3131000000000004</v>
      </c>
      <c r="BY40" s="95">
        <v>5.9547999999999996</v>
      </c>
      <c r="BZ40" s="95"/>
      <c r="CA40" s="182">
        <f t="shared" si="6"/>
        <v>2.3101713384804432</v>
      </c>
      <c r="CB40" s="182">
        <f t="shared" si="7"/>
        <v>1.6732719822664071</v>
      </c>
      <c r="CD40" s="160">
        <f>L40-CE40</f>
        <v>2911.3</v>
      </c>
      <c r="CE40" s="160">
        <f>T40</f>
        <v>0</v>
      </c>
      <c r="CF40" s="77">
        <f>CD40*BA40</f>
        <v>29008.193200000002</v>
      </c>
      <c r="CG40" s="77">
        <f>BJ40*CE40</f>
        <v>0</v>
      </c>
      <c r="CI40" s="160">
        <f>'[1]0 СВОД'!AYY55</f>
        <v>29008.235547893932</v>
      </c>
      <c r="CJ40" s="77">
        <f t="shared" si="12"/>
        <v>348098.82657472719</v>
      </c>
      <c r="CM40" s="161">
        <v>35</v>
      </c>
      <c r="CN40" s="162" t="s">
        <v>523</v>
      </c>
      <c r="CO40" s="163">
        <v>5</v>
      </c>
      <c r="CP40" s="163">
        <v>4</v>
      </c>
      <c r="CQ40" s="164" t="s">
        <v>58</v>
      </c>
      <c r="CR40" s="165" t="s">
        <v>49</v>
      </c>
      <c r="CS40" s="166">
        <v>2911.5</v>
      </c>
      <c r="CT40" s="166">
        <v>0</v>
      </c>
      <c r="CU40" s="167">
        <v>0</v>
      </c>
      <c r="CV40" s="168">
        <v>2911.5</v>
      </c>
      <c r="CW40" s="166">
        <v>2911.5</v>
      </c>
      <c r="CX40" s="167">
        <v>0</v>
      </c>
      <c r="CY40" s="166">
        <v>0</v>
      </c>
      <c r="CZ40" s="166"/>
      <c r="DA40" s="166">
        <v>2911.5</v>
      </c>
      <c r="DB40" s="166"/>
      <c r="DC40" s="166">
        <v>0</v>
      </c>
      <c r="DD40" s="59">
        <v>0.1588</v>
      </c>
      <c r="DE40" s="59">
        <v>0.1421</v>
      </c>
      <c r="DF40" s="59">
        <v>0.21859999999999999</v>
      </c>
      <c r="DG40" s="59">
        <v>4.3799999999999999E-2</v>
      </c>
      <c r="DH40" s="59">
        <v>1.1599999999999999E-2</v>
      </c>
      <c r="DI40" s="59">
        <v>0.2029</v>
      </c>
      <c r="DJ40" s="59">
        <v>4.8099999999999997E-2</v>
      </c>
      <c r="DK40" s="59">
        <v>0.3458</v>
      </c>
      <c r="DL40" s="169">
        <v>0</v>
      </c>
      <c r="DM40" s="59">
        <v>9.9199999999999997E-2</v>
      </c>
      <c r="DN40" s="169">
        <v>0</v>
      </c>
      <c r="DO40" s="170">
        <v>1.2612999999999999</v>
      </c>
      <c r="DP40" s="171">
        <f t="shared" si="13"/>
        <v>2.1282999999999999</v>
      </c>
      <c r="DQ40" s="59">
        <v>0.1031</v>
      </c>
      <c r="DR40" s="59">
        <v>0.18559999999999999</v>
      </c>
      <c r="DS40" s="59">
        <v>2.2800000000000001E-2</v>
      </c>
      <c r="DT40" s="59">
        <v>4.9000000000000002E-2</v>
      </c>
      <c r="DU40" s="59">
        <v>2.53E-2</v>
      </c>
      <c r="DV40" s="59">
        <v>5.67E-2</v>
      </c>
      <c r="DW40" s="59">
        <v>8.3000000000000001E-3</v>
      </c>
      <c r="DX40" s="169">
        <v>0</v>
      </c>
      <c r="DY40" s="59">
        <v>1.2262</v>
      </c>
      <c r="DZ40" s="171">
        <f t="shared" si="14"/>
        <v>1.984504974718643</v>
      </c>
      <c r="EA40" s="59">
        <v>0.6542</v>
      </c>
      <c r="EB40" s="171">
        <f t="shared" si="15"/>
        <v>1.7899724854784471</v>
      </c>
      <c r="EC40" s="59">
        <v>0.31409999999999999</v>
      </c>
      <c r="ED40" s="171">
        <f t="shared" si="16"/>
        <v>1.9267749124482647</v>
      </c>
      <c r="EE40" s="59">
        <v>4.2000000000000003E-2</v>
      </c>
      <c r="EF40" s="59">
        <v>5.7999999999999996E-3</v>
      </c>
      <c r="EG40" s="59">
        <v>0.22409999999999999</v>
      </c>
      <c r="EH40" s="59">
        <v>0</v>
      </c>
      <c r="EI40" s="208">
        <v>0.13619999999999999</v>
      </c>
      <c r="EJ40" s="172">
        <v>5.5855999999999995</v>
      </c>
      <c r="EK40" s="173"/>
      <c r="EL40" s="169">
        <v>0</v>
      </c>
      <c r="EM40" s="169">
        <v>0</v>
      </c>
      <c r="EN40" s="59"/>
      <c r="EO40" s="172"/>
      <c r="ES40" s="57">
        <f t="shared" si="29"/>
        <v>5.5855999999999995</v>
      </c>
      <c r="ET40" s="57">
        <f t="shared" si="30"/>
        <v>0</v>
      </c>
      <c r="EU40" s="31"/>
      <c r="EV40" s="61">
        <f t="shared" si="17"/>
        <v>1.7838728158120885</v>
      </c>
      <c r="EW40" s="61"/>
      <c r="EX40" s="158">
        <f>ES40*1.305-BA40</f>
        <v>-2.6747920000000018</v>
      </c>
      <c r="EY40" s="77">
        <f t="shared" si="63"/>
        <v>7.5070464000000001</v>
      </c>
      <c r="EZ40" s="158">
        <f t="shared" si="19"/>
        <v>9.9640000000000004</v>
      </c>
      <c r="FA40" s="158">
        <f t="shared" si="20"/>
        <v>9.9640000000000004</v>
      </c>
      <c r="FH40" s="174">
        <f t="shared" si="33"/>
        <v>29008.193200000002</v>
      </c>
      <c r="FJ40" s="87">
        <v>1.3967881695789175</v>
      </c>
      <c r="FK40" s="176">
        <f t="shared" si="34"/>
        <v>1.277124802932619</v>
      </c>
      <c r="FM40" s="87" t="e">
        <f t="shared" si="35"/>
        <v>#DIV/0!</v>
      </c>
      <c r="FO40" s="88">
        <f t="shared" si="21"/>
        <v>29008.193200000002</v>
      </c>
      <c r="FP40" s="79">
        <f t="shared" si="22"/>
        <v>0</v>
      </c>
      <c r="FS40" s="79">
        <f t="shared" si="23"/>
        <v>16261.35728</v>
      </c>
      <c r="FT40" s="79">
        <f t="shared" si="24"/>
        <v>0</v>
      </c>
      <c r="FU40" s="79">
        <f t="shared" si="36"/>
        <v>1.7838728158120882</v>
      </c>
      <c r="FV40" s="79" t="e">
        <f t="shared" si="36"/>
        <v>#DIV/0!</v>
      </c>
      <c r="FY40" s="79">
        <f t="shared" si="37"/>
        <v>29008.193200000002</v>
      </c>
      <c r="FZ40" s="79">
        <f t="shared" si="38"/>
        <v>0</v>
      </c>
      <c r="GB40" s="178">
        <f t="shared" si="39"/>
        <v>2911.3</v>
      </c>
      <c r="GC40" s="178">
        <f t="shared" si="40"/>
        <v>0</v>
      </c>
      <c r="GG40" s="14">
        <v>7.8461000000000007</v>
      </c>
      <c r="GH40" s="175">
        <f t="shared" si="41"/>
        <v>1.2699302838352811</v>
      </c>
      <c r="GI40" s="14">
        <v>7.8461000000000007</v>
      </c>
      <c r="GJ40" s="175">
        <f t="shared" si="42"/>
        <v>1.2699302838352811</v>
      </c>
      <c r="GK40" s="175">
        <f t="shared" si="62"/>
        <v>0</v>
      </c>
      <c r="GN40" s="14">
        <v>10.226700000000003</v>
      </c>
      <c r="GO40" s="175">
        <f t="shared" si="44"/>
        <v>1.3034118861600033</v>
      </c>
      <c r="GP40" s="179">
        <f t="shared" si="45"/>
        <v>0.97431233926877658</v>
      </c>
      <c r="GQ40" s="14">
        <v>10.226700000000003</v>
      </c>
      <c r="GR40" s="175">
        <f t="shared" si="46"/>
        <v>1.3034118861600033</v>
      </c>
      <c r="GS40" s="175">
        <f t="shared" si="47"/>
        <v>0.97431233926877658</v>
      </c>
      <c r="GV40" s="32">
        <f t="shared" si="25"/>
        <v>29008.193200000002</v>
      </c>
      <c r="GW40" s="32">
        <f t="shared" si="26"/>
        <v>0</v>
      </c>
      <c r="GX40" s="180">
        <f t="shared" si="48"/>
        <v>29008.193200000002</v>
      </c>
      <c r="GZ40" s="32">
        <f t="shared" si="49"/>
        <v>9.9640000000000004</v>
      </c>
      <c r="HA40" s="32" t="e">
        <f t="shared" si="50"/>
        <v>#DIV/0!</v>
      </c>
      <c r="HB40" s="32">
        <f t="shared" si="51"/>
        <v>9.9640000000000004</v>
      </c>
    </row>
    <row r="41" spans="1:210" ht="19.2" customHeight="1" x14ac:dyDescent="0.3">
      <c r="A41" s="50">
        <v>33</v>
      </c>
      <c r="B41" s="51" t="s">
        <v>524</v>
      </c>
      <c r="C41" s="150" t="s">
        <v>518</v>
      </c>
      <c r="D41" s="52">
        <v>5</v>
      </c>
      <c r="E41" s="52">
        <v>4</v>
      </c>
      <c r="F41" s="63">
        <v>65</v>
      </c>
      <c r="G41" s="54" t="s">
        <v>59</v>
      </c>
      <c r="H41" s="181" t="s">
        <v>56</v>
      </c>
      <c r="I41" s="55">
        <f t="shared" si="27"/>
        <v>2889.2</v>
      </c>
      <c r="J41" s="55">
        <f t="shared" si="0"/>
        <v>0</v>
      </c>
      <c r="K41" s="55">
        <f t="shared" si="1"/>
        <v>0</v>
      </c>
      <c r="L41" s="56">
        <v>2889.2</v>
      </c>
      <c r="M41" s="56">
        <v>2889.2</v>
      </c>
      <c r="N41" s="56">
        <f t="shared" si="28"/>
        <v>2889.2</v>
      </c>
      <c r="O41" s="56">
        <v>0</v>
      </c>
      <c r="P41" s="56">
        <v>0</v>
      </c>
      <c r="Q41" s="55"/>
      <c r="R41" s="55">
        <v>2889.2</v>
      </c>
      <c r="S41" s="55"/>
      <c r="T41" s="55">
        <v>0</v>
      </c>
      <c r="U41" s="152">
        <v>2889.2</v>
      </c>
      <c r="V41" s="57">
        <v>0.19489999999999999</v>
      </c>
      <c r="W41" s="153">
        <v>8.5999999999999993E-2</v>
      </c>
      <c r="X41" s="57">
        <v>0.3226</v>
      </c>
      <c r="Y41" s="57">
        <v>7.4499999999999997E-2</v>
      </c>
      <c r="Z41" s="153">
        <v>2.9700000000000001E-2</v>
      </c>
      <c r="AA41" s="57">
        <v>0.50580000000000003</v>
      </c>
      <c r="AB41" s="153">
        <v>0</v>
      </c>
      <c r="AC41" s="57">
        <v>0.63149999999999995</v>
      </c>
      <c r="AD41" s="57">
        <v>0.1779</v>
      </c>
      <c r="AE41" s="57">
        <v>0</v>
      </c>
      <c r="AF41" s="57">
        <v>1.2888999999999999</v>
      </c>
      <c r="AG41" s="57">
        <v>0.2651</v>
      </c>
      <c r="AH41" s="57">
        <v>0.29599999999999999</v>
      </c>
      <c r="AI41" s="153">
        <v>8.9899999999999994E-2</v>
      </c>
      <c r="AJ41" s="153">
        <v>0.1021</v>
      </c>
      <c r="AK41" s="153">
        <v>5.7799999999999997E-2</v>
      </c>
      <c r="AL41" s="57">
        <v>0.17899999999999999</v>
      </c>
      <c r="AM41" s="153">
        <v>3.5299999999999998E-2</v>
      </c>
      <c r="AN41" s="57">
        <v>0</v>
      </c>
      <c r="AO41" s="153">
        <v>2.8818000000000001</v>
      </c>
      <c r="AP41" s="57">
        <v>1.3498000000000001</v>
      </c>
      <c r="AQ41" s="57">
        <v>0.1018</v>
      </c>
      <c r="AR41" s="153">
        <v>0.57520000000000004</v>
      </c>
      <c r="AS41" s="57">
        <v>6.6000000000000003E-2</v>
      </c>
      <c r="AT41" s="57">
        <v>1.0699999999999999E-2</v>
      </c>
      <c r="AU41" s="153">
        <v>0.53029999999999999</v>
      </c>
      <c r="AV41" s="153">
        <v>0</v>
      </c>
      <c r="AW41" s="154">
        <v>9.8526000000000025</v>
      </c>
      <c r="AX41" s="58">
        <v>0.49259999999999998</v>
      </c>
      <c r="AY41" s="155">
        <f t="shared" si="2"/>
        <v>0.48749999999999999</v>
      </c>
      <c r="AZ41" s="155">
        <f t="shared" si="3"/>
        <v>5.0999999999999934E-3</v>
      </c>
      <c r="BA41" s="14">
        <v>10.345200000000002</v>
      </c>
      <c r="BB41" s="59">
        <f>BA41-'[1]Тариф 26 свод без  ПДВ'!AU41</f>
        <v>8.0000000000168825E-4</v>
      </c>
      <c r="BC41" s="57">
        <v>0</v>
      </c>
      <c r="BD41" s="57">
        <v>0</v>
      </c>
      <c r="BE41" s="57">
        <v>0</v>
      </c>
      <c r="BF41" s="156">
        <v>9.8526000000000025</v>
      </c>
      <c r="BG41" s="59">
        <v>0.49259999999999998</v>
      </c>
      <c r="BH41" s="59"/>
      <c r="BI41" s="59"/>
      <c r="BJ41" s="14">
        <v>10.345200000000002</v>
      </c>
      <c r="BK41" s="60"/>
      <c r="BL41" s="60">
        <v>4.5155000000000012</v>
      </c>
      <c r="BM41" s="60">
        <v>0.2258</v>
      </c>
      <c r="BN41" s="14">
        <v>4.7413000000000007</v>
      </c>
      <c r="BO41" s="14"/>
      <c r="BP41" s="157"/>
      <c r="BQ41" s="158">
        <f>BJ41-'[1]Тариф 26 свод без  ПДВ'!BG41</f>
        <v>8.0000000000168825E-4</v>
      </c>
      <c r="BR41" s="77">
        <f>'[1]Тариф 26 свод без  ПДВ'!BG41</f>
        <v>10.3444</v>
      </c>
      <c r="BS41" s="159">
        <f t="shared" si="4"/>
        <v>8.0000000000168825E-4</v>
      </c>
      <c r="BU41" s="77">
        <f>'[1]Тариф 26 свод без  ПДВ'!AU41</f>
        <v>10.3444</v>
      </c>
      <c r="BV41" s="159">
        <f t="shared" si="5"/>
        <v>8.0000000000168825E-4</v>
      </c>
      <c r="BX41" s="95">
        <v>4.1034999999999995</v>
      </c>
      <c r="BY41" s="95">
        <v>4.1034999999999995</v>
      </c>
      <c r="BZ41" s="95"/>
      <c r="CA41" s="182">
        <f t="shared" si="6"/>
        <v>2.5210673815035953</v>
      </c>
      <c r="CB41" s="182">
        <f t="shared" si="7"/>
        <v>2.5210673815035953</v>
      </c>
      <c r="CI41" s="160">
        <f>'[1]0 СВОД'!AYY56</f>
        <v>29888.964500151567</v>
      </c>
      <c r="CJ41" s="77">
        <f t="shared" si="12"/>
        <v>358667.57400181878</v>
      </c>
      <c r="CM41" s="161">
        <v>36</v>
      </c>
      <c r="CN41" s="183" t="s">
        <v>525</v>
      </c>
      <c r="CO41" s="163">
        <v>5</v>
      </c>
      <c r="CP41" s="163">
        <v>4</v>
      </c>
      <c r="CQ41" s="164" t="s">
        <v>59</v>
      </c>
      <c r="CR41" s="165" t="s">
        <v>56</v>
      </c>
      <c r="CS41" s="166">
        <v>2889.8</v>
      </c>
      <c r="CT41" s="166">
        <v>0</v>
      </c>
      <c r="CU41" s="167">
        <v>0</v>
      </c>
      <c r="CV41" s="168">
        <v>2889.8</v>
      </c>
      <c r="CW41" s="166">
        <v>2889.8</v>
      </c>
      <c r="CX41" s="167">
        <v>0</v>
      </c>
      <c r="CY41" s="166">
        <v>0</v>
      </c>
      <c r="CZ41" s="166"/>
      <c r="DA41" s="166">
        <v>2889.8</v>
      </c>
      <c r="DB41" s="166"/>
      <c r="DC41" s="166">
        <v>0</v>
      </c>
      <c r="DD41" s="59">
        <v>0.19639999999999999</v>
      </c>
      <c r="DE41" s="59">
        <v>0.1216</v>
      </c>
      <c r="DF41" s="59">
        <v>0.21199999999999999</v>
      </c>
      <c r="DG41" s="59">
        <v>4.3900000000000002E-2</v>
      </c>
      <c r="DH41" s="59">
        <v>1.12E-2</v>
      </c>
      <c r="DI41" s="59">
        <v>0.2205</v>
      </c>
      <c r="DJ41" s="59">
        <v>4.8099999999999997E-2</v>
      </c>
      <c r="DK41" s="59">
        <v>0.3458</v>
      </c>
      <c r="DL41" s="169">
        <v>0</v>
      </c>
      <c r="DM41" s="59">
        <v>0.1082</v>
      </c>
      <c r="DN41" s="169">
        <v>0</v>
      </c>
      <c r="DO41" s="184">
        <v>0.76780000000000004</v>
      </c>
      <c r="DP41" s="171">
        <f t="shared" si="13"/>
        <v>1.2888999999999999</v>
      </c>
      <c r="DQ41" s="59">
        <v>0.12759999999999999</v>
      </c>
      <c r="DR41" s="59">
        <v>0.15870000000000001</v>
      </c>
      <c r="DS41" s="59">
        <v>2.3400000000000001E-2</v>
      </c>
      <c r="DT41" s="59">
        <v>4.8000000000000001E-2</v>
      </c>
      <c r="DU41" s="59">
        <v>2.4400000000000002E-2</v>
      </c>
      <c r="DV41" s="59">
        <v>6.2300000000000001E-2</v>
      </c>
      <c r="DW41" s="59">
        <v>0.01</v>
      </c>
      <c r="DX41" s="169">
        <v>0</v>
      </c>
      <c r="DY41" s="59">
        <v>1.4856</v>
      </c>
      <c r="DZ41" s="171">
        <f t="shared" si="14"/>
        <v>1.9398222940226171</v>
      </c>
      <c r="EA41" s="59">
        <v>0.81069999999999998</v>
      </c>
      <c r="EB41" s="171">
        <f t="shared" si="15"/>
        <v>1.7905513753546318</v>
      </c>
      <c r="EC41" s="59">
        <v>0.3054</v>
      </c>
      <c r="ED41" s="171">
        <f t="shared" si="16"/>
        <v>1.8834315651604454</v>
      </c>
      <c r="EE41" s="59">
        <v>5.0500000000000003E-2</v>
      </c>
      <c r="EF41" s="59">
        <v>7.0000000000000001E-3</v>
      </c>
      <c r="EG41" s="59">
        <v>0.39960000000000001</v>
      </c>
      <c r="EH41" s="59">
        <v>0</v>
      </c>
      <c r="EI41" s="208">
        <v>0.13969999999999999</v>
      </c>
      <c r="EJ41" s="172">
        <v>5.7284000000000006</v>
      </c>
      <c r="EK41" s="173"/>
      <c r="EL41" s="169">
        <v>0</v>
      </c>
      <c r="EM41" s="169">
        <v>0</v>
      </c>
      <c r="EN41" s="59"/>
      <c r="EO41" s="172"/>
      <c r="ES41" s="57">
        <f t="shared" si="29"/>
        <v>5.7284000000000006</v>
      </c>
      <c r="ET41" s="57">
        <f t="shared" si="30"/>
        <v>0</v>
      </c>
      <c r="EU41" s="31"/>
      <c r="EV41" s="61">
        <f t="shared" si="17"/>
        <v>1.8059493052161164</v>
      </c>
      <c r="EW41" s="62"/>
      <c r="EX41" s="158">
        <f>ES41*1.305-BA41</f>
        <v>-2.8696380000000019</v>
      </c>
      <c r="EY41" s="77">
        <f>ES41*1.344</f>
        <v>7.6989696000000016</v>
      </c>
      <c r="EZ41" s="158">
        <f t="shared" si="19"/>
        <v>10.345200000000002</v>
      </c>
      <c r="FA41" s="158">
        <f t="shared" si="20"/>
        <v>10.345200000000002</v>
      </c>
      <c r="FH41" s="174">
        <f t="shared" si="33"/>
        <v>29889.351840000003</v>
      </c>
      <c r="FJ41" s="87">
        <v>1.3767893303540255</v>
      </c>
      <c r="FK41" s="176">
        <f t="shared" si="34"/>
        <v>1.3117107064969318</v>
      </c>
      <c r="FM41" s="87" t="e">
        <f t="shared" si="35"/>
        <v>#DIV/0!</v>
      </c>
      <c r="FO41" s="88">
        <f t="shared" si="21"/>
        <v>29889.351840000003</v>
      </c>
      <c r="FP41" s="79">
        <f t="shared" si="22"/>
        <v>0</v>
      </c>
      <c r="FS41" s="79">
        <f t="shared" si="23"/>
        <v>16550.493280000002</v>
      </c>
      <c r="FT41" s="79">
        <f t="shared" si="24"/>
        <v>0</v>
      </c>
      <c r="FU41" s="79">
        <f t="shared" si="36"/>
        <v>1.8059493052161162</v>
      </c>
      <c r="FV41" s="79" t="e">
        <f t="shared" si="36"/>
        <v>#DIV/0!</v>
      </c>
      <c r="FY41" s="79">
        <f t="shared" si="37"/>
        <v>29889.351840000003</v>
      </c>
      <c r="FZ41" s="79">
        <f t="shared" si="38"/>
        <v>0</v>
      </c>
      <c r="GB41" s="178">
        <f t="shared" si="39"/>
        <v>2889.2</v>
      </c>
      <c r="GC41" s="178">
        <f t="shared" si="40"/>
        <v>0</v>
      </c>
      <c r="GG41" s="14">
        <v>8.1463999999999999</v>
      </c>
      <c r="GH41" s="175">
        <f t="shared" si="41"/>
        <v>1.2699106353726801</v>
      </c>
      <c r="GI41" s="14">
        <v>8.1463999999999999</v>
      </c>
      <c r="GJ41" s="175">
        <f t="shared" si="42"/>
        <v>1.2699106353726801</v>
      </c>
      <c r="GK41" s="175">
        <f t="shared" si="62"/>
        <v>0</v>
      </c>
      <c r="GN41" s="14">
        <v>10.2913</v>
      </c>
      <c r="GO41" s="175">
        <f t="shared" si="44"/>
        <v>1.2632942158499461</v>
      </c>
      <c r="GP41" s="179">
        <f t="shared" si="45"/>
        <v>1.0052374335603862</v>
      </c>
      <c r="GQ41" s="14">
        <v>10.2913</v>
      </c>
      <c r="GR41" s="175">
        <f t="shared" si="46"/>
        <v>1.2632942158499461</v>
      </c>
      <c r="GS41" s="175">
        <f t="shared" si="47"/>
        <v>1.0052374335603862</v>
      </c>
      <c r="GV41" s="32">
        <f t="shared" si="25"/>
        <v>29889.351840000003</v>
      </c>
      <c r="GW41" s="32">
        <f t="shared" si="26"/>
        <v>0</v>
      </c>
      <c r="GX41" s="180">
        <f t="shared" si="48"/>
        <v>29889.351840000003</v>
      </c>
      <c r="GZ41" s="32">
        <f t="shared" si="49"/>
        <v>10.345200000000002</v>
      </c>
      <c r="HA41" s="32" t="e">
        <f t="shared" si="50"/>
        <v>#DIV/0!</v>
      </c>
      <c r="HB41" s="32">
        <f t="shared" si="51"/>
        <v>10.345200000000002</v>
      </c>
    </row>
    <row r="42" spans="1:210" ht="19.2" customHeight="1" x14ac:dyDescent="0.3">
      <c r="A42" s="50">
        <v>34</v>
      </c>
      <c r="B42" s="51" t="s">
        <v>526</v>
      </c>
      <c r="C42" s="150" t="s">
        <v>518</v>
      </c>
      <c r="D42" s="52">
        <v>13</v>
      </c>
      <c r="E42" s="52">
        <v>1</v>
      </c>
      <c r="F42" s="63">
        <v>77</v>
      </c>
      <c r="G42" s="54" t="s">
        <v>246</v>
      </c>
      <c r="H42" s="181" t="s">
        <v>247</v>
      </c>
      <c r="I42" s="55">
        <f t="shared" si="27"/>
        <v>271.39999999999964</v>
      </c>
      <c r="J42" s="55">
        <f t="shared" si="0"/>
        <v>3887.8</v>
      </c>
      <c r="K42" s="55">
        <f t="shared" si="1"/>
        <v>0</v>
      </c>
      <c r="L42" s="56">
        <v>4159.2</v>
      </c>
      <c r="M42" s="56">
        <v>4159.2</v>
      </c>
      <c r="N42" s="56">
        <f t="shared" si="28"/>
        <v>271.39999999999964</v>
      </c>
      <c r="O42" s="56">
        <v>0</v>
      </c>
      <c r="P42" s="56">
        <v>0</v>
      </c>
      <c r="Q42" s="55"/>
      <c r="R42" s="55">
        <v>4159.2</v>
      </c>
      <c r="S42" s="55"/>
      <c r="T42" s="55">
        <v>3887.8</v>
      </c>
      <c r="U42" s="152">
        <v>271.39999999999964</v>
      </c>
      <c r="V42" s="57">
        <v>0.1072</v>
      </c>
      <c r="W42" s="57">
        <v>7.2300000000000003E-2</v>
      </c>
      <c r="X42" s="153">
        <v>0.29320000000000002</v>
      </c>
      <c r="Y42" s="153">
        <v>6.9699999999999998E-2</v>
      </c>
      <c r="Z42" s="57">
        <v>2.3099999999999999E-2</v>
      </c>
      <c r="AA42" s="57">
        <v>0.21229999999999999</v>
      </c>
      <c r="AB42" s="57">
        <v>0</v>
      </c>
      <c r="AC42" s="153">
        <v>0.63149999999999995</v>
      </c>
      <c r="AD42" s="57">
        <v>0.1464</v>
      </c>
      <c r="AE42" s="57">
        <v>0</v>
      </c>
      <c r="AF42" s="57">
        <v>1.5073000000000001</v>
      </c>
      <c r="AG42" s="57">
        <v>0.14729999999999999</v>
      </c>
      <c r="AH42" s="57">
        <v>0.25840000000000002</v>
      </c>
      <c r="AI42" s="57">
        <v>0.10829999999999999</v>
      </c>
      <c r="AJ42" s="57">
        <v>0.1079</v>
      </c>
      <c r="AK42" s="57">
        <v>4.48E-2</v>
      </c>
      <c r="AL42" s="57">
        <v>7.17E-2</v>
      </c>
      <c r="AM42" s="57">
        <v>0</v>
      </c>
      <c r="AN42" s="57">
        <v>0</v>
      </c>
      <c r="AO42" s="57">
        <v>2.9984000000000002</v>
      </c>
      <c r="AP42" s="153">
        <v>1.6402000000000001</v>
      </c>
      <c r="AQ42" s="153">
        <v>6.3200000000000006E-2</v>
      </c>
      <c r="AR42" s="57">
        <v>0.42870000000000003</v>
      </c>
      <c r="AS42" s="57">
        <v>2.6800000000000001E-2</v>
      </c>
      <c r="AT42" s="153">
        <v>4.4000000000000003E-3</v>
      </c>
      <c r="AU42" s="153">
        <v>0.1406</v>
      </c>
      <c r="AV42" s="153">
        <v>0</v>
      </c>
      <c r="AW42" s="154">
        <v>9.1036999999999981</v>
      </c>
      <c r="AX42" s="58">
        <v>0.45519999999999999</v>
      </c>
      <c r="AY42" s="155">
        <f t="shared" si="2"/>
        <v>0.45200000000000001</v>
      </c>
      <c r="AZ42" s="155">
        <f t="shared" si="3"/>
        <v>3.1999999999999806E-3</v>
      </c>
      <c r="BA42" s="14">
        <v>9.5588999999999977</v>
      </c>
      <c r="BB42" s="59">
        <f>BA42-'[1]Тариф 26 свод без  ПДВ'!AU42</f>
        <v>-8.0000000000168825E-4</v>
      </c>
      <c r="BC42" s="57">
        <v>1.544</v>
      </c>
      <c r="BD42" s="57">
        <v>0</v>
      </c>
      <c r="BE42" s="57">
        <v>0.78010000000000002</v>
      </c>
      <c r="BF42" s="156">
        <v>11.427799999999998</v>
      </c>
      <c r="BG42" s="59">
        <v>0.57140000000000002</v>
      </c>
      <c r="BH42" s="59"/>
      <c r="BI42" s="59"/>
      <c r="BJ42" s="14">
        <v>11.999199999999998</v>
      </c>
      <c r="BK42" s="60"/>
      <c r="BL42" s="60">
        <v>3.8957999999999995</v>
      </c>
      <c r="BM42" s="60">
        <v>0.1948</v>
      </c>
      <c r="BN42" s="14">
        <v>4.0905999999999993</v>
      </c>
      <c r="BO42" s="14"/>
      <c r="BP42" s="157"/>
      <c r="BQ42" s="158">
        <f>BJ42-'[1]Тариф 26 свод без  ПДВ'!BG42</f>
        <v>-4.5000000000019469E-3</v>
      </c>
      <c r="BR42" s="77">
        <f>'[1]Тариф 26 свод без  ПДВ'!BG42</f>
        <v>12.0037</v>
      </c>
      <c r="BS42" s="159">
        <f t="shared" si="4"/>
        <v>-4.5000000000019469E-3</v>
      </c>
      <c r="BU42" s="77">
        <f>'[1]Тариф 26 свод без  ПДВ'!AU42</f>
        <v>9.5596999999999994</v>
      </c>
      <c r="BV42" s="159">
        <f t="shared" si="5"/>
        <v>-8.0000000000168825E-4</v>
      </c>
      <c r="BX42" s="95">
        <v>4.2190000000000003</v>
      </c>
      <c r="BY42" s="95">
        <v>4.2190000000000003</v>
      </c>
      <c r="BZ42" s="95"/>
      <c r="CA42" s="182">
        <f t="shared" si="6"/>
        <v>2.2656790708698735</v>
      </c>
      <c r="CB42" s="182">
        <f t="shared" si="7"/>
        <v>2.8440862763688073</v>
      </c>
      <c r="CI42" s="160">
        <f>'[1]0 СВОД'!AYY57</f>
        <v>49244.503301273966</v>
      </c>
      <c r="CJ42" s="77">
        <f t="shared" si="12"/>
        <v>590934.03961528756</v>
      </c>
      <c r="CM42" s="161">
        <v>37</v>
      </c>
      <c r="CN42" s="183" t="s">
        <v>527</v>
      </c>
      <c r="CO42" s="163">
        <v>13</v>
      </c>
      <c r="CP42" s="163">
        <v>1</v>
      </c>
      <c r="CQ42" s="164" t="s">
        <v>246</v>
      </c>
      <c r="CR42" s="165" t="s">
        <v>247</v>
      </c>
      <c r="CS42" s="166">
        <v>272</v>
      </c>
      <c r="CT42" s="166">
        <v>3886.2</v>
      </c>
      <c r="CU42" s="167">
        <v>0</v>
      </c>
      <c r="CV42" s="168">
        <v>4158.2</v>
      </c>
      <c r="CW42" s="166">
        <v>4158.2</v>
      </c>
      <c r="CX42" s="167">
        <v>0</v>
      </c>
      <c r="CY42" s="166">
        <v>0</v>
      </c>
      <c r="CZ42" s="166"/>
      <c r="DA42" s="166">
        <v>4158.2</v>
      </c>
      <c r="DB42" s="166"/>
      <c r="DC42" s="166">
        <v>3886.2</v>
      </c>
      <c r="DD42" s="59">
        <v>0.1051</v>
      </c>
      <c r="DE42" s="59">
        <v>0.11749999999999999</v>
      </c>
      <c r="DF42" s="59">
        <v>0.1928</v>
      </c>
      <c r="DG42" s="59">
        <v>4.1099999999999998E-2</v>
      </c>
      <c r="DH42" s="59">
        <v>8.6999999999999994E-3</v>
      </c>
      <c r="DI42" s="59">
        <v>8.8200000000000001E-2</v>
      </c>
      <c r="DJ42" s="59">
        <v>0</v>
      </c>
      <c r="DK42" s="59">
        <v>0.3458</v>
      </c>
      <c r="DL42" s="169">
        <v>0</v>
      </c>
      <c r="DM42" s="59">
        <v>8.9099999999999999E-2</v>
      </c>
      <c r="DN42" s="169">
        <v>0</v>
      </c>
      <c r="DO42" s="184">
        <v>1.2886</v>
      </c>
      <c r="DP42" s="171">
        <f t="shared" si="13"/>
        <v>1.5073000000000001</v>
      </c>
      <c r="DQ42" s="59">
        <v>7.0999999999999994E-2</v>
      </c>
      <c r="DR42" s="59">
        <v>0.15479999999999999</v>
      </c>
      <c r="DS42" s="59">
        <v>2.8400000000000002E-2</v>
      </c>
      <c r="DT42" s="59">
        <v>5.0999999999999997E-2</v>
      </c>
      <c r="DU42" s="59">
        <v>1.89E-2</v>
      </c>
      <c r="DV42" s="59">
        <v>2.46E-2</v>
      </c>
      <c r="DW42" s="59">
        <v>0</v>
      </c>
      <c r="DX42" s="169">
        <v>0</v>
      </c>
      <c r="DY42" s="59">
        <v>1.5084</v>
      </c>
      <c r="DZ42" s="171">
        <f t="shared" si="14"/>
        <v>1.9878016441262267</v>
      </c>
      <c r="EA42" s="59">
        <v>0.95660000000000001</v>
      </c>
      <c r="EB42" s="171">
        <f t="shared" si="15"/>
        <v>1.780681580597951</v>
      </c>
      <c r="EC42" s="59">
        <v>0.17369999999999999</v>
      </c>
      <c r="ED42" s="171">
        <f t="shared" si="16"/>
        <v>2.4680483592400693</v>
      </c>
      <c r="EE42" s="59">
        <v>2.0500000000000001E-2</v>
      </c>
      <c r="EF42" s="59">
        <v>2.8999999999999998E-3</v>
      </c>
      <c r="EG42" s="59">
        <v>0.16059999999999999</v>
      </c>
      <c r="EH42" s="59">
        <v>0</v>
      </c>
      <c r="EI42" s="155">
        <v>0.13619999999999999</v>
      </c>
      <c r="EJ42" s="172">
        <v>5.5845000000000002</v>
      </c>
      <c r="EK42" s="173"/>
      <c r="EL42" s="59">
        <v>1.1403000000000001</v>
      </c>
      <c r="EM42" s="59">
        <v>0.42599999999999999</v>
      </c>
      <c r="EN42" s="59">
        <v>0.1754</v>
      </c>
      <c r="EO42" s="172">
        <v>7.19</v>
      </c>
      <c r="ES42" s="57">
        <f t="shared" si="29"/>
        <v>5.5845000000000002</v>
      </c>
      <c r="ET42" s="57">
        <f t="shared" si="30"/>
        <v>7.19</v>
      </c>
      <c r="EU42" s="31"/>
      <c r="EV42" s="61">
        <f t="shared" si="17"/>
        <v>1.7116841257050761</v>
      </c>
      <c r="EW42" s="61">
        <f t="shared" ref="EW42:EW57" si="64">BJ42/ET42</f>
        <v>1.6688734353268424</v>
      </c>
      <c r="EX42" s="185">
        <v>7.3425000000000002</v>
      </c>
      <c r="EY42" s="174">
        <v>9.9259000000000004</v>
      </c>
      <c r="EZ42" s="158">
        <f t="shared" si="19"/>
        <v>9.5588999999999977</v>
      </c>
      <c r="FA42" s="158">
        <f t="shared" si="20"/>
        <v>11.999199999999998</v>
      </c>
      <c r="FH42" s="174">
        <f t="shared" si="33"/>
        <v>39757.376879999989</v>
      </c>
      <c r="FJ42" s="87">
        <v>1.3148</v>
      </c>
      <c r="FK42" s="176">
        <f t="shared" si="34"/>
        <v>1.3018589334538151</v>
      </c>
      <c r="FL42" s="87">
        <v>1.3805000000000001</v>
      </c>
      <c r="FM42" s="87">
        <f t="shared" si="35"/>
        <v>1.2088905724931853</v>
      </c>
      <c r="FO42" s="88">
        <f t="shared" si="21"/>
        <v>39757.376879999989</v>
      </c>
      <c r="FP42" s="79">
        <f t="shared" si="22"/>
        <v>46650.489759999997</v>
      </c>
      <c r="FS42" s="79">
        <f t="shared" si="23"/>
        <v>23227.0524</v>
      </c>
      <c r="FT42" s="79">
        <f t="shared" si="24"/>
        <v>27953.282000000003</v>
      </c>
      <c r="FU42" s="79">
        <f t="shared" si="36"/>
        <v>1.7116841257050761</v>
      </c>
      <c r="FV42" s="79">
        <f t="shared" si="36"/>
        <v>1.6688734353268426</v>
      </c>
      <c r="FY42" s="79">
        <f t="shared" si="37"/>
        <v>2594.285459999996</v>
      </c>
      <c r="FZ42" s="79">
        <f t="shared" si="38"/>
        <v>46650.489759999997</v>
      </c>
      <c r="GB42" s="178">
        <f t="shared" si="39"/>
        <v>271.39999999999964</v>
      </c>
      <c r="GC42" s="178">
        <f t="shared" si="40"/>
        <v>3887.8</v>
      </c>
      <c r="GG42" s="14">
        <v>7.5271999999999997</v>
      </c>
      <c r="GH42" s="175">
        <f t="shared" si="41"/>
        <v>1.2699144436178125</v>
      </c>
      <c r="GI42" s="14">
        <v>10.203900000000001</v>
      </c>
      <c r="GJ42" s="175">
        <f t="shared" si="42"/>
        <v>1.1759425317770653</v>
      </c>
      <c r="GK42" s="175">
        <f t="shared" si="62"/>
        <v>9.3971911840747158E-2</v>
      </c>
      <c r="GN42" s="14">
        <v>9.8140999999999998</v>
      </c>
      <c r="GO42" s="175">
        <f t="shared" si="44"/>
        <v>1.3038181528323944</v>
      </c>
      <c r="GP42" s="179">
        <f t="shared" si="45"/>
        <v>0.97399659673327132</v>
      </c>
      <c r="GQ42" s="14">
        <v>11.988799999999999</v>
      </c>
      <c r="GR42" s="175">
        <f t="shared" si="46"/>
        <v>1.1749233136349826</v>
      </c>
      <c r="GS42" s="175">
        <f t="shared" si="47"/>
        <v>1.0008674763112237</v>
      </c>
      <c r="GV42" s="32">
        <f t="shared" si="25"/>
        <v>2594.285459999996</v>
      </c>
      <c r="GW42" s="32">
        <f t="shared" si="26"/>
        <v>46650.489759999997</v>
      </c>
      <c r="GX42" s="180">
        <f t="shared" si="48"/>
        <v>49244.775219999996</v>
      </c>
      <c r="GZ42" s="32">
        <f t="shared" si="49"/>
        <v>9.5588999999999977</v>
      </c>
      <c r="HA42" s="32">
        <f t="shared" si="50"/>
        <v>11.999199999999998</v>
      </c>
      <c r="HB42" s="32">
        <f t="shared" si="51"/>
        <v>11.839963266974417</v>
      </c>
    </row>
    <row r="43" spans="1:210" ht="19.2" customHeight="1" x14ac:dyDescent="0.3">
      <c r="A43" s="50">
        <v>35</v>
      </c>
      <c r="B43" s="51" t="s">
        <v>528</v>
      </c>
      <c r="C43" s="150" t="s">
        <v>518</v>
      </c>
      <c r="D43" s="52">
        <v>9</v>
      </c>
      <c r="E43" s="52">
        <v>5</v>
      </c>
      <c r="F43" s="63">
        <v>180</v>
      </c>
      <c r="G43" s="54" t="s">
        <v>189</v>
      </c>
      <c r="H43" s="181" t="s">
        <v>179</v>
      </c>
      <c r="I43" s="55">
        <f t="shared" si="27"/>
        <v>1130.0999999999985</v>
      </c>
      <c r="J43" s="55">
        <f t="shared" si="0"/>
        <v>9442.7000000000007</v>
      </c>
      <c r="K43" s="55">
        <f t="shared" si="1"/>
        <v>0</v>
      </c>
      <c r="L43" s="56">
        <v>10572.8</v>
      </c>
      <c r="M43" s="56">
        <v>10572.8</v>
      </c>
      <c r="N43" s="56">
        <f t="shared" si="28"/>
        <v>1130.0999999999985</v>
      </c>
      <c r="O43" s="56">
        <v>0</v>
      </c>
      <c r="P43" s="56">
        <v>0</v>
      </c>
      <c r="Q43" s="55"/>
      <c r="R43" s="55">
        <v>10572.8</v>
      </c>
      <c r="S43" s="55"/>
      <c r="T43" s="55">
        <v>9442.7000000000007</v>
      </c>
      <c r="U43" s="152">
        <v>1130.0999999999985</v>
      </c>
      <c r="V43" s="57">
        <v>0.12770000000000001</v>
      </c>
      <c r="W43" s="57">
        <v>9.0700000000000003E-2</v>
      </c>
      <c r="X43" s="153">
        <v>0.29920000000000002</v>
      </c>
      <c r="Y43" s="153">
        <v>6.7799999999999999E-2</v>
      </c>
      <c r="Z43" s="57">
        <v>2.0799999999999999E-2</v>
      </c>
      <c r="AA43" s="57">
        <v>0.27060000000000001</v>
      </c>
      <c r="AB43" s="57">
        <v>0</v>
      </c>
      <c r="AC43" s="153">
        <v>0.63149999999999995</v>
      </c>
      <c r="AD43" s="57">
        <v>0.1346</v>
      </c>
      <c r="AE43" s="57">
        <v>0</v>
      </c>
      <c r="AF43" s="57">
        <v>1.6656</v>
      </c>
      <c r="AG43" s="57">
        <v>0.16819999999999999</v>
      </c>
      <c r="AH43" s="57">
        <v>0.3251</v>
      </c>
      <c r="AI43" s="57">
        <v>0.10349999999999999</v>
      </c>
      <c r="AJ43" s="57">
        <v>8.9099999999999999E-2</v>
      </c>
      <c r="AK43" s="57">
        <v>4.0399999999999998E-2</v>
      </c>
      <c r="AL43" s="57">
        <v>7.4899999999999994E-2</v>
      </c>
      <c r="AM43" s="57">
        <v>2.98E-2</v>
      </c>
      <c r="AN43" s="57">
        <v>0</v>
      </c>
      <c r="AO43" s="57">
        <v>1.9403999999999999</v>
      </c>
      <c r="AP43" s="153">
        <v>1.5662</v>
      </c>
      <c r="AQ43" s="153">
        <v>7.85E-2</v>
      </c>
      <c r="AR43" s="57">
        <v>0.35809999999999997</v>
      </c>
      <c r="AS43" s="57">
        <v>3.6900000000000002E-2</v>
      </c>
      <c r="AT43" s="153">
        <v>6.0000000000000001E-3</v>
      </c>
      <c r="AU43" s="153">
        <v>0.15759999999999999</v>
      </c>
      <c r="AV43" s="153">
        <v>0</v>
      </c>
      <c r="AW43" s="154">
        <v>8.2832000000000008</v>
      </c>
      <c r="AX43" s="58">
        <v>0.41420000000000001</v>
      </c>
      <c r="AY43" s="155">
        <f t="shared" si="2"/>
        <v>0.41020000000000001</v>
      </c>
      <c r="AZ43" s="155">
        <f t="shared" si="3"/>
        <v>4.0000000000000036E-3</v>
      </c>
      <c r="BA43" s="14">
        <v>8.6974</v>
      </c>
      <c r="BB43" s="59">
        <f>BA43-'[1]Тариф 26 свод без  ПДВ'!AU43</f>
        <v>-5.8000000000006935E-3</v>
      </c>
      <c r="BC43" s="57">
        <v>1.7123999999999999</v>
      </c>
      <c r="BD43" s="57">
        <v>1.9E-2</v>
      </c>
      <c r="BE43" s="57">
        <v>0.38640000000000002</v>
      </c>
      <c r="BF43" s="156">
        <v>10.401000000000002</v>
      </c>
      <c r="BG43" s="59">
        <v>0.52010000000000001</v>
      </c>
      <c r="BH43" s="59"/>
      <c r="BI43" s="59"/>
      <c r="BJ43" s="14">
        <v>10.921100000000001</v>
      </c>
      <c r="BK43" s="60"/>
      <c r="BL43" s="60">
        <v>4.2608999999999995</v>
      </c>
      <c r="BM43" s="60">
        <v>0.21299999999999999</v>
      </c>
      <c r="BN43" s="14">
        <v>4.4738999999999995</v>
      </c>
      <c r="BO43" s="14"/>
      <c r="BP43" s="157"/>
      <c r="BQ43" s="158">
        <f>BJ43-'[1]Тариф 26 свод без  ПДВ'!BG43</f>
        <v>4.0000000000013358E-3</v>
      </c>
      <c r="BR43" s="77">
        <f>'[1]Тариф 26 свод без  ПДВ'!BG43</f>
        <v>10.9171</v>
      </c>
      <c r="BS43" s="159">
        <f t="shared" si="4"/>
        <v>4.0000000000013358E-3</v>
      </c>
      <c r="BU43" s="77">
        <f>'[1]Тариф 26 свод без  ПДВ'!AU43</f>
        <v>8.7032000000000007</v>
      </c>
      <c r="BV43" s="159">
        <f t="shared" si="5"/>
        <v>-5.8000000000006935E-3</v>
      </c>
      <c r="BX43" s="95">
        <v>4.4671000000000003</v>
      </c>
      <c r="BY43" s="95">
        <v>4.4671000000000003</v>
      </c>
      <c r="BZ43" s="95"/>
      <c r="CA43" s="62">
        <f t="shared" si="6"/>
        <v>1.9469902173669718</v>
      </c>
      <c r="CB43" s="62">
        <f t="shared" si="7"/>
        <v>2.4447852074052516</v>
      </c>
      <c r="CI43" s="160">
        <f>'[1]0 СВОД'!AYY58</f>
        <v>112954.96556057883</v>
      </c>
      <c r="CJ43" s="77">
        <f t="shared" si="12"/>
        <v>1355459.5867269458</v>
      </c>
      <c r="CM43" s="161">
        <v>38</v>
      </c>
      <c r="CN43" s="183" t="s">
        <v>529</v>
      </c>
      <c r="CO43" s="163">
        <v>9</v>
      </c>
      <c r="CP43" s="163">
        <v>5</v>
      </c>
      <c r="CQ43" s="164" t="s">
        <v>189</v>
      </c>
      <c r="CR43" s="165" t="s">
        <v>179</v>
      </c>
      <c r="CS43" s="166">
        <v>1117.6000000000004</v>
      </c>
      <c r="CT43" s="166">
        <v>9432.7999999999993</v>
      </c>
      <c r="CU43" s="167">
        <v>0</v>
      </c>
      <c r="CV43" s="168">
        <v>10550.4</v>
      </c>
      <c r="CW43" s="166">
        <v>10550.4</v>
      </c>
      <c r="CX43" s="167">
        <v>0</v>
      </c>
      <c r="CY43" s="166">
        <v>0</v>
      </c>
      <c r="CZ43" s="166"/>
      <c r="DA43" s="166">
        <v>10550.4</v>
      </c>
      <c r="DB43" s="166"/>
      <c r="DC43" s="166">
        <v>9432.7999999999993</v>
      </c>
      <c r="DD43" s="59">
        <v>0.1258</v>
      </c>
      <c r="DE43" s="59">
        <v>0.14760000000000001</v>
      </c>
      <c r="DF43" s="59">
        <v>0.19719999999999999</v>
      </c>
      <c r="DG43" s="59">
        <v>0.04</v>
      </c>
      <c r="DH43" s="59">
        <v>7.7999999999999996E-3</v>
      </c>
      <c r="DI43" s="59">
        <v>0.1173</v>
      </c>
      <c r="DJ43" s="59">
        <v>4.8099999999999997E-2</v>
      </c>
      <c r="DK43" s="59">
        <v>0.3458</v>
      </c>
      <c r="DL43" s="169">
        <v>0</v>
      </c>
      <c r="DM43" s="59">
        <v>8.2100000000000006E-2</v>
      </c>
      <c r="DN43" s="169">
        <v>0</v>
      </c>
      <c r="DO43" s="184">
        <v>1.4968000000000001</v>
      </c>
      <c r="DP43" s="171">
        <f t="shared" si="13"/>
        <v>1.6656</v>
      </c>
      <c r="DQ43" s="59">
        <v>8.1199999999999994E-2</v>
      </c>
      <c r="DR43" s="59">
        <v>0.1953</v>
      </c>
      <c r="DS43" s="59">
        <v>2.69E-2</v>
      </c>
      <c r="DT43" s="59">
        <v>4.2299999999999997E-2</v>
      </c>
      <c r="DU43" s="59">
        <v>1.7100000000000001E-2</v>
      </c>
      <c r="DV43" s="59">
        <v>2.6200000000000001E-2</v>
      </c>
      <c r="DW43" s="59">
        <v>7.4000000000000003E-3</v>
      </c>
      <c r="DX43" s="169">
        <v>0</v>
      </c>
      <c r="DY43" s="59">
        <v>0.92510000000000003</v>
      </c>
      <c r="DZ43" s="171">
        <f t="shared" si="14"/>
        <v>2.097502972651605</v>
      </c>
      <c r="EA43" s="59">
        <v>0.92920000000000003</v>
      </c>
      <c r="EB43" s="171">
        <f t="shared" si="15"/>
        <v>1.7700172191132157</v>
      </c>
      <c r="EC43" s="59">
        <v>0.13750000000000001</v>
      </c>
      <c r="ED43" s="171">
        <f t="shared" si="16"/>
        <v>2.6043636363636358</v>
      </c>
      <c r="EE43" s="59">
        <v>2.8299999999999999E-2</v>
      </c>
      <c r="EF43" s="59">
        <v>3.8999999999999998E-3</v>
      </c>
      <c r="EG43" s="59">
        <v>8.5699999999999998E-2</v>
      </c>
      <c r="EH43" s="59">
        <v>0</v>
      </c>
      <c r="EI43" s="155">
        <v>0.12790000000000001</v>
      </c>
      <c r="EJ43" s="172">
        <v>5.2425000000000006</v>
      </c>
      <c r="EK43" s="173"/>
      <c r="EL43" s="59">
        <v>1.5701000000000001</v>
      </c>
      <c r="EM43" s="59">
        <v>0.1173</v>
      </c>
      <c r="EN43" s="59">
        <v>0.1701</v>
      </c>
      <c r="EO43" s="172">
        <v>6.9721000000000002</v>
      </c>
      <c r="ES43" s="57">
        <f t="shared" si="29"/>
        <v>5.2425000000000006</v>
      </c>
      <c r="ET43" s="57">
        <f t="shared" si="30"/>
        <v>6.9721000000000002</v>
      </c>
      <c r="EU43" s="31"/>
      <c r="EV43" s="61">
        <f t="shared" si="17"/>
        <v>1.6590176442536955</v>
      </c>
      <c r="EW43" s="61">
        <f t="shared" si="64"/>
        <v>1.5664003671777513</v>
      </c>
      <c r="EX43" s="185">
        <v>6.6829999999999998</v>
      </c>
      <c r="EY43" s="174">
        <v>9.0692000000000004</v>
      </c>
      <c r="EZ43" s="158">
        <f t="shared" si="19"/>
        <v>8.6974</v>
      </c>
      <c r="FA43" s="158">
        <f t="shared" si="20"/>
        <v>10.921100000000001</v>
      </c>
      <c r="FB43" s="158">
        <f t="shared" ref="FB43:FB54" si="65">BA43-EX43</f>
        <v>2.0144000000000002</v>
      </c>
      <c r="FC43" s="158">
        <f t="shared" ref="FC43:FC54" si="66">BJ43-EY43</f>
        <v>1.8519000000000005</v>
      </c>
      <c r="FD43" s="175">
        <f t="shared" ref="FD43:FD54" si="67">FB43/EX43</f>
        <v>0.30142151728265754</v>
      </c>
      <c r="FE43" s="175">
        <f t="shared" ref="FE43:FE54" si="68">FC43/FA43</f>
        <v>0.16957083077711957</v>
      </c>
      <c r="FH43" s="174">
        <f t="shared" si="33"/>
        <v>91955.870719999992</v>
      </c>
      <c r="FJ43" s="176">
        <v>1.2564</v>
      </c>
      <c r="FK43" s="176">
        <f t="shared" si="34"/>
        <v>1.3204533940255456</v>
      </c>
      <c r="FL43" s="87">
        <v>1.2856000000000001</v>
      </c>
      <c r="FM43" s="177">
        <f t="shared" si="35"/>
        <v>1.2184197006671991</v>
      </c>
      <c r="FO43" s="88">
        <f t="shared" si="21"/>
        <v>91955.870719999992</v>
      </c>
      <c r="FP43" s="79">
        <f t="shared" si="22"/>
        <v>103124.67097000002</v>
      </c>
      <c r="FS43" s="79">
        <f t="shared" si="23"/>
        <v>55427.904000000002</v>
      </c>
      <c r="FT43" s="79">
        <f t="shared" si="24"/>
        <v>65835.448670000012</v>
      </c>
      <c r="FU43" s="79">
        <f t="shared" si="36"/>
        <v>1.6590176442536955</v>
      </c>
      <c r="FV43" s="79">
        <f t="shared" si="36"/>
        <v>1.5664003671777513</v>
      </c>
      <c r="FY43" s="79">
        <f t="shared" si="37"/>
        <v>9828.9317399999873</v>
      </c>
      <c r="FZ43" s="79">
        <f t="shared" si="38"/>
        <v>103124.67097000002</v>
      </c>
      <c r="GB43" s="178">
        <f t="shared" si="39"/>
        <v>1130.0999999999985</v>
      </c>
      <c r="GC43" s="178">
        <f t="shared" si="40"/>
        <v>9442.7000000000007</v>
      </c>
      <c r="GG43" s="14">
        <v>6.8488000000000016</v>
      </c>
      <c r="GH43" s="175">
        <f t="shared" si="41"/>
        <v>1.2699158976755049</v>
      </c>
      <c r="GI43" s="14">
        <v>9.2313000000000009</v>
      </c>
      <c r="GJ43" s="175">
        <f t="shared" si="42"/>
        <v>1.183051141226046</v>
      </c>
      <c r="GK43" s="175">
        <f t="shared" si="62"/>
        <v>8.6864756449458902E-2</v>
      </c>
      <c r="GN43" s="14">
        <v>8.8872</v>
      </c>
      <c r="GO43" s="175">
        <f t="shared" si="44"/>
        <v>1.2976287816843823</v>
      </c>
      <c r="GP43" s="179">
        <f t="shared" si="45"/>
        <v>0.97864344225402822</v>
      </c>
      <c r="GQ43" s="14">
        <v>10.798</v>
      </c>
      <c r="GR43" s="175">
        <f t="shared" si="46"/>
        <v>1.1697160746590403</v>
      </c>
      <c r="GS43" s="175">
        <f t="shared" si="47"/>
        <v>1.0114002593072793</v>
      </c>
      <c r="GV43" s="32">
        <f t="shared" si="25"/>
        <v>9828.9317399999873</v>
      </c>
      <c r="GW43" s="32">
        <f t="shared" si="26"/>
        <v>103124.67097000002</v>
      </c>
      <c r="GX43" s="180">
        <f t="shared" si="48"/>
        <v>112953.60271000001</v>
      </c>
      <c r="GZ43" s="32">
        <f t="shared" si="49"/>
        <v>8.6974</v>
      </c>
      <c r="HA43" s="32">
        <f t="shared" si="50"/>
        <v>10.921100000000001</v>
      </c>
      <c r="HB43" s="32">
        <f t="shared" si="51"/>
        <v>10.683414299901635</v>
      </c>
    </row>
    <row r="44" spans="1:210" ht="19.2" customHeight="1" x14ac:dyDescent="0.3">
      <c r="A44" s="50">
        <v>36</v>
      </c>
      <c r="B44" s="51" t="s">
        <v>530</v>
      </c>
      <c r="C44" s="150" t="s">
        <v>518</v>
      </c>
      <c r="D44" s="52">
        <v>9</v>
      </c>
      <c r="E44" s="52">
        <v>1</v>
      </c>
      <c r="F44" s="63">
        <v>244</v>
      </c>
      <c r="G44" s="54" t="s">
        <v>190</v>
      </c>
      <c r="H44" s="181" t="s">
        <v>185</v>
      </c>
      <c r="I44" s="55">
        <f t="shared" si="27"/>
        <v>232.10000000000036</v>
      </c>
      <c r="J44" s="55">
        <f t="shared" si="0"/>
        <v>5739.7</v>
      </c>
      <c r="K44" s="55">
        <f t="shared" si="1"/>
        <v>405</v>
      </c>
      <c r="L44" s="56">
        <v>6376.8</v>
      </c>
      <c r="M44" s="56">
        <v>5971.8</v>
      </c>
      <c r="N44" s="56">
        <f t="shared" si="28"/>
        <v>232.10000000000036</v>
      </c>
      <c r="O44" s="56">
        <v>405</v>
      </c>
      <c r="P44" s="56">
        <v>0</v>
      </c>
      <c r="Q44" s="55"/>
      <c r="R44" s="55">
        <v>6376.8</v>
      </c>
      <c r="S44" s="55"/>
      <c r="T44" s="55">
        <v>5739.7</v>
      </c>
      <c r="U44" s="152">
        <v>637.10000000000036</v>
      </c>
      <c r="V44" s="57">
        <v>9.0300000000000005E-2</v>
      </c>
      <c r="W44" s="57">
        <v>4.1000000000000002E-2</v>
      </c>
      <c r="X44" s="153">
        <v>0.30620000000000003</v>
      </c>
      <c r="Y44" s="153">
        <v>6.3600000000000004E-2</v>
      </c>
      <c r="Z44" s="57">
        <v>2.2599999999999999E-2</v>
      </c>
      <c r="AA44" s="57">
        <v>0.19439999999999999</v>
      </c>
      <c r="AB44" s="57">
        <v>0</v>
      </c>
      <c r="AC44" s="153">
        <v>0.63149999999999995</v>
      </c>
      <c r="AD44" s="57">
        <v>0.11899999999999999</v>
      </c>
      <c r="AE44" s="57">
        <v>0</v>
      </c>
      <c r="AF44" s="57">
        <v>1.3519000000000001</v>
      </c>
      <c r="AG44" s="57">
        <v>0.13</v>
      </c>
      <c r="AH44" s="57">
        <v>0.14779999999999999</v>
      </c>
      <c r="AI44" s="57">
        <v>0.1229</v>
      </c>
      <c r="AJ44" s="57">
        <v>6.9199999999999998E-2</v>
      </c>
      <c r="AK44" s="57">
        <v>4.3900000000000002E-2</v>
      </c>
      <c r="AL44" s="57">
        <v>4.2000000000000003E-2</v>
      </c>
      <c r="AM44" s="57">
        <v>0</v>
      </c>
      <c r="AN44" s="57">
        <v>0</v>
      </c>
      <c r="AO44" s="57">
        <v>2.4478</v>
      </c>
      <c r="AP44" s="153">
        <v>1.2587999999999999</v>
      </c>
      <c r="AQ44" s="153">
        <v>9.11E-2</v>
      </c>
      <c r="AR44" s="57">
        <v>0.57050000000000001</v>
      </c>
      <c r="AS44" s="57">
        <v>3.9300000000000002E-2</v>
      </c>
      <c r="AT44" s="153">
        <v>6.4000000000000003E-3</v>
      </c>
      <c r="AU44" s="153">
        <v>9.3600000000000003E-2</v>
      </c>
      <c r="AV44" s="153">
        <v>0</v>
      </c>
      <c r="AW44" s="154">
        <v>7.8837999999999999</v>
      </c>
      <c r="AX44" s="58">
        <v>0.39419999999999999</v>
      </c>
      <c r="AY44" s="155">
        <f t="shared" si="2"/>
        <v>0.3896</v>
      </c>
      <c r="AZ44" s="155">
        <f t="shared" si="3"/>
        <v>4.599999999999993E-3</v>
      </c>
      <c r="BA44" s="14">
        <v>8.2780000000000005</v>
      </c>
      <c r="BB44" s="59">
        <f>BA44-'[1]Тариф 26 свод без  ПДВ'!AU44</f>
        <v>-1.7999999999993577E-3</v>
      </c>
      <c r="BC44" s="57">
        <v>1.1941999999999999</v>
      </c>
      <c r="BD44" s="57">
        <v>0</v>
      </c>
      <c r="BE44" s="57">
        <v>0.505</v>
      </c>
      <c r="BF44" s="156">
        <v>9.5830000000000002</v>
      </c>
      <c r="BG44" s="59">
        <v>0.47920000000000001</v>
      </c>
      <c r="BH44" s="59"/>
      <c r="BI44" s="59"/>
      <c r="BJ44" s="14">
        <v>10.062200000000001</v>
      </c>
      <c r="BK44" s="60"/>
      <c r="BL44" s="60">
        <v>3.5130999999999997</v>
      </c>
      <c r="BM44" s="60">
        <v>0.1757</v>
      </c>
      <c r="BN44" s="14">
        <v>3.6887999999999996</v>
      </c>
      <c r="BO44" s="14"/>
      <c r="BP44" s="157"/>
      <c r="BQ44" s="158">
        <f>BJ44-'[1]Тариф 26 свод без  ПДВ'!BG44</f>
        <v>-5.9999999999860165E-4</v>
      </c>
      <c r="BR44" s="77">
        <f>'[1]Тариф 26 свод без  ПДВ'!BG44</f>
        <v>10.062799999999999</v>
      </c>
      <c r="BS44" s="159">
        <f t="shared" si="4"/>
        <v>-5.9999999999860165E-4</v>
      </c>
      <c r="BU44" s="77">
        <f>'[1]Тариф 26 свод без  ПДВ'!AU44</f>
        <v>8.2797999999999998</v>
      </c>
      <c r="BV44" s="159">
        <f t="shared" si="5"/>
        <v>-1.7999999999993577E-3</v>
      </c>
      <c r="BX44" s="95">
        <v>4.5824000000000007</v>
      </c>
      <c r="BY44" s="95">
        <v>4.5824000000000007</v>
      </c>
      <c r="BZ44" s="95"/>
      <c r="CA44" s="182">
        <f t="shared" si="6"/>
        <v>1.8064769553072624</v>
      </c>
      <c r="CB44" s="182">
        <f t="shared" si="7"/>
        <v>2.1958362430167595</v>
      </c>
      <c r="CI44" s="160">
        <f>'[1]0 СВОД'!AYY59</f>
        <v>61168.294952168035</v>
      </c>
      <c r="CJ44" s="77">
        <f t="shared" si="12"/>
        <v>734019.53942601639</v>
      </c>
      <c r="CM44" s="161">
        <v>39</v>
      </c>
      <c r="CN44" s="183" t="s">
        <v>531</v>
      </c>
      <c r="CO44" s="163">
        <v>9</v>
      </c>
      <c r="CP44" s="163">
        <v>1</v>
      </c>
      <c r="CQ44" s="164" t="s">
        <v>190</v>
      </c>
      <c r="CR44" s="165" t="s">
        <v>185</v>
      </c>
      <c r="CS44" s="166">
        <v>232.0999999999998</v>
      </c>
      <c r="CT44" s="166">
        <v>5739.7</v>
      </c>
      <c r="CU44" s="167">
        <v>401.6</v>
      </c>
      <c r="CV44" s="168">
        <v>6373.4</v>
      </c>
      <c r="CW44" s="166">
        <v>5971.7999999999993</v>
      </c>
      <c r="CX44" s="167">
        <v>401.6</v>
      </c>
      <c r="CY44" s="166">
        <v>0</v>
      </c>
      <c r="CZ44" s="166"/>
      <c r="DA44" s="166">
        <v>6373.4</v>
      </c>
      <c r="DB44" s="166"/>
      <c r="DC44" s="166">
        <v>5739.7</v>
      </c>
      <c r="DD44" s="59">
        <v>8.4400000000000003E-2</v>
      </c>
      <c r="DE44" s="59">
        <v>6.6699999999999995E-2</v>
      </c>
      <c r="DF44" s="59">
        <v>0.20150000000000001</v>
      </c>
      <c r="DG44" s="59">
        <v>3.7499999999999999E-2</v>
      </c>
      <c r="DH44" s="59">
        <v>8.5000000000000006E-3</v>
      </c>
      <c r="DI44" s="59">
        <v>8.09E-2</v>
      </c>
      <c r="DJ44" s="59">
        <v>0</v>
      </c>
      <c r="DK44" s="59">
        <v>0.3458</v>
      </c>
      <c r="DL44" s="169">
        <v>0</v>
      </c>
      <c r="DM44" s="59">
        <v>7.2499999999999995E-2</v>
      </c>
      <c r="DN44" s="169">
        <v>0</v>
      </c>
      <c r="DO44" s="184">
        <v>1.0252999999999999</v>
      </c>
      <c r="DP44" s="171">
        <f t="shared" si="13"/>
        <v>1.3519000000000001</v>
      </c>
      <c r="DQ44" s="59">
        <v>6.25E-2</v>
      </c>
      <c r="DR44" s="59">
        <v>8.8700000000000001E-2</v>
      </c>
      <c r="DS44" s="59">
        <v>3.1899999999999998E-2</v>
      </c>
      <c r="DT44" s="59">
        <v>3.2899999999999999E-2</v>
      </c>
      <c r="DU44" s="59">
        <v>1.8499999999999999E-2</v>
      </c>
      <c r="DV44" s="59">
        <v>1.47E-2</v>
      </c>
      <c r="DW44" s="59">
        <v>0</v>
      </c>
      <c r="DX44" s="169">
        <v>0</v>
      </c>
      <c r="DY44" s="59">
        <v>1.2923</v>
      </c>
      <c r="DZ44" s="171">
        <f t="shared" si="14"/>
        <v>1.8941422270370656</v>
      </c>
      <c r="EA44" s="59">
        <v>0.75939999999999996</v>
      </c>
      <c r="EB44" s="171">
        <f t="shared" si="15"/>
        <v>1.7775875691335263</v>
      </c>
      <c r="EC44" s="59">
        <v>0.3145</v>
      </c>
      <c r="ED44" s="171">
        <f t="shared" si="16"/>
        <v>1.8139904610492845</v>
      </c>
      <c r="EE44" s="59">
        <v>3.0099999999999998E-2</v>
      </c>
      <c r="EF44" s="59">
        <v>4.1999999999999997E-3</v>
      </c>
      <c r="EG44" s="59">
        <v>0.06</v>
      </c>
      <c r="EH44" s="59">
        <v>0</v>
      </c>
      <c r="EI44" s="155">
        <v>0.1158</v>
      </c>
      <c r="EJ44" s="172">
        <v>4.7485999999999997</v>
      </c>
      <c r="EK44" s="173"/>
      <c r="EL44" s="59">
        <v>1.0321</v>
      </c>
      <c r="EM44" s="59">
        <v>0.28299999999999997</v>
      </c>
      <c r="EN44" s="59">
        <v>0.1487</v>
      </c>
      <c r="EO44" s="172">
        <v>6.0965999999999996</v>
      </c>
      <c r="ES44" s="57">
        <f t="shared" si="29"/>
        <v>4.7485999999999997</v>
      </c>
      <c r="ET44" s="57">
        <f t="shared" si="30"/>
        <v>6.0965999999999996</v>
      </c>
      <c r="EU44" s="95"/>
      <c r="EV44" s="65">
        <f t="shared" si="17"/>
        <v>1.7432506422945713</v>
      </c>
      <c r="EW44" s="65">
        <f t="shared" si="64"/>
        <v>1.6504609126398322</v>
      </c>
      <c r="EX44" s="185">
        <v>6.3310000000000004</v>
      </c>
      <c r="EY44" s="174">
        <v>8.2439</v>
      </c>
      <c r="EZ44" s="158">
        <f t="shared" si="19"/>
        <v>8.2780000000000005</v>
      </c>
      <c r="FA44" s="158">
        <f t="shared" si="20"/>
        <v>10.062200000000001</v>
      </c>
      <c r="FB44" s="158">
        <f t="shared" si="65"/>
        <v>1.9470000000000001</v>
      </c>
      <c r="FC44" s="158">
        <f t="shared" si="66"/>
        <v>1.8183000000000007</v>
      </c>
      <c r="FD44" s="175">
        <f t="shared" si="67"/>
        <v>0.3075343547622808</v>
      </c>
      <c r="FE44" s="175">
        <f t="shared" si="68"/>
        <v>0.1807060086263442</v>
      </c>
      <c r="FF44" s="158"/>
      <c r="FG44" s="174"/>
      <c r="FH44" s="174">
        <f t="shared" si="33"/>
        <v>52787.150400000006</v>
      </c>
      <c r="FI44" s="174"/>
      <c r="FJ44" s="176">
        <v>1.3569</v>
      </c>
      <c r="FK44" s="209">
        <f t="shared" si="34"/>
        <v>1.2847303723889536</v>
      </c>
      <c r="FL44" s="87">
        <v>1.3707</v>
      </c>
      <c r="FM44" s="87">
        <f t="shared" si="35"/>
        <v>1.2041007606623129</v>
      </c>
      <c r="FO44" s="88">
        <f t="shared" si="21"/>
        <v>52787.150400000006</v>
      </c>
      <c r="FP44" s="79">
        <f t="shared" si="22"/>
        <v>57754.009340000004</v>
      </c>
      <c r="FS44" s="79">
        <f t="shared" si="23"/>
        <v>30280.872479999998</v>
      </c>
      <c r="FT44" s="79">
        <f t="shared" si="24"/>
        <v>34992.655019999998</v>
      </c>
      <c r="FU44" s="79">
        <f t="shared" si="36"/>
        <v>1.7432506422945713</v>
      </c>
      <c r="FV44" s="79">
        <f t="shared" si="36"/>
        <v>1.6504609126398322</v>
      </c>
      <c r="FY44" s="79">
        <f t="shared" si="37"/>
        <v>5273.913800000003</v>
      </c>
      <c r="FZ44" s="79">
        <f t="shared" si="38"/>
        <v>57754.009340000004</v>
      </c>
      <c r="GB44" s="178">
        <f t="shared" si="39"/>
        <v>637.10000000000036</v>
      </c>
      <c r="GC44" s="178">
        <f t="shared" si="40"/>
        <v>5739.7</v>
      </c>
      <c r="GG44" s="14">
        <v>6.5185000000000013</v>
      </c>
      <c r="GH44" s="175">
        <f t="shared" si="41"/>
        <v>1.2699240622842676</v>
      </c>
      <c r="GI44" s="14">
        <v>8.5789000000000009</v>
      </c>
      <c r="GJ44" s="175">
        <f t="shared" si="42"/>
        <v>1.1729009546678477</v>
      </c>
      <c r="GK44" s="175">
        <f t="shared" si="62"/>
        <v>9.7023107616419857E-2</v>
      </c>
      <c r="GN44" s="14">
        <v>8.6679000000000013</v>
      </c>
      <c r="GO44" s="175">
        <f t="shared" si="44"/>
        <v>1.3297384367569225</v>
      </c>
      <c r="GP44" s="179">
        <f t="shared" si="45"/>
        <v>0.95501793975472715</v>
      </c>
      <c r="GQ44" s="14">
        <v>10.309200000000001</v>
      </c>
      <c r="GR44" s="175">
        <f t="shared" si="46"/>
        <v>1.2016925246826515</v>
      </c>
      <c r="GS44" s="175">
        <f t="shared" si="47"/>
        <v>0.97604081791021613</v>
      </c>
      <c r="GV44" s="32">
        <f t="shared" si="25"/>
        <v>5273.913800000003</v>
      </c>
      <c r="GW44" s="32">
        <f t="shared" si="26"/>
        <v>57754.009340000004</v>
      </c>
      <c r="GX44" s="180">
        <f t="shared" si="48"/>
        <v>63027.923140000006</v>
      </c>
      <c r="GZ44" s="32">
        <f t="shared" si="49"/>
        <v>8.2780000000000005</v>
      </c>
      <c r="HA44" s="32">
        <f t="shared" si="50"/>
        <v>10.062200000000001</v>
      </c>
      <c r="HB44" s="32">
        <f t="shared" si="51"/>
        <v>9.8839422813950577</v>
      </c>
    </row>
    <row r="45" spans="1:210" ht="19.2" customHeight="1" x14ac:dyDescent="0.3">
      <c r="A45" s="50">
        <v>37</v>
      </c>
      <c r="B45" s="51" t="s">
        <v>532</v>
      </c>
      <c r="C45" s="150" t="s">
        <v>518</v>
      </c>
      <c r="D45" s="52">
        <v>9</v>
      </c>
      <c r="E45" s="52">
        <v>2</v>
      </c>
      <c r="F45" s="63">
        <v>72</v>
      </c>
      <c r="G45" s="54" t="s">
        <v>191</v>
      </c>
      <c r="H45" s="181" t="s">
        <v>173</v>
      </c>
      <c r="I45" s="55">
        <f t="shared" si="27"/>
        <v>402.5</v>
      </c>
      <c r="J45" s="55">
        <f t="shared" si="0"/>
        <v>3372.9</v>
      </c>
      <c r="K45" s="55">
        <f t="shared" si="1"/>
        <v>0</v>
      </c>
      <c r="L45" s="56">
        <v>3775.4</v>
      </c>
      <c r="M45" s="56">
        <v>3775.4</v>
      </c>
      <c r="N45" s="56">
        <f t="shared" si="28"/>
        <v>402.5</v>
      </c>
      <c r="O45" s="56">
        <v>0</v>
      </c>
      <c r="P45" s="56">
        <v>0</v>
      </c>
      <c r="Q45" s="55"/>
      <c r="R45" s="55">
        <v>3775.4</v>
      </c>
      <c r="S45" s="55"/>
      <c r="T45" s="55">
        <v>3372.9</v>
      </c>
      <c r="U45" s="152">
        <v>402.5</v>
      </c>
      <c r="V45" s="57">
        <v>0.14399999999999999</v>
      </c>
      <c r="W45" s="57">
        <v>6.9199999999999998E-2</v>
      </c>
      <c r="X45" s="153">
        <v>0.3019</v>
      </c>
      <c r="Y45" s="153">
        <v>6.8500000000000005E-2</v>
      </c>
      <c r="Z45" s="57">
        <v>2.3300000000000001E-2</v>
      </c>
      <c r="AA45" s="57">
        <v>0.20119999999999999</v>
      </c>
      <c r="AB45" s="57">
        <v>0</v>
      </c>
      <c r="AC45" s="153">
        <v>0.63149999999999995</v>
      </c>
      <c r="AD45" s="57">
        <v>0.15079999999999999</v>
      </c>
      <c r="AE45" s="57">
        <v>0</v>
      </c>
      <c r="AF45" s="57">
        <v>1.9574</v>
      </c>
      <c r="AG45" s="57">
        <v>0.19089999999999999</v>
      </c>
      <c r="AH45" s="57">
        <v>0.24940000000000001</v>
      </c>
      <c r="AI45" s="57">
        <v>0.1012</v>
      </c>
      <c r="AJ45" s="57">
        <v>9.2100000000000001E-2</v>
      </c>
      <c r="AK45" s="57">
        <v>4.53E-2</v>
      </c>
      <c r="AL45" s="57">
        <v>3.9699999999999999E-2</v>
      </c>
      <c r="AM45" s="57">
        <v>3.04E-2</v>
      </c>
      <c r="AN45" s="57">
        <v>0</v>
      </c>
      <c r="AO45" s="57">
        <v>2.1534</v>
      </c>
      <c r="AP45" s="153">
        <v>1.5085999999999999</v>
      </c>
      <c r="AQ45" s="153">
        <v>8.5300000000000001E-2</v>
      </c>
      <c r="AR45" s="57">
        <v>0.47120000000000001</v>
      </c>
      <c r="AS45" s="57">
        <v>3.5999999999999997E-2</v>
      </c>
      <c r="AT45" s="153">
        <v>5.7999999999999996E-3</v>
      </c>
      <c r="AU45" s="153">
        <v>0.2303</v>
      </c>
      <c r="AV45" s="153">
        <v>0</v>
      </c>
      <c r="AW45" s="154">
        <v>8.7873999999999999</v>
      </c>
      <c r="AX45" s="58">
        <v>0.43940000000000001</v>
      </c>
      <c r="AY45" s="155">
        <f t="shared" si="2"/>
        <v>0.43509999999999999</v>
      </c>
      <c r="AZ45" s="155">
        <f t="shared" si="3"/>
        <v>4.300000000000026E-3</v>
      </c>
      <c r="BA45" s="14">
        <v>9.2268000000000008</v>
      </c>
      <c r="BB45" s="59">
        <f>BA45-'[1]Тариф 26 свод без  ПДВ'!AU45</f>
        <v>-4.6999999999997044E-3</v>
      </c>
      <c r="BC45" s="57">
        <v>2.0320999999999998</v>
      </c>
      <c r="BD45" s="57">
        <v>0</v>
      </c>
      <c r="BE45" s="57">
        <v>0.4143</v>
      </c>
      <c r="BF45" s="156">
        <v>11.2338</v>
      </c>
      <c r="BG45" s="59">
        <v>0.56169999999999998</v>
      </c>
      <c r="BH45" s="59"/>
      <c r="BI45" s="59"/>
      <c r="BJ45" s="14">
        <v>11.795500000000001</v>
      </c>
      <c r="BK45" s="60"/>
      <c r="BL45" s="60">
        <v>4.4239000000000015</v>
      </c>
      <c r="BM45" s="60">
        <v>0.22120000000000001</v>
      </c>
      <c r="BN45" s="14">
        <v>4.6451000000000011</v>
      </c>
      <c r="BO45" s="14"/>
      <c r="BP45" s="157"/>
      <c r="BQ45" s="158">
        <f>BJ45-'[1]Тариф 26 свод без  ПДВ'!BG45</f>
        <v>-2.3999999999997357E-3</v>
      </c>
      <c r="BR45" s="77">
        <f>'[1]Тариф 26 свод без  ПДВ'!BG45</f>
        <v>11.7979</v>
      </c>
      <c r="BS45" s="159">
        <f t="shared" si="4"/>
        <v>-2.3999999999997357E-3</v>
      </c>
      <c r="BU45" s="77">
        <f>'[1]Тариф 26 свод без  ПДВ'!AU45</f>
        <v>9.2315000000000005</v>
      </c>
      <c r="BV45" s="159">
        <f t="shared" si="5"/>
        <v>-4.6999999999997044E-3</v>
      </c>
      <c r="BX45" s="95">
        <v>4.5132000000000003</v>
      </c>
      <c r="BY45" s="95">
        <v>5.7373000000000003</v>
      </c>
      <c r="BZ45" s="95"/>
      <c r="CA45" s="186">
        <f t="shared" si="6"/>
        <v>2.0444030842860941</v>
      </c>
      <c r="CB45" s="186">
        <f t="shared" si="7"/>
        <v>2.055932232931867</v>
      </c>
      <c r="CD45" s="160">
        <f t="shared" ref="CD45:CD60" si="69">L45-CE45</f>
        <v>402.5</v>
      </c>
      <c r="CE45" s="160">
        <f t="shared" ref="CE45:CE60" si="70">T45</f>
        <v>3372.9</v>
      </c>
      <c r="CF45" s="77">
        <f t="shared" ref="CF45:CF60" si="71">CD45*BA45</f>
        <v>3713.7870000000003</v>
      </c>
      <c r="CG45" s="77">
        <f t="shared" ref="CG45:CG60" si="72">BJ45*CE45</f>
        <v>39785.041950000006</v>
      </c>
      <c r="CI45" s="160">
        <f>'[1]0 СВОД'!AYY60</f>
        <v>43499.370800945893</v>
      </c>
      <c r="CJ45" s="77">
        <f t="shared" si="12"/>
        <v>521992.44961135072</v>
      </c>
      <c r="CM45" s="161">
        <v>40</v>
      </c>
      <c r="CN45" s="183" t="s">
        <v>533</v>
      </c>
      <c r="CO45" s="163">
        <v>9</v>
      </c>
      <c r="CP45" s="163">
        <v>2</v>
      </c>
      <c r="CQ45" s="164" t="s">
        <v>191</v>
      </c>
      <c r="CR45" s="165" t="s">
        <v>173</v>
      </c>
      <c r="CS45" s="166">
        <v>401.90999999999985</v>
      </c>
      <c r="CT45" s="166">
        <v>3367.29</v>
      </c>
      <c r="CU45" s="167">
        <v>0</v>
      </c>
      <c r="CV45" s="168">
        <v>3769.2</v>
      </c>
      <c r="CW45" s="166">
        <v>3769.2</v>
      </c>
      <c r="CX45" s="167">
        <v>0</v>
      </c>
      <c r="CY45" s="166">
        <v>0</v>
      </c>
      <c r="CZ45" s="166"/>
      <c r="DA45" s="166">
        <v>3769.2</v>
      </c>
      <c r="DB45" s="166"/>
      <c r="DC45" s="166">
        <v>3367.29</v>
      </c>
      <c r="DD45" s="59">
        <v>0.1416</v>
      </c>
      <c r="DE45" s="59">
        <v>0.11260000000000001</v>
      </c>
      <c r="DF45" s="59">
        <v>0.1988</v>
      </c>
      <c r="DG45" s="59">
        <v>4.0399999999999998E-2</v>
      </c>
      <c r="DH45" s="59">
        <v>8.8000000000000005E-3</v>
      </c>
      <c r="DI45" s="59">
        <v>8.5900000000000004E-2</v>
      </c>
      <c r="DJ45" s="59">
        <v>4.8099999999999997E-2</v>
      </c>
      <c r="DK45" s="59">
        <v>0.3458</v>
      </c>
      <c r="DL45" s="169">
        <v>0</v>
      </c>
      <c r="DM45" s="59">
        <v>9.1899999999999996E-2</v>
      </c>
      <c r="DN45" s="169">
        <v>0</v>
      </c>
      <c r="DO45" s="184">
        <v>1.4122999999999999</v>
      </c>
      <c r="DP45" s="171">
        <f t="shared" si="13"/>
        <v>1.9574</v>
      </c>
      <c r="DQ45" s="59">
        <v>9.2100000000000001E-2</v>
      </c>
      <c r="DR45" s="59">
        <v>0.14979999999999999</v>
      </c>
      <c r="DS45" s="59">
        <v>2.63E-2</v>
      </c>
      <c r="DT45" s="59">
        <v>4.3700000000000003E-2</v>
      </c>
      <c r="DU45" s="59">
        <v>1.9099999999999999E-2</v>
      </c>
      <c r="DV45" s="59">
        <v>1.4E-2</v>
      </c>
      <c r="DW45" s="59">
        <v>7.7000000000000002E-3</v>
      </c>
      <c r="DX45" s="169">
        <v>0</v>
      </c>
      <c r="DY45" s="59">
        <v>1.0262</v>
      </c>
      <c r="DZ45" s="171">
        <f t="shared" si="14"/>
        <v>2.0984213603586044</v>
      </c>
      <c r="EA45" s="59">
        <v>0.88829999999999998</v>
      </c>
      <c r="EB45" s="171">
        <f t="shared" si="15"/>
        <v>1.7943262411347516</v>
      </c>
      <c r="EC45" s="59">
        <v>0.1966</v>
      </c>
      <c r="ED45" s="171">
        <f t="shared" si="16"/>
        <v>2.3967446592065107</v>
      </c>
      <c r="EE45" s="59">
        <v>2.76E-2</v>
      </c>
      <c r="EF45" s="59">
        <v>3.8E-3</v>
      </c>
      <c r="EG45" s="59">
        <v>0.1711</v>
      </c>
      <c r="EH45" s="59">
        <v>0</v>
      </c>
      <c r="EI45" s="155">
        <v>0.1288</v>
      </c>
      <c r="EJ45" s="172">
        <v>5.281299999999999</v>
      </c>
      <c r="EK45" s="173"/>
      <c r="EL45" s="59">
        <v>1.7593000000000001</v>
      </c>
      <c r="EM45" s="59">
        <v>0.2321</v>
      </c>
      <c r="EN45" s="59">
        <v>0.17860000000000001</v>
      </c>
      <c r="EO45" s="172">
        <v>7.3224999999999998</v>
      </c>
      <c r="ES45" s="57">
        <f t="shared" si="29"/>
        <v>5.281299999999999</v>
      </c>
      <c r="ET45" s="57">
        <f t="shared" si="30"/>
        <v>7.3224999999999998</v>
      </c>
      <c r="EU45" s="31"/>
      <c r="EV45" s="61">
        <f t="shared" si="17"/>
        <v>1.7470698502262705</v>
      </c>
      <c r="EW45" s="61">
        <f t="shared" si="64"/>
        <v>1.610856947763742</v>
      </c>
      <c r="EX45" s="174">
        <v>6.9062999999999999</v>
      </c>
      <c r="EY45" s="174">
        <v>9.7481000000000009</v>
      </c>
      <c r="EZ45" s="158">
        <f t="shared" si="19"/>
        <v>9.2268000000000008</v>
      </c>
      <c r="FA45" s="158">
        <f t="shared" si="20"/>
        <v>11.795500000000001</v>
      </c>
      <c r="FB45" s="158">
        <f t="shared" si="65"/>
        <v>2.3205000000000009</v>
      </c>
      <c r="FC45" s="158">
        <f t="shared" si="66"/>
        <v>2.0473999999999997</v>
      </c>
      <c r="FD45" s="175">
        <f t="shared" si="67"/>
        <v>0.3359975674384259</v>
      </c>
      <c r="FE45" s="175">
        <f t="shared" si="68"/>
        <v>0.17357466830570978</v>
      </c>
      <c r="FF45" s="158"/>
      <c r="FG45" s="174"/>
      <c r="FH45" s="174">
        <f t="shared" si="33"/>
        <v>34834.860720000004</v>
      </c>
      <c r="FI45" s="174"/>
      <c r="FJ45" s="176">
        <v>1.3077000000000001</v>
      </c>
      <c r="FK45" s="176">
        <f t="shared" si="34"/>
        <v>1.3359867326040149</v>
      </c>
      <c r="FL45" s="87">
        <v>1.3312999999999999</v>
      </c>
      <c r="FM45" s="177">
        <f t="shared" si="35"/>
        <v>1.2099879424350199</v>
      </c>
      <c r="FO45" s="88">
        <f t="shared" si="21"/>
        <v>34834.860720000004</v>
      </c>
      <c r="FP45" s="79">
        <f t="shared" si="22"/>
        <v>39785.041950000006</v>
      </c>
      <c r="FS45" s="79">
        <f t="shared" si="23"/>
        <v>19939.020019999996</v>
      </c>
      <c r="FT45" s="79">
        <f t="shared" si="24"/>
        <v>24698.060249999999</v>
      </c>
      <c r="FU45" s="79">
        <f t="shared" si="36"/>
        <v>1.7470698502262705</v>
      </c>
      <c r="FV45" s="79">
        <f t="shared" si="36"/>
        <v>1.6108569477637422</v>
      </c>
      <c r="FY45" s="79">
        <f t="shared" si="37"/>
        <v>3713.7870000000003</v>
      </c>
      <c r="FZ45" s="79">
        <f t="shared" si="38"/>
        <v>39785.041950000006</v>
      </c>
      <c r="GB45" s="178">
        <f t="shared" si="39"/>
        <v>402.5</v>
      </c>
      <c r="GC45" s="178">
        <f t="shared" si="40"/>
        <v>3372.9</v>
      </c>
      <c r="GG45" s="14">
        <v>7.2655000000000012</v>
      </c>
      <c r="GH45" s="175">
        <f t="shared" si="41"/>
        <v>1.2699470098410295</v>
      </c>
      <c r="GI45" s="14">
        <v>10.124300000000002</v>
      </c>
      <c r="GJ45" s="175">
        <f t="shared" si="42"/>
        <v>1.165068202246081</v>
      </c>
      <c r="GK45" s="175">
        <f t="shared" si="62"/>
        <v>0.1048788075949485</v>
      </c>
      <c r="GN45" s="14">
        <v>9.2989000000000015</v>
      </c>
      <c r="GO45" s="175">
        <f t="shared" si="44"/>
        <v>1.2798706214300462</v>
      </c>
      <c r="GP45" s="179">
        <f t="shared" si="45"/>
        <v>0.99224639473486098</v>
      </c>
      <c r="GQ45" s="14">
        <v>11.582300000000002</v>
      </c>
      <c r="GR45" s="175">
        <f t="shared" si="46"/>
        <v>1.1440099562438886</v>
      </c>
      <c r="GS45" s="175">
        <f t="shared" si="47"/>
        <v>1.0184073974944525</v>
      </c>
      <c r="GV45" s="32">
        <f t="shared" si="25"/>
        <v>3713.7870000000003</v>
      </c>
      <c r="GW45" s="32">
        <f t="shared" si="26"/>
        <v>39785.041950000006</v>
      </c>
      <c r="GX45" s="180">
        <f t="shared" si="48"/>
        <v>43498.82895000001</v>
      </c>
      <c r="GZ45" s="32">
        <f t="shared" si="49"/>
        <v>9.2268000000000008</v>
      </c>
      <c r="HA45" s="32">
        <f t="shared" si="50"/>
        <v>11.795500000000002</v>
      </c>
      <c r="HB45" s="32">
        <f t="shared" si="51"/>
        <v>11.521647759177839</v>
      </c>
    </row>
    <row r="46" spans="1:210" ht="19.2" customHeight="1" x14ac:dyDescent="0.3">
      <c r="A46" s="50">
        <v>38</v>
      </c>
      <c r="B46" s="51" t="s">
        <v>534</v>
      </c>
      <c r="C46" s="150" t="s">
        <v>518</v>
      </c>
      <c r="D46" s="52">
        <v>9</v>
      </c>
      <c r="E46" s="52">
        <v>2</v>
      </c>
      <c r="F46" s="63">
        <v>72</v>
      </c>
      <c r="G46" s="54" t="s">
        <v>192</v>
      </c>
      <c r="H46" s="181" t="s">
        <v>193</v>
      </c>
      <c r="I46" s="55">
        <f t="shared" si="27"/>
        <v>567.19999999999982</v>
      </c>
      <c r="J46" s="55">
        <f t="shared" si="0"/>
        <v>4032.8</v>
      </c>
      <c r="K46" s="55">
        <f t="shared" si="1"/>
        <v>0</v>
      </c>
      <c r="L46" s="56">
        <v>4600</v>
      </c>
      <c r="M46" s="56">
        <v>4600</v>
      </c>
      <c r="N46" s="56">
        <f t="shared" si="28"/>
        <v>567.19999999999982</v>
      </c>
      <c r="O46" s="56">
        <v>0</v>
      </c>
      <c r="P46" s="56">
        <v>0</v>
      </c>
      <c r="Q46" s="55"/>
      <c r="R46" s="55">
        <v>4600</v>
      </c>
      <c r="S46" s="55"/>
      <c r="T46" s="55">
        <v>4032.8</v>
      </c>
      <c r="U46" s="152">
        <v>567.19999999999982</v>
      </c>
      <c r="V46" s="57">
        <v>0.11650000000000001</v>
      </c>
      <c r="W46" s="57">
        <v>5.6800000000000003E-2</v>
      </c>
      <c r="X46" s="153">
        <v>0.28260000000000002</v>
      </c>
      <c r="Y46" s="153">
        <v>8.2699999999999996E-2</v>
      </c>
      <c r="Z46" s="57">
        <v>4.3400000000000001E-2</v>
      </c>
      <c r="AA46" s="57">
        <v>0.29849999999999999</v>
      </c>
      <c r="AB46" s="57">
        <v>0</v>
      </c>
      <c r="AC46" s="153">
        <v>0.63149999999999995</v>
      </c>
      <c r="AD46" s="57">
        <v>0.12379999999999999</v>
      </c>
      <c r="AE46" s="57">
        <v>0</v>
      </c>
      <c r="AF46" s="57">
        <v>1.8629</v>
      </c>
      <c r="AG46" s="57">
        <v>0.15409999999999999</v>
      </c>
      <c r="AH46" s="57">
        <v>0.20480000000000001</v>
      </c>
      <c r="AI46" s="57">
        <v>0.1158</v>
      </c>
      <c r="AJ46" s="57">
        <v>0.21590000000000001</v>
      </c>
      <c r="AK46" s="57">
        <v>8.4500000000000006E-2</v>
      </c>
      <c r="AL46" s="57">
        <v>0.14169999999999999</v>
      </c>
      <c r="AM46" s="57">
        <v>3.1199999999999999E-2</v>
      </c>
      <c r="AN46" s="57">
        <v>0</v>
      </c>
      <c r="AO46" s="57">
        <v>2.7563</v>
      </c>
      <c r="AP46" s="153">
        <v>1.601</v>
      </c>
      <c r="AQ46" s="153">
        <v>7.6600000000000001E-2</v>
      </c>
      <c r="AR46" s="57">
        <v>0.4919</v>
      </c>
      <c r="AS46" s="57">
        <v>2.8899999999999999E-2</v>
      </c>
      <c r="AT46" s="153">
        <v>4.7000000000000002E-3</v>
      </c>
      <c r="AU46" s="153">
        <v>0.35110000000000002</v>
      </c>
      <c r="AV46" s="153">
        <v>0</v>
      </c>
      <c r="AW46" s="154">
        <v>9.757200000000001</v>
      </c>
      <c r="AX46" s="58">
        <v>0.4879</v>
      </c>
      <c r="AY46" s="155">
        <f t="shared" si="2"/>
        <v>0.48399999999999999</v>
      </c>
      <c r="AZ46" s="155">
        <f t="shared" si="3"/>
        <v>3.9000000000000146E-3</v>
      </c>
      <c r="BA46" s="14">
        <v>10.245100000000001</v>
      </c>
      <c r="BB46" s="59">
        <f>BA46-'[1]Тариф 26 свод без  ПДВ'!AU46</f>
        <v>-3.6999999999984823E-3</v>
      </c>
      <c r="BC46" s="57">
        <v>1.6996</v>
      </c>
      <c r="BD46" s="57">
        <v>0</v>
      </c>
      <c r="BE46" s="57">
        <v>0.48509999999999998</v>
      </c>
      <c r="BF46" s="156">
        <v>11.9419</v>
      </c>
      <c r="BG46" s="59">
        <v>0.59709999999999996</v>
      </c>
      <c r="BH46" s="59"/>
      <c r="BI46" s="59"/>
      <c r="BJ46" s="14">
        <v>12.539</v>
      </c>
      <c r="BK46" s="60"/>
      <c r="BL46" s="60">
        <v>4.5569000000000006</v>
      </c>
      <c r="BM46" s="60">
        <v>0.2278</v>
      </c>
      <c r="BN46" s="14">
        <v>4.7847000000000008</v>
      </c>
      <c r="BO46" s="14"/>
      <c r="BP46" s="157"/>
      <c r="BQ46" s="158">
        <f>BJ46-'[1]Тариф 26 свод без  ПДВ'!BG46</f>
        <v>-2.6000000000010459E-3</v>
      </c>
      <c r="BR46" s="77">
        <f>'[1]Тариф 26 свод без  ПДВ'!BG46</f>
        <v>12.541600000000001</v>
      </c>
      <c r="BS46" s="159">
        <f t="shared" si="4"/>
        <v>-2.6000000000010459E-3</v>
      </c>
      <c r="BU46" s="77">
        <f>'[1]Тариф 26 свод без  ПДВ'!AU46</f>
        <v>10.248799999999999</v>
      </c>
      <c r="BV46" s="159">
        <f t="shared" si="5"/>
        <v>-3.6999999999984823E-3</v>
      </c>
      <c r="BX46" s="95">
        <v>4.1874000000000002</v>
      </c>
      <c r="BY46" s="95">
        <v>5.6033999999999997</v>
      </c>
      <c r="BZ46" s="95"/>
      <c r="CA46" s="182">
        <f t="shared" si="6"/>
        <v>2.4466494722262024</v>
      </c>
      <c r="CB46" s="182">
        <f t="shared" si="7"/>
        <v>2.2377485098333154</v>
      </c>
      <c r="CD46" s="160">
        <f t="shared" si="69"/>
        <v>567.19999999999982</v>
      </c>
      <c r="CE46" s="160">
        <f t="shared" si="70"/>
        <v>4032.8</v>
      </c>
      <c r="CF46" s="77">
        <f t="shared" si="71"/>
        <v>5811.0207199999986</v>
      </c>
      <c r="CG46" s="77">
        <f t="shared" si="72"/>
        <v>50567.279200000004</v>
      </c>
      <c r="CI46" s="160">
        <f>'[1]0 СВОД'!AYY61</f>
        <v>56377.655138970273</v>
      </c>
      <c r="CJ46" s="77">
        <f t="shared" si="12"/>
        <v>676531.8616676433</v>
      </c>
      <c r="CM46" s="161">
        <v>41</v>
      </c>
      <c r="CN46" s="183" t="s">
        <v>535</v>
      </c>
      <c r="CO46" s="163">
        <v>9</v>
      </c>
      <c r="CP46" s="163">
        <v>2</v>
      </c>
      <c r="CQ46" s="164" t="s">
        <v>192</v>
      </c>
      <c r="CR46" s="165" t="s">
        <v>193</v>
      </c>
      <c r="CS46" s="166">
        <v>567.19999999999982</v>
      </c>
      <c r="CT46" s="166">
        <v>4029.2</v>
      </c>
      <c r="CU46" s="167">
        <v>0</v>
      </c>
      <c r="CV46" s="168">
        <v>4596.3999999999996</v>
      </c>
      <c r="CW46" s="166">
        <v>4596.3999999999996</v>
      </c>
      <c r="CX46" s="167">
        <v>0</v>
      </c>
      <c r="CY46" s="166">
        <v>0</v>
      </c>
      <c r="CZ46" s="166"/>
      <c r="DA46" s="166">
        <v>4596.3999999999996</v>
      </c>
      <c r="DB46" s="166"/>
      <c r="DC46" s="166">
        <v>4029.2</v>
      </c>
      <c r="DD46" s="59">
        <v>0.1144</v>
      </c>
      <c r="DE46" s="59">
        <v>9.2299999999999993E-2</v>
      </c>
      <c r="DF46" s="59">
        <v>0.186</v>
      </c>
      <c r="DG46" s="59">
        <v>4.8800000000000003E-2</v>
      </c>
      <c r="DH46" s="59">
        <v>1.6299999999999999E-2</v>
      </c>
      <c r="DI46" s="59">
        <v>0.12970000000000001</v>
      </c>
      <c r="DJ46" s="59">
        <v>4.8099999999999997E-2</v>
      </c>
      <c r="DK46" s="59">
        <v>0.3458</v>
      </c>
      <c r="DL46" s="169">
        <v>0</v>
      </c>
      <c r="DM46" s="59">
        <v>7.5399999999999995E-2</v>
      </c>
      <c r="DN46" s="169">
        <v>0</v>
      </c>
      <c r="DO46" s="184">
        <v>1.4702000000000002</v>
      </c>
      <c r="DP46" s="171">
        <f t="shared" si="13"/>
        <v>1.8629</v>
      </c>
      <c r="DQ46" s="59">
        <v>7.4300000000000005E-2</v>
      </c>
      <c r="DR46" s="59">
        <v>0.1229</v>
      </c>
      <c r="DS46" s="59">
        <v>3.0099999999999998E-2</v>
      </c>
      <c r="DT46" s="59">
        <v>0.1021</v>
      </c>
      <c r="DU46" s="59">
        <v>3.5700000000000003E-2</v>
      </c>
      <c r="DV46" s="59">
        <v>4.9000000000000002E-2</v>
      </c>
      <c r="DW46" s="59">
        <v>8.0999999999999996E-3</v>
      </c>
      <c r="DX46" s="169">
        <v>0</v>
      </c>
      <c r="DY46" s="59">
        <v>1.4899</v>
      </c>
      <c r="DZ46" s="171">
        <f t="shared" si="14"/>
        <v>1.8499899322102153</v>
      </c>
      <c r="EA46" s="59">
        <v>0.94199999999999995</v>
      </c>
      <c r="EB46" s="171">
        <f t="shared" si="15"/>
        <v>1.780891719745223</v>
      </c>
      <c r="EC46" s="59">
        <v>0.26090000000000002</v>
      </c>
      <c r="ED46" s="171">
        <f t="shared" si="16"/>
        <v>1.8853967037178994</v>
      </c>
      <c r="EE46" s="59">
        <v>2.2100000000000002E-2</v>
      </c>
      <c r="EF46" s="59">
        <v>3.0999999999999999E-3</v>
      </c>
      <c r="EG46" s="59">
        <v>0.26300000000000001</v>
      </c>
      <c r="EH46" s="59">
        <v>0</v>
      </c>
      <c r="EI46" s="155">
        <v>0.14829999999999999</v>
      </c>
      <c r="EJ46" s="172">
        <v>6.0785</v>
      </c>
      <c r="EK46" s="173"/>
      <c r="EL46" s="59">
        <v>1.0586</v>
      </c>
      <c r="EM46" s="59">
        <v>0.35730000000000001</v>
      </c>
      <c r="EN46" s="59">
        <v>0.1837</v>
      </c>
      <c r="EO46" s="172">
        <v>7.5298000000000007</v>
      </c>
      <c r="ES46" s="57">
        <f t="shared" si="29"/>
        <v>6.0785</v>
      </c>
      <c r="ET46" s="57">
        <f t="shared" si="30"/>
        <v>7.5298000000000007</v>
      </c>
      <c r="EU46" s="31"/>
      <c r="EV46" s="65">
        <f t="shared" si="17"/>
        <v>1.6854651641029861</v>
      </c>
      <c r="EW46" s="65">
        <f t="shared" si="64"/>
        <v>1.6652500730431086</v>
      </c>
      <c r="EX46" s="185">
        <v>7.6340000000000003</v>
      </c>
      <c r="EY46" s="79">
        <v>10.2821</v>
      </c>
      <c r="EZ46" s="158">
        <f t="shared" si="19"/>
        <v>10.245100000000001</v>
      </c>
      <c r="FA46" s="210">
        <f t="shared" si="20"/>
        <v>12.539</v>
      </c>
      <c r="FB46" s="158">
        <f t="shared" si="65"/>
        <v>2.6111000000000004</v>
      </c>
      <c r="FC46" s="158">
        <f t="shared" si="66"/>
        <v>2.2568999999999999</v>
      </c>
      <c r="FD46" s="175">
        <f t="shared" si="67"/>
        <v>0.34203563007597593</v>
      </c>
      <c r="FE46" s="175">
        <f t="shared" si="68"/>
        <v>0.17999042985884042</v>
      </c>
      <c r="FF46" s="158"/>
      <c r="FG46" s="174"/>
      <c r="FH46" s="174">
        <f t="shared" si="33"/>
        <v>47127.460000000006</v>
      </c>
      <c r="FI46" s="174"/>
      <c r="FJ46" s="176">
        <v>1.3099000000000001</v>
      </c>
      <c r="FK46" s="87">
        <f t="shared" si="34"/>
        <v>1.2867128514413206</v>
      </c>
      <c r="FL46" s="87">
        <v>1.4091</v>
      </c>
      <c r="FM46" s="87">
        <f t="shared" si="35"/>
        <v>1.181782750012851</v>
      </c>
      <c r="FO46" s="88">
        <f t="shared" si="21"/>
        <v>47127.460000000006</v>
      </c>
      <c r="FP46" s="79">
        <f t="shared" si="22"/>
        <v>50567.279200000004</v>
      </c>
      <c r="FS46" s="79">
        <f t="shared" si="23"/>
        <v>27961.1</v>
      </c>
      <c r="FT46" s="79">
        <f t="shared" si="24"/>
        <v>30366.177440000003</v>
      </c>
      <c r="FU46" s="79">
        <f t="shared" si="36"/>
        <v>1.6854651641029863</v>
      </c>
      <c r="FV46" s="79">
        <f t="shared" si="36"/>
        <v>1.6652500730431088</v>
      </c>
      <c r="FY46" s="79">
        <f t="shared" si="37"/>
        <v>5811.0207199999986</v>
      </c>
      <c r="FZ46" s="79">
        <f t="shared" si="38"/>
        <v>50567.279200000004</v>
      </c>
      <c r="GB46" s="178">
        <f t="shared" si="39"/>
        <v>567.19999999999982</v>
      </c>
      <c r="GC46" s="178">
        <f t="shared" si="40"/>
        <v>4032.8</v>
      </c>
      <c r="GG46" s="14">
        <v>8.0673999999999992</v>
      </c>
      <c r="GH46" s="175">
        <f t="shared" si="41"/>
        <v>1.2699382700746216</v>
      </c>
      <c r="GI46" s="14">
        <v>10.743599999999997</v>
      </c>
      <c r="GJ46" s="175">
        <f t="shared" si="42"/>
        <v>1.1671134442831084</v>
      </c>
      <c r="GK46" s="175">
        <f t="shared" si="62"/>
        <v>0.1028248257915132</v>
      </c>
      <c r="GN46" s="14">
        <v>10.458599999999999</v>
      </c>
      <c r="GO46" s="175">
        <f t="shared" si="44"/>
        <v>1.296402806356447</v>
      </c>
      <c r="GP46" s="179">
        <f t="shared" si="45"/>
        <v>0.97958617788231717</v>
      </c>
      <c r="GQ46" s="14">
        <v>12.592700000000001</v>
      </c>
      <c r="GR46" s="175">
        <f t="shared" si="46"/>
        <v>1.1721117688670468</v>
      </c>
      <c r="GS46" s="175">
        <f t="shared" si="47"/>
        <v>0.99573562460790765</v>
      </c>
      <c r="GV46" s="32">
        <f t="shared" si="25"/>
        <v>5811.0207199999986</v>
      </c>
      <c r="GW46" s="32">
        <f t="shared" si="26"/>
        <v>50567.279200000004</v>
      </c>
      <c r="GX46" s="180">
        <f t="shared" si="48"/>
        <v>56378.299920000005</v>
      </c>
      <c r="GZ46" s="32">
        <f t="shared" si="49"/>
        <v>10.245100000000001</v>
      </c>
      <c r="HA46" s="32">
        <f t="shared" si="50"/>
        <v>12.539</v>
      </c>
      <c r="HB46" s="32">
        <f t="shared" si="51"/>
        <v>12.25615215652174</v>
      </c>
    </row>
    <row r="47" spans="1:210" ht="19.2" customHeight="1" x14ac:dyDescent="0.3">
      <c r="A47" s="50">
        <v>39</v>
      </c>
      <c r="B47" s="51" t="s">
        <v>536</v>
      </c>
      <c r="C47" s="150" t="s">
        <v>518</v>
      </c>
      <c r="D47" s="52">
        <v>9</v>
      </c>
      <c r="E47" s="52">
        <v>4</v>
      </c>
      <c r="F47" s="63">
        <v>142</v>
      </c>
      <c r="G47" s="54" t="s">
        <v>194</v>
      </c>
      <c r="H47" s="181" t="s">
        <v>193</v>
      </c>
      <c r="I47" s="55">
        <f t="shared" si="27"/>
        <v>940.5</v>
      </c>
      <c r="J47" s="55">
        <f t="shared" si="0"/>
        <v>7406</v>
      </c>
      <c r="K47" s="55">
        <f t="shared" si="1"/>
        <v>0</v>
      </c>
      <c r="L47" s="56">
        <v>8346.5</v>
      </c>
      <c r="M47" s="56">
        <v>8346.5</v>
      </c>
      <c r="N47" s="56">
        <f t="shared" si="28"/>
        <v>940.5</v>
      </c>
      <c r="O47" s="56">
        <v>0</v>
      </c>
      <c r="P47" s="56">
        <v>0</v>
      </c>
      <c r="Q47" s="55"/>
      <c r="R47" s="55">
        <v>8346.5</v>
      </c>
      <c r="S47" s="55"/>
      <c r="T47" s="55">
        <v>7406</v>
      </c>
      <c r="U47" s="152">
        <v>940.5</v>
      </c>
      <c r="V47" s="57">
        <v>8.3699999999999997E-2</v>
      </c>
      <c r="W47" s="57">
        <v>4.5900000000000003E-2</v>
      </c>
      <c r="X47" s="153">
        <v>0.30349999999999999</v>
      </c>
      <c r="Y47" s="153">
        <v>6.4000000000000001E-2</v>
      </c>
      <c r="Z47" s="57">
        <v>4.7899999999999998E-2</v>
      </c>
      <c r="AA47" s="57">
        <v>0.37230000000000002</v>
      </c>
      <c r="AB47" s="57">
        <v>0</v>
      </c>
      <c r="AC47" s="153">
        <v>0.63149999999999995</v>
      </c>
      <c r="AD47" s="57">
        <v>0.13450000000000001</v>
      </c>
      <c r="AE47" s="57">
        <v>0</v>
      </c>
      <c r="AF47" s="57">
        <v>2.9251</v>
      </c>
      <c r="AG47" s="57">
        <v>0.1143</v>
      </c>
      <c r="AH47" s="57">
        <v>0.16650000000000001</v>
      </c>
      <c r="AI47" s="57">
        <v>9.9500000000000005E-2</v>
      </c>
      <c r="AJ47" s="57">
        <v>0.1046</v>
      </c>
      <c r="AK47" s="57">
        <v>9.3100000000000002E-2</v>
      </c>
      <c r="AL47" s="57">
        <v>0.1757</v>
      </c>
      <c r="AM47" s="57">
        <v>2.87E-2</v>
      </c>
      <c r="AN47" s="57">
        <v>0</v>
      </c>
      <c r="AO47" s="57">
        <v>1.611</v>
      </c>
      <c r="AP47" s="153">
        <v>1.4811000000000001</v>
      </c>
      <c r="AQ47" s="153">
        <v>8.6699999999999999E-2</v>
      </c>
      <c r="AR47" s="57">
        <v>0.51349999999999996</v>
      </c>
      <c r="AS47" s="57">
        <v>3.9100000000000003E-2</v>
      </c>
      <c r="AT47" s="153">
        <v>6.3E-3</v>
      </c>
      <c r="AU47" s="153">
        <v>0.34289999999999998</v>
      </c>
      <c r="AV47" s="153">
        <v>0</v>
      </c>
      <c r="AW47" s="154">
        <v>9.4713999999999992</v>
      </c>
      <c r="AX47" s="58">
        <v>0.47360000000000002</v>
      </c>
      <c r="AY47" s="155">
        <f t="shared" si="2"/>
        <v>0.46920000000000001</v>
      </c>
      <c r="AZ47" s="155">
        <f t="shared" si="3"/>
        <v>4.400000000000015E-3</v>
      </c>
      <c r="BA47" s="14">
        <v>9.9449999999999985</v>
      </c>
      <c r="BB47" s="59">
        <f>BA47-'[1]Тариф 26 свод без  ПДВ'!AU47</f>
        <v>5.2999999999983061E-3</v>
      </c>
      <c r="BC47" s="57">
        <v>1.7204999999999999</v>
      </c>
      <c r="BD47" s="57">
        <v>2.4299999999999999E-2</v>
      </c>
      <c r="BE47" s="57">
        <v>0.50880000000000003</v>
      </c>
      <c r="BF47" s="156">
        <v>11.725</v>
      </c>
      <c r="BG47" s="59">
        <v>0.58630000000000004</v>
      </c>
      <c r="BH47" s="59"/>
      <c r="BI47" s="59"/>
      <c r="BJ47" s="14">
        <v>12.311299999999999</v>
      </c>
      <c r="BK47" s="60"/>
      <c r="BL47" s="60">
        <v>5.522899999999999</v>
      </c>
      <c r="BM47" s="60">
        <v>0.27610000000000001</v>
      </c>
      <c r="BN47" s="14">
        <v>5.7989999999999995</v>
      </c>
      <c r="BO47" s="14"/>
      <c r="BP47" s="157"/>
      <c r="BQ47" s="158">
        <f>BJ47-'[1]Тариф 26 свод без  ПДВ'!BG47</f>
        <v>-2.0000000000006679E-3</v>
      </c>
      <c r="BR47" s="77">
        <f>'[1]Тариф 26 свод без  ПДВ'!BG47</f>
        <v>12.3133</v>
      </c>
      <c r="BS47" s="159">
        <f t="shared" si="4"/>
        <v>-2.0000000000006679E-3</v>
      </c>
      <c r="BU47" s="77">
        <f>'[1]Тариф 26 свод без  ПДВ'!AU47</f>
        <v>9.9397000000000002</v>
      </c>
      <c r="BV47" s="159">
        <f t="shared" si="5"/>
        <v>5.2999999999983061E-3</v>
      </c>
      <c r="BX47" s="95">
        <v>3.7928999999999999</v>
      </c>
      <c r="BY47" s="95">
        <v>4.9577</v>
      </c>
      <c r="BZ47" s="95"/>
      <c r="CA47" s="182">
        <f t="shared" si="6"/>
        <v>2.622004271138179</v>
      </c>
      <c r="CB47" s="182">
        <f t="shared" si="7"/>
        <v>2.4832684510962744</v>
      </c>
      <c r="CD47" s="160">
        <f t="shared" si="69"/>
        <v>940.5</v>
      </c>
      <c r="CE47" s="160">
        <f t="shared" si="70"/>
        <v>7406</v>
      </c>
      <c r="CF47" s="77">
        <f t="shared" si="71"/>
        <v>9353.2724999999991</v>
      </c>
      <c r="CG47" s="77">
        <f t="shared" si="72"/>
        <v>91177.487799999988</v>
      </c>
      <c r="CI47" s="160">
        <f>'[1]0 СВОД'!AYY62</f>
        <v>100531.66733102319</v>
      </c>
      <c r="CJ47" s="77">
        <f t="shared" si="12"/>
        <v>1206380.0079722782</v>
      </c>
      <c r="CM47" s="161">
        <v>42</v>
      </c>
      <c r="CN47" s="183" t="s">
        <v>537</v>
      </c>
      <c r="CO47" s="163">
        <v>9</v>
      </c>
      <c r="CP47" s="163">
        <v>4</v>
      </c>
      <c r="CQ47" s="164" t="s">
        <v>194</v>
      </c>
      <c r="CR47" s="165" t="s">
        <v>193</v>
      </c>
      <c r="CS47" s="166">
        <v>940.51000000000022</v>
      </c>
      <c r="CT47" s="166">
        <v>7403.6900000000005</v>
      </c>
      <c r="CU47" s="167">
        <v>0</v>
      </c>
      <c r="CV47" s="168">
        <v>8344.2000000000007</v>
      </c>
      <c r="CW47" s="166">
        <v>8344.2000000000007</v>
      </c>
      <c r="CX47" s="167">
        <v>0</v>
      </c>
      <c r="CY47" s="166">
        <v>0</v>
      </c>
      <c r="CZ47" s="166"/>
      <c r="DA47" s="166">
        <v>8344.2000000000007</v>
      </c>
      <c r="DB47" s="166"/>
      <c r="DC47" s="166">
        <v>7403.6900000000005</v>
      </c>
      <c r="DD47" s="59">
        <v>8.2100000000000006E-2</v>
      </c>
      <c r="DE47" s="59">
        <v>7.46E-2</v>
      </c>
      <c r="DF47" s="59">
        <v>0.19969999999999999</v>
      </c>
      <c r="DG47" s="59">
        <v>3.7699999999999997E-2</v>
      </c>
      <c r="DH47" s="59">
        <v>1.7999999999999999E-2</v>
      </c>
      <c r="DI47" s="59">
        <v>0.16209999999999999</v>
      </c>
      <c r="DJ47" s="59">
        <v>4.8099999999999997E-2</v>
      </c>
      <c r="DK47" s="59">
        <v>0.3458</v>
      </c>
      <c r="DL47" s="169">
        <v>0</v>
      </c>
      <c r="DM47" s="59">
        <v>8.1900000000000001E-2</v>
      </c>
      <c r="DN47" s="169">
        <v>0</v>
      </c>
      <c r="DO47" s="184">
        <v>2.0840999999999998</v>
      </c>
      <c r="DP47" s="171">
        <f t="shared" si="13"/>
        <v>2.9251</v>
      </c>
      <c r="DQ47" s="59">
        <v>5.5199999999999999E-2</v>
      </c>
      <c r="DR47" s="59">
        <v>0.1</v>
      </c>
      <c r="DS47" s="59">
        <v>2.5899999999999999E-2</v>
      </c>
      <c r="DT47" s="59">
        <v>4.9799999999999997E-2</v>
      </c>
      <c r="DU47" s="59">
        <v>3.9300000000000002E-2</v>
      </c>
      <c r="DV47" s="59">
        <v>6.0900000000000003E-2</v>
      </c>
      <c r="DW47" s="59">
        <v>6.8999999999999999E-3</v>
      </c>
      <c r="DX47" s="169">
        <v>0</v>
      </c>
      <c r="DY47" s="59">
        <v>0.83989999999999998</v>
      </c>
      <c r="DZ47" s="171">
        <f t="shared" si="14"/>
        <v>1.9180854863674248</v>
      </c>
      <c r="EA47" s="59">
        <v>0.88160000000000005</v>
      </c>
      <c r="EB47" s="171">
        <f t="shared" si="15"/>
        <v>1.7783575317604357</v>
      </c>
      <c r="EC47" s="59">
        <v>0.27710000000000001</v>
      </c>
      <c r="ED47" s="171">
        <f t="shared" si="16"/>
        <v>1.8531216167448572</v>
      </c>
      <c r="EE47" s="59">
        <v>2.9899999999999999E-2</v>
      </c>
      <c r="EF47" s="59">
        <v>4.1999999999999997E-3</v>
      </c>
      <c r="EG47" s="59">
        <v>0.23300000000000001</v>
      </c>
      <c r="EH47" s="59">
        <v>0</v>
      </c>
      <c r="EI47" s="155">
        <v>0.1434</v>
      </c>
      <c r="EJ47" s="172">
        <v>5.8811999999999989</v>
      </c>
      <c r="EK47" s="173"/>
      <c r="EL47" s="59">
        <v>1.1521999999999999</v>
      </c>
      <c r="EM47" s="59">
        <v>0.32129999999999997</v>
      </c>
      <c r="EN47" s="59">
        <v>0.18029999999999999</v>
      </c>
      <c r="EO47" s="172">
        <v>7.3915999999999986</v>
      </c>
      <c r="ES47" s="57">
        <f t="shared" si="29"/>
        <v>5.8811999999999989</v>
      </c>
      <c r="ET47" s="57">
        <f t="shared" si="30"/>
        <v>7.3915999999999986</v>
      </c>
      <c r="EU47" s="31"/>
      <c r="EV47" s="65">
        <f t="shared" si="17"/>
        <v>1.6909814323607428</v>
      </c>
      <c r="EW47" s="65">
        <f t="shared" si="64"/>
        <v>1.6655798473943397</v>
      </c>
      <c r="EX47" s="185">
        <v>7.5029000000000003</v>
      </c>
      <c r="EY47" s="79">
        <v>10.272399999999999</v>
      </c>
      <c r="EZ47" s="158">
        <f t="shared" si="19"/>
        <v>9.9449999999999985</v>
      </c>
      <c r="FA47" s="210">
        <f t="shared" si="20"/>
        <v>12.311299999999999</v>
      </c>
      <c r="FB47" s="158">
        <f t="shared" si="65"/>
        <v>2.4420999999999982</v>
      </c>
      <c r="FC47" s="158">
        <f t="shared" si="66"/>
        <v>2.0388999999999999</v>
      </c>
      <c r="FD47" s="175">
        <f t="shared" si="67"/>
        <v>0.32548747817510537</v>
      </c>
      <c r="FE47" s="175">
        <f t="shared" si="68"/>
        <v>0.16561207995906199</v>
      </c>
      <c r="FF47" s="158"/>
      <c r="FG47" s="174"/>
      <c r="FH47" s="174">
        <f t="shared" si="33"/>
        <v>83005.94249999999</v>
      </c>
      <c r="FI47" s="174"/>
      <c r="FJ47" s="176">
        <v>1.2782</v>
      </c>
      <c r="FK47" s="87">
        <f t="shared" si="34"/>
        <v>1.3229396278835415</v>
      </c>
      <c r="FL47" s="87">
        <v>1.3916999999999999</v>
      </c>
      <c r="FM47" s="87">
        <f t="shared" si="35"/>
        <v>1.1967951766863116</v>
      </c>
      <c r="FO47" s="88">
        <f t="shared" si="21"/>
        <v>83005.94249999999</v>
      </c>
      <c r="FP47" s="79">
        <f t="shared" si="22"/>
        <v>91177.487799999988</v>
      </c>
      <c r="FS47" s="79">
        <f t="shared" si="23"/>
        <v>49087.435799999992</v>
      </c>
      <c r="FT47" s="79">
        <f t="shared" si="24"/>
        <v>54742.189599999991</v>
      </c>
      <c r="FU47" s="79">
        <f t="shared" si="36"/>
        <v>1.6909814323607428</v>
      </c>
      <c r="FV47" s="79">
        <f t="shared" si="36"/>
        <v>1.6655798473943395</v>
      </c>
      <c r="FY47" s="79">
        <f t="shared" si="37"/>
        <v>9353.2724999999991</v>
      </c>
      <c r="FZ47" s="79">
        <f t="shared" si="38"/>
        <v>91177.487799999988</v>
      </c>
      <c r="GB47" s="178">
        <f t="shared" si="39"/>
        <v>940.5</v>
      </c>
      <c r="GC47" s="178">
        <f t="shared" si="40"/>
        <v>7406</v>
      </c>
      <c r="GG47" s="14">
        <v>7.8311000000000011</v>
      </c>
      <c r="GH47" s="175">
        <f t="shared" si="41"/>
        <v>1.26993653509724</v>
      </c>
      <c r="GI47" s="14">
        <v>10.704800000000001</v>
      </c>
      <c r="GJ47" s="175">
        <f t="shared" si="42"/>
        <v>1.1500728645093787</v>
      </c>
      <c r="GK47" s="175">
        <f t="shared" si="62"/>
        <v>0.11986367058786129</v>
      </c>
      <c r="GN47" s="14">
        <v>10.149899999999999</v>
      </c>
      <c r="GO47" s="175">
        <f t="shared" si="44"/>
        <v>1.2961014416876298</v>
      </c>
      <c r="GP47" s="179">
        <f t="shared" si="45"/>
        <v>0.97981260899122158</v>
      </c>
      <c r="GQ47" s="14">
        <v>12.3317</v>
      </c>
      <c r="GR47" s="175">
        <f t="shared" si="46"/>
        <v>1.1519785516777519</v>
      </c>
      <c r="GS47" s="175">
        <f t="shared" si="47"/>
        <v>0.99834572686653089</v>
      </c>
      <c r="GV47" s="32">
        <f t="shared" si="25"/>
        <v>9353.2724999999991</v>
      </c>
      <c r="GW47" s="32">
        <f t="shared" si="26"/>
        <v>91177.487799999988</v>
      </c>
      <c r="GX47" s="180">
        <f t="shared" si="48"/>
        <v>100530.76029999999</v>
      </c>
      <c r="GZ47" s="32">
        <f t="shared" si="49"/>
        <v>9.9449999999999985</v>
      </c>
      <c r="HA47" s="32">
        <f t="shared" si="50"/>
        <v>12.311299999999999</v>
      </c>
      <c r="HB47" s="32">
        <f t="shared" si="51"/>
        <v>12.044660672138022</v>
      </c>
    </row>
    <row r="48" spans="1:210" ht="19.2" customHeight="1" x14ac:dyDescent="0.3">
      <c r="A48" s="50">
        <v>40</v>
      </c>
      <c r="B48" s="51" t="s">
        <v>538</v>
      </c>
      <c r="C48" s="150" t="s">
        <v>518</v>
      </c>
      <c r="D48" s="52">
        <v>9</v>
      </c>
      <c r="E48" s="52">
        <v>2</v>
      </c>
      <c r="F48" s="63">
        <v>78</v>
      </c>
      <c r="G48" s="54" t="s">
        <v>195</v>
      </c>
      <c r="H48" s="181" t="s">
        <v>193</v>
      </c>
      <c r="I48" s="55">
        <f t="shared" si="27"/>
        <v>568.89999999999964</v>
      </c>
      <c r="J48" s="55">
        <f t="shared" si="0"/>
        <v>4375.1000000000004</v>
      </c>
      <c r="K48" s="55">
        <f t="shared" si="1"/>
        <v>0</v>
      </c>
      <c r="L48" s="56">
        <v>4944</v>
      </c>
      <c r="M48" s="56">
        <v>4944</v>
      </c>
      <c r="N48" s="56">
        <f t="shared" si="28"/>
        <v>568.89999999999964</v>
      </c>
      <c r="O48" s="56">
        <v>0</v>
      </c>
      <c r="P48" s="56">
        <v>0</v>
      </c>
      <c r="Q48" s="55"/>
      <c r="R48" s="55">
        <v>4944</v>
      </c>
      <c r="S48" s="55"/>
      <c r="T48" s="55">
        <v>4375.1000000000004</v>
      </c>
      <c r="U48" s="152">
        <v>568.89999999999964</v>
      </c>
      <c r="V48" s="57">
        <v>0.13639999999999999</v>
      </c>
      <c r="W48" s="57">
        <v>5.7200000000000001E-2</v>
      </c>
      <c r="X48" s="153">
        <v>0.29580000000000001</v>
      </c>
      <c r="Y48" s="153">
        <v>6.7100000000000007E-2</v>
      </c>
      <c r="Z48" s="57">
        <v>5.5E-2</v>
      </c>
      <c r="AA48" s="57">
        <v>0.28110000000000002</v>
      </c>
      <c r="AB48" s="57">
        <v>0</v>
      </c>
      <c r="AC48" s="153">
        <v>0.63149999999999995</v>
      </c>
      <c r="AD48" s="57">
        <v>0.12479999999999999</v>
      </c>
      <c r="AE48" s="57">
        <v>0</v>
      </c>
      <c r="AF48" s="57">
        <v>2.9249000000000001</v>
      </c>
      <c r="AG48" s="57">
        <v>0.1875</v>
      </c>
      <c r="AH48" s="57">
        <v>0.20599999999999999</v>
      </c>
      <c r="AI48" s="57">
        <v>0.1028</v>
      </c>
      <c r="AJ48" s="57">
        <v>0.12180000000000001</v>
      </c>
      <c r="AK48" s="57">
        <v>0.1069</v>
      </c>
      <c r="AL48" s="57">
        <v>0.1348</v>
      </c>
      <c r="AM48" s="57">
        <v>3.0800000000000001E-2</v>
      </c>
      <c r="AN48" s="57">
        <v>0</v>
      </c>
      <c r="AO48" s="57">
        <v>1.7955000000000001</v>
      </c>
      <c r="AP48" s="153">
        <v>1.3920999999999999</v>
      </c>
      <c r="AQ48" s="153">
        <v>8.4199999999999997E-2</v>
      </c>
      <c r="AR48" s="57">
        <v>0.47610000000000002</v>
      </c>
      <c r="AS48" s="57">
        <v>3.95E-2</v>
      </c>
      <c r="AT48" s="153">
        <v>6.4000000000000003E-3</v>
      </c>
      <c r="AU48" s="153">
        <v>0.35699999999999998</v>
      </c>
      <c r="AV48" s="153">
        <v>0</v>
      </c>
      <c r="AW48" s="154">
        <v>9.6151999999999997</v>
      </c>
      <c r="AX48" s="58">
        <v>0.48080000000000001</v>
      </c>
      <c r="AY48" s="155">
        <f t="shared" si="2"/>
        <v>0.47660000000000002</v>
      </c>
      <c r="AZ48" s="155">
        <f t="shared" si="3"/>
        <v>4.1999999999999815E-3</v>
      </c>
      <c r="BA48" s="14">
        <v>10.096</v>
      </c>
      <c r="BB48" s="59">
        <f>BA48-'[1]Тариф 26 свод без  ПДВ'!AU48</f>
        <v>5.0000000000061107E-4</v>
      </c>
      <c r="BC48" s="57">
        <v>1.4838</v>
      </c>
      <c r="BD48" s="57">
        <v>0</v>
      </c>
      <c r="BE48" s="57">
        <v>0.47320000000000001</v>
      </c>
      <c r="BF48" s="156">
        <v>11.5722</v>
      </c>
      <c r="BG48" s="59">
        <v>0.5786</v>
      </c>
      <c r="BH48" s="59"/>
      <c r="BI48" s="59"/>
      <c r="BJ48" s="14">
        <v>12.1508</v>
      </c>
      <c r="BK48" s="60"/>
      <c r="BL48" s="60">
        <v>5.5945</v>
      </c>
      <c r="BM48" s="60">
        <v>0.2797</v>
      </c>
      <c r="BN48" s="14">
        <v>5.8742000000000001</v>
      </c>
      <c r="BO48" s="14"/>
      <c r="BP48" s="157"/>
      <c r="BQ48" s="158">
        <f>BJ48-'[1]Тариф 26 свод без  ПДВ'!BG48</f>
        <v>2.3999999999997357E-3</v>
      </c>
      <c r="BR48" s="77">
        <f>'[1]Тариф 26 свод без  ПДВ'!BG48</f>
        <v>12.148400000000001</v>
      </c>
      <c r="BS48" s="159">
        <f t="shared" si="4"/>
        <v>2.3999999999997357E-3</v>
      </c>
      <c r="BU48" s="77">
        <f>'[1]Тариф 26 свод без  ПДВ'!AU48</f>
        <v>10.095499999999999</v>
      </c>
      <c r="BV48" s="159">
        <f t="shared" si="5"/>
        <v>5.0000000000061107E-4</v>
      </c>
      <c r="BX48" s="95">
        <v>4.2183999999999999</v>
      </c>
      <c r="BY48" s="95">
        <v>5.9165999999999999</v>
      </c>
      <c r="BZ48" s="95"/>
      <c r="CA48" s="182">
        <f t="shared" si="6"/>
        <v>2.3933244832163854</v>
      </c>
      <c r="CB48" s="182">
        <f t="shared" si="7"/>
        <v>2.0536794780786263</v>
      </c>
      <c r="CD48" s="160">
        <f t="shared" si="69"/>
        <v>568.89999999999964</v>
      </c>
      <c r="CE48" s="160">
        <f t="shared" si="70"/>
        <v>4375.1000000000004</v>
      </c>
      <c r="CF48" s="77">
        <f t="shared" si="71"/>
        <v>5743.6143999999967</v>
      </c>
      <c r="CG48" s="77">
        <f t="shared" si="72"/>
        <v>53160.965080000009</v>
      </c>
      <c r="CI48" s="160">
        <f>'[1]0 СВОД'!AYY63</f>
        <v>58904.914127568009</v>
      </c>
      <c r="CJ48" s="77">
        <f t="shared" si="12"/>
        <v>706858.96953081607</v>
      </c>
      <c r="CM48" s="161">
        <v>43</v>
      </c>
      <c r="CN48" s="183" t="s">
        <v>539</v>
      </c>
      <c r="CO48" s="163">
        <v>9</v>
      </c>
      <c r="CP48" s="163">
        <v>2</v>
      </c>
      <c r="CQ48" s="164" t="s">
        <v>195</v>
      </c>
      <c r="CR48" s="165" t="s">
        <v>193</v>
      </c>
      <c r="CS48" s="166">
        <v>568.88000000000011</v>
      </c>
      <c r="CT48" s="166">
        <v>4374.12</v>
      </c>
      <c r="CU48" s="167">
        <v>0</v>
      </c>
      <c r="CV48" s="168">
        <v>4943</v>
      </c>
      <c r="CW48" s="166">
        <v>4943</v>
      </c>
      <c r="CX48" s="167">
        <v>0</v>
      </c>
      <c r="CY48" s="166">
        <v>0</v>
      </c>
      <c r="CZ48" s="166"/>
      <c r="DA48" s="166">
        <v>4943</v>
      </c>
      <c r="DB48" s="166"/>
      <c r="DC48" s="166">
        <v>4374.12</v>
      </c>
      <c r="DD48" s="59">
        <v>0.1313</v>
      </c>
      <c r="DE48" s="59">
        <v>9.2899999999999996E-2</v>
      </c>
      <c r="DF48" s="59">
        <v>0.1946</v>
      </c>
      <c r="DG48" s="59">
        <v>3.9600000000000003E-2</v>
      </c>
      <c r="DH48" s="59">
        <v>2.07E-2</v>
      </c>
      <c r="DI48" s="59">
        <v>0.1222</v>
      </c>
      <c r="DJ48" s="59">
        <v>4.8099999999999997E-2</v>
      </c>
      <c r="DK48" s="59">
        <v>0.3458</v>
      </c>
      <c r="DL48" s="59">
        <v>3.2800000000000003E-2</v>
      </c>
      <c r="DM48" s="59">
        <v>7.5899999999999995E-2</v>
      </c>
      <c r="DN48" s="169">
        <v>0</v>
      </c>
      <c r="DO48" s="184">
        <v>2.0550999999999999</v>
      </c>
      <c r="DP48" s="171">
        <f t="shared" si="13"/>
        <v>2.9249000000000001</v>
      </c>
      <c r="DQ48" s="59">
        <v>9.0300000000000005E-2</v>
      </c>
      <c r="DR48" s="59">
        <v>0.1235</v>
      </c>
      <c r="DS48" s="59">
        <v>2.6700000000000002E-2</v>
      </c>
      <c r="DT48" s="59">
        <v>5.7799999999999997E-2</v>
      </c>
      <c r="DU48" s="59">
        <v>4.5100000000000001E-2</v>
      </c>
      <c r="DV48" s="59">
        <v>4.6600000000000003E-2</v>
      </c>
      <c r="DW48" s="59">
        <v>7.9000000000000008E-3</v>
      </c>
      <c r="DX48" s="169">
        <v>0</v>
      </c>
      <c r="DY48" s="59">
        <v>0.92069999999999996</v>
      </c>
      <c r="DZ48" s="171">
        <f t="shared" si="14"/>
        <v>1.9501466275659827</v>
      </c>
      <c r="EA48" s="59">
        <v>0.83279999999999998</v>
      </c>
      <c r="EB48" s="171">
        <f t="shared" si="15"/>
        <v>1.7726945244956771</v>
      </c>
      <c r="EC48" s="59">
        <v>0.2485</v>
      </c>
      <c r="ED48" s="171">
        <f t="shared" si="16"/>
        <v>1.9158953722334005</v>
      </c>
      <c r="EE48" s="59">
        <v>3.0200000000000001E-2</v>
      </c>
      <c r="EF48" s="59">
        <v>4.1999999999999997E-3</v>
      </c>
      <c r="EG48" s="59">
        <v>0.23169999999999999</v>
      </c>
      <c r="EH48" s="59">
        <v>0</v>
      </c>
      <c r="EI48" s="155">
        <v>0.14560000000000001</v>
      </c>
      <c r="EJ48" s="172">
        <v>5.9705999999999992</v>
      </c>
      <c r="EK48" s="173"/>
      <c r="EL48" s="59">
        <v>0.78979999999999995</v>
      </c>
      <c r="EM48" s="59">
        <v>0.32040000000000002</v>
      </c>
      <c r="EN48" s="59">
        <v>0.1734</v>
      </c>
      <c r="EO48" s="172">
        <v>7.1085999999999991</v>
      </c>
      <c r="ES48" s="57">
        <f t="shared" si="29"/>
        <v>5.9705999999999992</v>
      </c>
      <c r="ET48" s="57">
        <f t="shared" si="30"/>
        <v>7.1085999999999991</v>
      </c>
      <c r="EU48" s="31"/>
      <c r="EV48" s="65">
        <f t="shared" si="17"/>
        <v>1.6909523330988512</v>
      </c>
      <c r="EW48" s="65">
        <f t="shared" si="64"/>
        <v>1.7093098500407959</v>
      </c>
      <c r="EX48" s="185">
        <v>7.5556999999999999</v>
      </c>
      <c r="EY48" s="79">
        <v>9.8081999999999994</v>
      </c>
      <c r="EZ48" s="158">
        <f t="shared" si="19"/>
        <v>10.096</v>
      </c>
      <c r="FA48" s="158">
        <f t="shared" si="20"/>
        <v>12.1508</v>
      </c>
      <c r="FB48" s="158">
        <f t="shared" si="65"/>
        <v>2.5403000000000002</v>
      </c>
      <c r="FC48" s="158">
        <f t="shared" si="66"/>
        <v>2.3426000000000009</v>
      </c>
      <c r="FD48" s="175">
        <f t="shared" si="67"/>
        <v>0.33620974893127048</v>
      </c>
      <c r="FE48" s="175">
        <f t="shared" si="68"/>
        <v>0.19279389011423123</v>
      </c>
      <c r="FF48" s="158"/>
      <c r="FG48" s="174"/>
      <c r="FH48" s="174">
        <f t="shared" si="33"/>
        <v>49914.624000000003</v>
      </c>
      <c r="FI48" s="174"/>
      <c r="FJ48" s="176">
        <v>1.2817000000000001</v>
      </c>
      <c r="FK48" s="87">
        <f t="shared" si="34"/>
        <v>1.319304309197824</v>
      </c>
      <c r="FL48" s="87">
        <v>1.4016999999999999</v>
      </c>
      <c r="FM48" s="87">
        <f t="shared" si="35"/>
        <v>1.2194548405798644</v>
      </c>
      <c r="FO48" s="88">
        <f t="shared" si="21"/>
        <v>49914.624000000003</v>
      </c>
      <c r="FP48" s="79">
        <f t="shared" si="22"/>
        <v>53160.965080000009</v>
      </c>
      <c r="FS48" s="79">
        <f t="shared" si="23"/>
        <v>29518.646399999998</v>
      </c>
      <c r="FT48" s="79">
        <f t="shared" si="24"/>
        <v>31100.835859999999</v>
      </c>
      <c r="FU48" s="79">
        <f t="shared" si="36"/>
        <v>1.6909523330988512</v>
      </c>
      <c r="FV48" s="79">
        <f t="shared" si="36"/>
        <v>1.7093098500407959</v>
      </c>
      <c r="FY48" s="79">
        <f t="shared" si="37"/>
        <v>5743.6143999999967</v>
      </c>
      <c r="FZ48" s="79">
        <f t="shared" si="38"/>
        <v>53160.965080000009</v>
      </c>
      <c r="GB48" s="178">
        <f t="shared" si="39"/>
        <v>568.89999999999964</v>
      </c>
      <c r="GC48" s="178">
        <f t="shared" si="40"/>
        <v>4375.1000000000004</v>
      </c>
      <c r="GG48" s="14">
        <v>7.9501999999999997</v>
      </c>
      <c r="GH48" s="175">
        <f t="shared" si="41"/>
        <v>1.2699051596186259</v>
      </c>
      <c r="GI48" s="14">
        <v>10.303300000000002</v>
      </c>
      <c r="GJ48" s="175">
        <f t="shared" si="42"/>
        <v>1.1793114827288342</v>
      </c>
      <c r="GK48" s="175">
        <f t="shared" si="62"/>
        <v>9.0593676889791697E-2</v>
      </c>
      <c r="GN48" s="14">
        <v>10.257199999999999</v>
      </c>
      <c r="GO48" s="175">
        <f t="shared" si="44"/>
        <v>1.2901813790848029</v>
      </c>
      <c r="GP48" s="179">
        <f t="shared" si="45"/>
        <v>0.98428421011582112</v>
      </c>
      <c r="GQ48" s="14">
        <v>12.1374</v>
      </c>
      <c r="GR48" s="175">
        <f t="shared" si="46"/>
        <v>1.1780109285374587</v>
      </c>
      <c r="GS48" s="175">
        <f t="shared" si="47"/>
        <v>1.0011040255738461</v>
      </c>
      <c r="GV48" s="32">
        <f t="shared" si="25"/>
        <v>5743.6143999999967</v>
      </c>
      <c r="GW48" s="32">
        <f t="shared" si="26"/>
        <v>53160.965080000009</v>
      </c>
      <c r="GX48" s="180">
        <f t="shared" si="48"/>
        <v>58904.579480000008</v>
      </c>
      <c r="GZ48" s="32">
        <f t="shared" si="49"/>
        <v>10.096</v>
      </c>
      <c r="HA48" s="32">
        <f t="shared" si="50"/>
        <v>12.1508</v>
      </c>
      <c r="HB48" s="32">
        <f t="shared" si="51"/>
        <v>11.914356690938513</v>
      </c>
    </row>
    <row r="49" spans="1:210" ht="19.2" customHeight="1" x14ac:dyDescent="0.3">
      <c r="A49" s="50">
        <v>41</v>
      </c>
      <c r="B49" s="51" t="s">
        <v>540</v>
      </c>
      <c r="C49" s="150" t="s">
        <v>518</v>
      </c>
      <c r="D49" s="52">
        <v>9</v>
      </c>
      <c r="E49" s="52">
        <v>2</v>
      </c>
      <c r="F49" s="63">
        <v>72</v>
      </c>
      <c r="G49" s="54" t="s">
        <v>196</v>
      </c>
      <c r="H49" s="181" t="s">
        <v>173</v>
      </c>
      <c r="I49" s="55">
        <f t="shared" si="27"/>
        <v>398.89999999999964</v>
      </c>
      <c r="J49" s="55">
        <f t="shared" si="0"/>
        <v>3375.8</v>
      </c>
      <c r="K49" s="55">
        <f t="shared" si="1"/>
        <v>0</v>
      </c>
      <c r="L49" s="56">
        <v>3774.7</v>
      </c>
      <c r="M49" s="56">
        <v>3774.7</v>
      </c>
      <c r="N49" s="56">
        <f t="shared" si="28"/>
        <v>398.89999999999964</v>
      </c>
      <c r="O49" s="56">
        <v>0</v>
      </c>
      <c r="P49" s="56">
        <v>0</v>
      </c>
      <c r="Q49" s="55"/>
      <c r="R49" s="55">
        <v>3774.7</v>
      </c>
      <c r="S49" s="55"/>
      <c r="T49" s="55">
        <v>3375.8</v>
      </c>
      <c r="U49" s="152">
        <v>398.89999999999964</v>
      </c>
      <c r="V49" s="57">
        <v>0.18129999999999999</v>
      </c>
      <c r="W49" s="57">
        <v>6.9199999999999998E-2</v>
      </c>
      <c r="X49" s="153">
        <v>0.30209999999999998</v>
      </c>
      <c r="Y49" s="153">
        <v>6.8900000000000003E-2</v>
      </c>
      <c r="Z49" s="57">
        <v>2.3300000000000001E-2</v>
      </c>
      <c r="AA49" s="57">
        <v>0.20760000000000001</v>
      </c>
      <c r="AB49" s="57">
        <v>0</v>
      </c>
      <c r="AC49" s="153">
        <v>0.63149999999999995</v>
      </c>
      <c r="AD49" s="57">
        <v>0.15079999999999999</v>
      </c>
      <c r="AE49" s="57">
        <v>0</v>
      </c>
      <c r="AF49" s="57">
        <v>1.7565</v>
      </c>
      <c r="AG49" s="57">
        <v>0.23619999999999999</v>
      </c>
      <c r="AH49" s="57">
        <v>0.24940000000000001</v>
      </c>
      <c r="AI49" s="57">
        <v>0.1024</v>
      </c>
      <c r="AJ49" s="57">
        <v>9.2600000000000002E-2</v>
      </c>
      <c r="AK49" s="57">
        <v>4.53E-2</v>
      </c>
      <c r="AL49" s="57">
        <v>4.8599999999999997E-2</v>
      </c>
      <c r="AM49" s="57">
        <v>2.5399999999999999E-2</v>
      </c>
      <c r="AN49" s="57">
        <v>0</v>
      </c>
      <c r="AO49" s="57">
        <v>2.0287999999999999</v>
      </c>
      <c r="AP49" s="153">
        <v>1.4542999999999999</v>
      </c>
      <c r="AQ49" s="153">
        <v>8.3900000000000002E-2</v>
      </c>
      <c r="AR49" s="57">
        <v>0.48949999999999999</v>
      </c>
      <c r="AS49" s="57">
        <v>3.56E-2</v>
      </c>
      <c r="AT49" s="153">
        <v>5.7999999999999996E-3</v>
      </c>
      <c r="AU49" s="153">
        <v>0.32500000000000001</v>
      </c>
      <c r="AV49" s="153">
        <v>0</v>
      </c>
      <c r="AW49" s="154">
        <v>8.6140000000000008</v>
      </c>
      <c r="AX49" s="58">
        <v>0.43070000000000003</v>
      </c>
      <c r="AY49" s="155">
        <f t="shared" si="2"/>
        <v>0.42649999999999999</v>
      </c>
      <c r="AZ49" s="155">
        <f t="shared" si="3"/>
        <v>4.200000000000037E-3</v>
      </c>
      <c r="BA49" s="14">
        <v>9.0447000000000006</v>
      </c>
      <c r="BB49" s="59">
        <f>BA49-'[1]Тариф 26 свод без  ПДВ'!AU49</f>
        <v>-1.2999999999987466E-3</v>
      </c>
      <c r="BC49" s="57">
        <v>2.0304000000000002</v>
      </c>
      <c r="BD49" s="57">
        <v>0</v>
      </c>
      <c r="BE49" s="57">
        <v>0.46</v>
      </c>
      <c r="BF49" s="156">
        <v>11.104400000000002</v>
      </c>
      <c r="BG49" s="59">
        <v>0.55520000000000003</v>
      </c>
      <c r="BH49" s="59"/>
      <c r="BI49" s="59"/>
      <c r="BJ49" s="14">
        <v>11.659600000000001</v>
      </c>
      <c r="BK49" s="60"/>
      <c r="BL49" s="60">
        <v>4.3164000000000016</v>
      </c>
      <c r="BM49" s="60">
        <v>0.21579999999999999</v>
      </c>
      <c r="BN49" s="14">
        <v>4.5322000000000013</v>
      </c>
      <c r="BO49" s="14"/>
      <c r="BP49" s="157"/>
      <c r="BQ49" s="158">
        <f>BJ49-'[1]Тариф 26 свод без  ПДВ'!BG49</f>
        <v>3.3000000000011909E-3</v>
      </c>
      <c r="BR49" s="77">
        <f>'[1]Тариф 26 свод без  ПДВ'!BG49</f>
        <v>11.6563</v>
      </c>
      <c r="BS49" s="159">
        <f t="shared" si="4"/>
        <v>3.3000000000011909E-3</v>
      </c>
      <c r="BU49" s="77">
        <f>'[1]Тариф 26 свод без  ПДВ'!AU49</f>
        <v>9.0459999999999994</v>
      </c>
      <c r="BV49" s="159">
        <f t="shared" si="5"/>
        <v>-1.2999999999987466E-3</v>
      </c>
      <c r="BX49" s="95">
        <v>4.8552</v>
      </c>
      <c r="BY49" s="95">
        <v>6.1185</v>
      </c>
      <c r="BZ49" s="95"/>
      <c r="CA49" s="182">
        <f t="shared" si="6"/>
        <v>1.8628892733564015</v>
      </c>
      <c r="CB49" s="182">
        <f t="shared" si="7"/>
        <v>1.9056304649832476</v>
      </c>
      <c r="CD49" s="160">
        <f t="shared" si="69"/>
        <v>398.89999999999964</v>
      </c>
      <c r="CE49" s="160">
        <f t="shared" si="70"/>
        <v>3375.8</v>
      </c>
      <c r="CF49" s="77">
        <f t="shared" si="71"/>
        <v>3607.9308299999971</v>
      </c>
      <c r="CG49" s="77">
        <f t="shared" si="72"/>
        <v>39360.477680000004</v>
      </c>
      <c r="CI49" s="160">
        <f>'[1]0 СВОД'!AYY64</f>
        <v>42967.816936044401</v>
      </c>
      <c r="CJ49" s="77">
        <f t="shared" si="12"/>
        <v>515613.80323253281</v>
      </c>
      <c r="CM49" s="161">
        <v>44</v>
      </c>
      <c r="CN49" s="162" t="s">
        <v>541</v>
      </c>
      <c r="CO49" s="163">
        <v>9</v>
      </c>
      <c r="CP49" s="163">
        <v>2</v>
      </c>
      <c r="CQ49" s="164" t="s">
        <v>196</v>
      </c>
      <c r="CR49" s="165" t="s">
        <v>173</v>
      </c>
      <c r="CS49" s="166">
        <v>398.90999999999985</v>
      </c>
      <c r="CT49" s="166">
        <v>3372.09</v>
      </c>
      <c r="CU49" s="167">
        <v>0</v>
      </c>
      <c r="CV49" s="168">
        <v>3771</v>
      </c>
      <c r="CW49" s="166">
        <v>3771</v>
      </c>
      <c r="CX49" s="167">
        <v>0</v>
      </c>
      <c r="CY49" s="166">
        <v>0</v>
      </c>
      <c r="CZ49" s="166"/>
      <c r="DA49" s="166">
        <v>3771</v>
      </c>
      <c r="DB49" s="166"/>
      <c r="DC49" s="166">
        <v>3372.09</v>
      </c>
      <c r="DD49" s="59">
        <v>0.17829999999999999</v>
      </c>
      <c r="DE49" s="59">
        <v>0.1125</v>
      </c>
      <c r="DF49" s="59">
        <v>0.1988</v>
      </c>
      <c r="DG49" s="59">
        <v>4.0599999999999997E-2</v>
      </c>
      <c r="DH49" s="59">
        <v>8.8000000000000005E-3</v>
      </c>
      <c r="DI49" s="59">
        <v>8.8999999999999996E-2</v>
      </c>
      <c r="DJ49" s="59">
        <v>4.8099999999999997E-2</v>
      </c>
      <c r="DK49" s="59">
        <v>0.3458</v>
      </c>
      <c r="DL49" s="169">
        <v>0</v>
      </c>
      <c r="DM49" s="59">
        <v>9.1899999999999996E-2</v>
      </c>
      <c r="DN49" s="169">
        <v>0</v>
      </c>
      <c r="DO49" s="170">
        <v>0.96479999999999999</v>
      </c>
      <c r="DP49" s="171">
        <f t="shared" si="13"/>
        <v>1.7565</v>
      </c>
      <c r="DQ49" s="59">
        <v>0.1138</v>
      </c>
      <c r="DR49" s="59">
        <v>0.14979999999999999</v>
      </c>
      <c r="DS49" s="59">
        <v>2.6499999999999999E-2</v>
      </c>
      <c r="DT49" s="59">
        <v>4.3900000000000002E-2</v>
      </c>
      <c r="DU49" s="59">
        <v>1.9099999999999999E-2</v>
      </c>
      <c r="DV49" s="59">
        <v>1.7000000000000001E-2</v>
      </c>
      <c r="DW49" s="59">
        <v>5.3E-3</v>
      </c>
      <c r="DX49" s="169">
        <v>0</v>
      </c>
      <c r="DY49" s="59">
        <v>0.96730000000000005</v>
      </c>
      <c r="DZ49" s="171">
        <f t="shared" si="14"/>
        <v>2.0973844722423238</v>
      </c>
      <c r="EA49" s="59">
        <v>0.86219999999999997</v>
      </c>
      <c r="EB49" s="171">
        <f t="shared" si="15"/>
        <v>1.7840408257944793</v>
      </c>
      <c r="EC49" s="59">
        <v>0.20649999999999999</v>
      </c>
      <c r="ED49" s="171">
        <f t="shared" si="16"/>
        <v>2.3704600484261502</v>
      </c>
      <c r="EE49" s="59">
        <v>2.7300000000000001E-2</v>
      </c>
      <c r="EF49" s="59">
        <v>3.8E-3</v>
      </c>
      <c r="EG49" s="59">
        <v>0.20979999999999999</v>
      </c>
      <c r="EH49" s="59">
        <v>0</v>
      </c>
      <c r="EI49" s="155">
        <v>0.1183</v>
      </c>
      <c r="EJ49" s="172">
        <v>4.8491999999999997</v>
      </c>
      <c r="EK49" s="173"/>
      <c r="EL49" s="59">
        <v>1.7567999999999999</v>
      </c>
      <c r="EM49" s="59">
        <v>0.2797</v>
      </c>
      <c r="EN49" s="59">
        <v>0.16919999999999999</v>
      </c>
      <c r="EO49" s="172">
        <v>6.9366000000000003</v>
      </c>
      <c r="ES49" s="57">
        <f t="shared" si="29"/>
        <v>4.8491999999999997</v>
      </c>
      <c r="ET49" s="57">
        <f t="shared" si="30"/>
        <v>6.9366000000000003</v>
      </c>
      <c r="EU49" s="31"/>
      <c r="EV49" s="65">
        <f t="shared" si="17"/>
        <v>1.8651942588468202</v>
      </c>
      <c r="EW49" s="65">
        <f t="shared" si="64"/>
        <v>1.6808811233168988</v>
      </c>
      <c r="EX49" s="185">
        <v>6.4659000000000004</v>
      </c>
      <c r="EY49" s="79">
        <v>9.3841999999999999</v>
      </c>
      <c r="EZ49" s="158">
        <f t="shared" si="19"/>
        <v>9.0447000000000006</v>
      </c>
      <c r="FA49" s="158">
        <f t="shared" si="20"/>
        <v>11.659600000000001</v>
      </c>
      <c r="FB49" s="158">
        <f t="shared" si="65"/>
        <v>2.5788000000000002</v>
      </c>
      <c r="FC49" s="158">
        <f t="shared" si="66"/>
        <v>2.2754000000000012</v>
      </c>
      <c r="FD49" s="175">
        <f t="shared" si="67"/>
        <v>0.39883078921727833</v>
      </c>
      <c r="FE49" s="175">
        <f t="shared" si="68"/>
        <v>0.19515249236680512</v>
      </c>
      <c r="FF49" s="158"/>
      <c r="FG49" s="174"/>
      <c r="FH49" s="174">
        <f t="shared" si="33"/>
        <v>34141.029090000004</v>
      </c>
      <c r="FI49" s="174"/>
      <c r="FJ49" s="176">
        <v>1.4366000000000001</v>
      </c>
      <c r="FK49" s="87">
        <f t="shared" si="34"/>
        <v>1.2983393142467077</v>
      </c>
      <c r="FL49" s="87">
        <v>1.425</v>
      </c>
      <c r="FM49" s="87">
        <f t="shared" si="35"/>
        <v>1.1795657005732623</v>
      </c>
      <c r="FO49" s="88">
        <f t="shared" si="21"/>
        <v>34141.029090000004</v>
      </c>
      <c r="FP49" s="79">
        <f t="shared" si="22"/>
        <v>39360.477680000004</v>
      </c>
      <c r="FS49" s="79">
        <f t="shared" si="23"/>
        <v>18304.275239999999</v>
      </c>
      <c r="FT49" s="79">
        <f t="shared" si="24"/>
        <v>23416.574280000001</v>
      </c>
      <c r="FU49" s="79">
        <f t="shared" si="36"/>
        <v>1.8651942588468204</v>
      </c>
      <c r="FV49" s="79">
        <f t="shared" si="36"/>
        <v>1.6808811233168988</v>
      </c>
      <c r="FY49" s="79">
        <f t="shared" si="37"/>
        <v>3607.9308299999971</v>
      </c>
      <c r="FZ49" s="79">
        <f t="shared" si="38"/>
        <v>39360.477680000004</v>
      </c>
      <c r="GB49" s="178">
        <f t="shared" si="39"/>
        <v>398.89999999999964</v>
      </c>
      <c r="GC49" s="178">
        <f t="shared" si="40"/>
        <v>3375.8</v>
      </c>
      <c r="GG49" s="14">
        <v>7.1222000000000012</v>
      </c>
      <c r="GH49" s="175">
        <f t="shared" si="41"/>
        <v>1.2699306394091712</v>
      </c>
      <c r="GI49" s="14">
        <v>10.2615</v>
      </c>
      <c r="GJ49" s="175">
        <f t="shared" si="42"/>
        <v>1.1362471373580862</v>
      </c>
      <c r="GK49" s="175">
        <f t="shared" si="62"/>
        <v>0.13368350205108492</v>
      </c>
      <c r="GN49" s="14">
        <v>8.9076999999999984</v>
      </c>
      <c r="GO49" s="175">
        <f t="shared" si="44"/>
        <v>1.2506950099688294</v>
      </c>
      <c r="GP49" s="179">
        <f t="shared" si="45"/>
        <v>1.0153799521762072</v>
      </c>
      <c r="GQ49" s="14">
        <v>11.411099999999998</v>
      </c>
      <c r="GR49" s="175">
        <f t="shared" si="46"/>
        <v>1.1120304049115624</v>
      </c>
      <c r="GS49" s="175">
        <f t="shared" si="47"/>
        <v>1.0217770416524266</v>
      </c>
      <c r="GV49" s="32">
        <f t="shared" si="25"/>
        <v>3607.9308299999971</v>
      </c>
      <c r="GW49" s="32">
        <f t="shared" si="26"/>
        <v>39360.477680000004</v>
      </c>
      <c r="GX49" s="180">
        <f t="shared" si="48"/>
        <v>42968.408510000001</v>
      </c>
      <c r="GZ49" s="32">
        <f t="shared" si="49"/>
        <v>9.0447000000000006</v>
      </c>
      <c r="HA49" s="32">
        <f t="shared" si="50"/>
        <v>11.659600000000001</v>
      </c>
      <c r="HB49" s="32">
        <f t="shared" si="51"/>
        <v>11.383264500490107</v>
      </c>
    </row>
    <row r="50" spans="1:210" ht="19.2" customHeight="1" x14ac:dyDescent="0.3">
      <c r="A50" s="50">
        <v>42</v>
      </c>
      <c r="B50" s="51" t="s">
        <v>542</v>
      </c>
      <c r="C50" s="150" t="s">
        <v>518</v>
      </c>
      <c r="D50" s="52">
        <v>9</v>
      </c>
      <c r="E50" s="52">
        <v>2</v>
      </c>
      <c r="F50" s="63">
        <v>72</v>
      </c>
      <c r="G50" s="54" t="s">
        <v>197</v>
      </c>
      <c r="H50" s="181" t="s">
        <v>193</v>
      </c>
      <c r="I50" s="55">
        <f t="shared" si="27"/>
        <v>442</v>
      </c>
      <c r="J50" s="55">
        <f t="shared" si="0"/>
        <v>3551</v>
      </c>
      <c r="K50" s="55">
        <f t="shared" si="1"/>
        <v>0</v>
      </c>
      <c r="L50" s="56">
        <v>3993</v>
      </c>
      <c r="M50" s="56">
        <v>3993</v>
      </c>
      <c r="N50" s="56">
        <f t="shared" si="28"/>
        <v>442</v>
      </c>
      <c r="O50" s="56">
        <v>0</v>
      </c>
      <c r="P50" s="56">
        <v>0</v>
      </c>
      <c r="Q50" s="55"/>
      <c r="R50" s="55">
        <v>3993</v>
      </c>
      <c r="S50" s="55"/>
      <c r="T50" s="55">
        <v>3551</v>
      </c>
      <c r="U50" s="152">
        <v>442</v>
      </c>
      <c r="V50" s="57">
        <v>0.1079</v>
      </c>
      <c r="W50" s="57">
        <v>5.6800000000000003E-2</v>
      </c>
      <c r="X50" s="153">
        <v>0.28899999999999998</v>
      </c>
      <c r="Y50" s="153">
        <v>6.6100000000000006E-2</v>
      </c>
      <c r="Z50" s="57">
        <v>5.2499999999999998E-2</v>
      </c>
      <c r="AA50" s="57">
        <v>0.31690000000000002</v>
      </c>
      <c r="AB50" s="57">
        <v>0</v>
      </c>
      <c r="AC50" s="153">
        <v>0.63149999999999995</v>
      </c>
      <c r="AD50" s="57">
        <v>0.1426</v>
      </c>
      <c r="AE50" s="57">
        <v>0</v>
      </c>
      <c r="AF50" s="57">
        <v>2.331</v>
      </c>
      <c r="AG50" s="57">
        <v>0.1459</v>
      </c>
      <c r="AH50" s="57">
        <v>0.20530000000000001</v>
      </c>
      <c r="AI50" s="57">
        <v>0.12139999999999999</v>
      </c>
      <c r="AJ50" s="57">
        <v>0.1011</v>
      </c>
      <c r="AK50" s="57">
        <v>0.1022</v>
      </c>
      <c r="AL50" s="57">
        <v>0.1396</v>
      </c>
      <c r="AM50" s="57">
        <v>2.8000000000000001E-2</v>
      </c>
      <c r="AN50" s="57">
        <v>0</v>
      </c>
      <c r="AO50" s="57">
        <v>1.9164000000000001</v>
      </c>
      <c r="AP50" s="153">
        <v>1.7116</v>
      </c>
      <c r="AQ50" s="153">
        <v>8.2400000000000001E-2</v>
      </c>
      <c r="AR50" s="57">
        <v>0.46939999999999998</v>
      </c>
      <c r="AS50" s="57">
        <v>3.9E-2</v>
      </c>
      <c r="AT50" s="153">
        <v>6.3E-3</v>
      </c>
      <c r="AU50" s="153">
        <v>0.27610000000000001</v>
      </c>
      <c r="AV50" s="153">
        <v>0</v>
      </c>
      <c r="AW50" s="154">
        <v>9.3389999999999986</v>
      </c>
      <c r="AX50" s="58">
        <v>0.46700000000000003</v>
      </c>
      <c r="AY50" s="155">
        <f t="shared" si="2"/>
        <v>0.46279999999999999</v>
      </c>
      <c r="AZ50" s="155">
        <f t="shared" si="3"/>
        <v>4.200000000000037E-3</v>
      </c>
      <c r="BA50" s="14">
        <v>9.8059999999999992</v>
      </c>
      <c r="BB50" s="59">
        <f>BA50-'[1]Тариф 26 свод без  ПДВ'!AU50</f>
        <v>-1.1000000000009891E-3</v>
      </c>
      <c r="BC50" s="57">
        <v>1.9301999999999999</v>
      </c>
      <c r="BD50" s="57">
        <v>0</v>
      </c>
      <c r="BE50" s="57">
        <v>0.41689999999999999</v>
      </c>
      <c r="BF50" s="156">
        <v>11.686099999999998</v>
      </c>
      <c r="BG50" s="59">
        <v>0.58430000000000004</v>
      </c>
      <c r="BH50" s="59"/>
      <c r="BI50" s="59"/>
      <c r="BJ50" s="14">
        <v>12.270399999999999</v>
      </c>
      <c r="BK50" s="60"/>
      <c r="BL50" s="60">
        <v>4.9654999999999987</v>
      </c>
      <c r="BM50" s="60">
        <v>0.24829999999999999</v>
      </c>
      <c r="BN50" s="14">
        <v>5.2137999999999991</v>
      </c>
      <c r="BO50" s="14"/>
      <c r="BP50" s="157"/>
      <c r="BQ50" s="158">
        <f>BJ50-'[1]Тариф 26 свод без  ПДВ'!BG50</f>
        <v>-3.8000000000018019E-3</v>
      </c>
      <c r="BR50" s="77">
        <f>'[1]Тариф 26 свод без  ПДВ'!BG50</f>
        <v>12.2742</v>
      </c>
      <c r="BS50" s="159">
        <f t="shared" si="4"/>
        <v>-3.8000000000018019E-3</v>
      </c>
      <c r="BU50" s="77">
        <f>'[1]Тариф 26 свод без  ПДВ'!AU50</f>
        <v>9.8071000000000002</v>
      </c>
      <c r="BV50" s="159">
        <f t="shared" si="5"/>
        <v>-1.1000000000009891E-3</v>
      </c>
      <c r="BX50" s="95">
        <v>4.6975999999999996</v>
      </c>
      <c r="BY50" s="95">
        <v>6.0221</v>
      </c>
      <c r="BZ50" s="95"/>
      <c r="CA50" s="182">
        <f t="shared" si="6"/>
        <v>2.0874489100817439</v>
      </c>
      <c r="CB50" s="182">
        <f t="shared" si="7"/>
        <v>2.037561647930124</v>
      </c>
      <c r="CD50" s="160">
        <f t="shared" si="69"/>
        <v>442</v>
      </c>
      <c r="CE50" s="160">
        <f t="shared" si="70"/>
        <v>3551</v>
      </c>
      <c r="CF50" s="77">
        <f t="shared" si="71"/>
        <v>4334.2519999999995</v>
      </c>
      <c r="CG50" s="77">
        <f t="shared" si="72"/>
        <v>43572.190399999992</v>
      </c>
      <c r="CI50" s="160">
        <f>'[1]0 СВОД'!AYY65</f>
        <v>47906.742950033171</v>
      </c>
      <c r="CJ50" s="77">
        <f t="shared" si="12"/>
        <v>574880.91540039808</v>
      </c>
      <c r="CM50" s="161">
        <v>45</v>
      </c>
      <c r="CN50" s="183" t="s">
        <v>543</v>
      </c>
      <c r="CO50" s="163">
        <v>9</v>
      </c>
      <c r="CP50" s="163">
        <v>2</v>
      </c>
      <c r="CQ50" s="164" t="s">
        <v>197</v>
      </c>
      <c r="CR50" s="165" t="s">
        <v>193</v>
      </c>
      <c r="CS50" s="166">
        <v>442</v>
      </c>
      <c r="CT50" s="166">
        <v>3545</v>
      </c>
      <c r="CU50" s="167">
        <v>0</v>
      </c>
      <c r="CV50" s="168">
        <v>3987</v>
      </c>
      <c r="CW50" s="166">
        <v>3987</v>
      </c>
      <c r="CX50" s="167">
        <v>0</v>
      </c>
      <c r="CY50" s="166">
        <v>0</v>
      </c>
      <c r="CZ50" s="166"/>
      <c r="DA50" s="166">
        <v>3987</v>
      </c>
      <c r="DB50" s="166"/>
      <c r="DC50" s="166">
        <v>3545</v>
      </c>
      <c r="DD50" s="59">
        <v>0.10589999999999999</v>
      </c>
      <c r="DE50" s="59">
        <v>9.2399999999999996E-2</v>
      </c>
      <c r="DF50" s="59">
        <v>0.1903</v>
      </c>
      <c r="DG50" s="59">
        <v>3.9E-2</v>
      </c>
      <c r="DH50" s="59">
        <v>1.9800000000000002E-2</v>
      </c>
      <c r="DI50" s="59">
        <v>0.13689999999999999</v>
      </c>
      <c r="DJ50" s="59">
        <v>4.8099999999999997E-2</v>
      </c>
      <c r="DK50" s="59">
        <v>0.3458</v>
      </c>
      <c r="DL50" s="169">
        <v>0</v>
      </c>
      <c r="DM50" s="59">
        <v>8.6900000000000005E-2</v>
      </c>
      <c r="DN50" s="169">
        <v>0</v>
      </c>
      <c r="DO50" s="184">
        <v>1.8658999999999999</v>
      </c>
      <c r="DP50" s="171">
        <f t="shared" si="13"/>
        <v>2.331</v>
      </c>
      <c r="DQ50" s="59">
        <v>7.0400000000000004E-2</v>
      </c>
      <c r="DR50" s="59">
        <v>0.1234</v>
      </c>
      <c r="DS50" s="59">
        <v>3.1600000000000003E-2</v>
      </c>
      <c r="DT50" s="59">
        <v>4.8099999999999997E-2</v>
      </c>
      <c r="DU50" s="59">
        <v>4.3200000000000002E-2</v>
      </c>
      <c r="DV50" s="59">
        <v>4.8300000000000003E-2</v>
      </c>
      <c r="DW50" s="59">
        <v>6.4999999999999997E-3</v>
      </c>
      <c r="DX50" s="169">
        <v>0</v>
      </c>
      <c r="DY50" s="59">
        <v>0.98250000000000004</v>
      </c>
      <c r="DZ50" s="171">
        <f t="shared" si="14"/>
        <v>1.9505343511450381</v>
      </c>
      <c r="EA50" s="59">
        <v>1.012</v>
      </c>
      <c r="EB50" s="171">
        <f t="shared" si="15"/>
        <v>1.7727272727272727</v>
      </c>
      <c r="EC50" s="59">
        <v>0.25169999999999998</v>
      </c>
      <c r="ED50" s="171">
        <f t="shared" si="16"/>
        <v>1.8649185538339295</v>
      </c>
      <c r="EE50" s="59">
        <v>2.98E-2</v>
      </c>
      <c r="EF50" s="59">
        <v>4.1000000000000003E-3</v>
      </c>
      <c r="EG50" s="59">
        <v>0.18490000000000001</v>
      </c>
      <c r="EH50" s="59">
        <v>0</v>
      </c>
      <c r="EI50" s="155">
        <v>0.14419999999999999</v>
      </c>
      <c r="EJ50" s="172">
        <v>5.9116999999999997</v>
      </c>
      <c r="EK50" s="173"/>
      <c r="EL50" s="59">
        <v>1.2032</v>
      </c>
      <c r="EM50" s="59">
        <v>0.253</v>
      </c>
      <c r="EN50" s="59">
        <v>0.18060000000000001</v>
      </c>
      <c r="EO50" s="172">
        <v>7.4043000000000001</v>
      </c>
      <c r="ES50" s="57">
        <f t="shared" si="29"/>
        <v>5.9116999999999997</v>
      </c>
      <c r="ET50" s="57">
        <f t="shared" si="30"/>
        <v>7.4043000000000001</v>
      </c>
      <c r="EU50" s="31"/>
      <c r="EV50" s="65">
        <f t="shared" si="17"/>
        <v>1.6587445235718998</v>
      </c>
      <c r="EW50" s="65">
        <f t="shared" si="64"/>
        <v>1.6571991950623284</v>
      </c>
      <c r="EX50" s="185">
        <v>7.5046999999999997</v>
      </c>
      <c r="EY50" s="174">
        <v>10.259600000000001</v>
      </c>
      <c r="EZ50" s="158">
        <f t="shared" si="19"/>
        <v>9.8059999999999992</v>
      </c>
      <c r="FA50" s="210">
        <f t="shared" si="20"/>
        <v>12.270399999999999</v>
      </c>
      <c r="FB50" s="158">
        <f t="shared" si="65"/>
        <v>2.3012999999999995</v>
      </c>
      <c r="FC50" s="158">
        <f t="shared" si="66"/>
        <v>2.0107999999999979</v>
      </c>
      <c r="FD50" s="175">
        <f t="shared" si="67"/>
        <v>0.30664783402401158</v>
      </c>
      <c r="FE50" s="175">
        <f t="shared" si="68"/>
        <v>0.16387403833615841</v>
      </c>
      <c r="FF50" s="158"/>
      <c r="FG50" s="174"/>
      <c r="FH50" s="174">
        <f t="shared" si="33"/>
        <v>39155.358</v>
      </c>
      <c r="FI50" s="174"/>
      <c r="FJ50" s="176">
        <v>1.2936000000000001</v>
      </c>
      <c r="FK50" s="87">
        <f t="shared" si="34"/>
        <v>1.2822700398669602</v>
      </c>
      <c r="FL50" s="87">
        <v>1.4049</v>
      </c>
      <c r="FM50" s="87">
        <f t="shared" si="35"/>
        <v>1.1795851626893932</v>
      </c>
      <c r="FO50" s="88">
        <f t="shared" si="21"/>
        <v>39155.358</v>
      </c>
      <c r="FP50" s="79">
        <f t="shared" si="22"/>
        <v>43572.190399999992</v>
      </c>
      <c r="FS50" s="79">
        <f t="shared" si="23"/>
        <v>23605.418099999999</v>
      </c>
      <c r="FT50" s="79">
        <f t="shared" si="24"/>
        <v>26292.669300000001</v>
      </c>
      <c r="FU50" s="79">
        <f t="shared" si="36"/>
        <v>1.6587445235718998</v>
      </c>
      <c r="FV50" s="79">
        <f t="shared" si="36"/>
        <v>1.6571991950623282</v>
      </c>
      <c r="FY50" s="79">
        <f t="shared" si="37"/>
        <v>4334.2519999999995</v>
      </c>
      <c r="FZ50" s="79">
        <f t="shared" si="38"/>
        <v>43572.190399999992</v>
      </c>
      <c r="GB50" s="178">
        <f t="shared" si="39"/>
        <v>442</v>
      </c>
      <c r="GC50" s="178">
        <f t="shared" si="40"/>
        <v>3551</v>
      </c>
      <c r="GG50" s="14">
        <v>7.7217000000000002</v>
      </c>
      <c r="GH50" s="175">
        <f t="shared" si="41"/>
        <v>1.2699276066151235</v>
      </c>
      <c r="GI50" s="14">
        <v>10.541100000000002</v>
      </c>
      <c r="GJ50" s="175">
        <f t="shared" si="42"/>
        <v>1.1640530874386921</v>
      </c>
      <c r="GK50" s="175">
        <f t="shared" si="62"/>
        <v>0.10587451917643143</v>
      </c>
      <c r="GN50" s="14">
        <v>9.9898000000000007</v>
      </c>
      <c r="GO50" s="175">
        <f t="shared" si="44"/>
        <v>1.2937306551666083</v>
      </c>
      <c r="GP50" s="179">
        <f t="shared" si="45"/>
        <v>0.98160123325792292</v>
      </c>
      <c r="GQ50" s="14">
        <v>12.239000000000003</v>
      </c>
      <c r="GR50" s="175">
        <f t="shared" si="46"/>
        <v>1.1610742711861191</v>
      </c>
      <c r="GS50" s="175">
        <f t="shared" si="47"/>
        <v>1.0025655690824411</v>
      </c>
      <c r="GV50" s="32">
        <f t="shared" si="25"/>
        <v>4334.2519999999995</v>
      </c>
      <c r="GW50" s="32">
        <f t="shared" si="26"/>
        <v>43572.190399999992</v>
      </c>
      <c r="GX50" s="180">
        <f t="shared" si="48"/>
        <v>47906.442399999993</v>
      </c>
      <c r="GZ50" s="32">
        <f t="shared" si="49"/>
        <v>9.8059999999999992</v>
      </c>
      <c r="HA50" s="32">
        <f t="shared" si="50"/>
        <v>12.270399999999999</v>
      </c>
      <c r="HB50" s="32">
        <f t="shared" si="51"/>
        <v>11.997606411219632</v>
      </c>
    </row>
    <row r="51" spans="1:210" ht="19.2" customHeight="1" x14ac:dyDescent="0.3">
      <c r="A51" s="50">
        <v>43</v>
      </c>
      <c r="B51" s="51" t="s">
        <v>544</v>
      </c>
      <c r="C51" s="150" t="s">
        <v>518</v>
      </c>
      <c r="D51" s="52">
        <v>9</v>
      </c>
      <c r="E51" s="52">
        <v>2</v>
      </c>
      <c r="F51" s="63">
        <v>72</v>
      </c>
      <c r="G51" s="54" t="s">
        <v>198</v>
      </c>
      <c r="H51" s="181" t="s">
        <v>193</v>
      </c>
      <c r="I51" s="55">
        <f t="shared" si="27"/>
        <v>498.80000000000018</v>
      </c>
      <c r="J51" s="55">
        <f t="shared" si="0"/>
        <v>3993.7</v>
      </c>
      <c r="K51" s="55">
        <f t="shared" si="1"/>
        <v>0</v>
      </c>
      <c r="L51" s="56">
        <v>4492.5</v>
      </c>
      <c r="M51" s="56">
        <v>4492.5</v>
      </c>
      <c r="N51" s="56">
        <f t="shared" si="28"/>
        <v>498.80000000000018</v>
      </c>
      <c r="O51" s="56">
        <v>0</v>
      </c>
      <c r="P51" s="56">
        <v>0</v>
      </c>
      <c r="Q51" s="55"/>
      <c r="R51" s="55">
        <v>4492.5</v>
      </c>
      <c r="S51" s="55"/>
      <c r="T51" s="55">
        <v>3993.7</v>
      </c>
      <c r="U51" s="152">
        <v>498.80000000000018</v>
      </c>
      <c r="V51" s="57">
        <v>0.11219999999999999</v>
      </c>
      <c r="W51" s="57">
        <v>5.8200000000000002E-2</v>
      </c>
      <c r="X51" s="153">
        <v>0.29360000000000003</v>
      </c>
      <c r="Y51" s="153">
        <v>7.4200000000000002E-2</v>
      </c>
      <c r="Z51" s="57">
        <v>5.6000000000000001E-2</v>
      </c>
      <c r="AA51" s="57">
        <v>0.28170000000000001</v>
      </c>
      <c r="AB51" s="57">
        <v>0</v>
      </c>
      <c r="AC51" s="153">
        <v>0.63149999999999995</v>
      </c>
      <c r="AD51" s="57">
        <v>0.12670000000000001</v>
      </c>
      <c r="AE51" s="57">
        <v>0</v>
      </c>
      <c r="AF51" s="57">
        <v>2.3603999999999998</v>
      </c>
      <c r="AG51" s="57">
        <v>0.1492</v>
      </c>
      <c r="AH51" s="57">
        <v>0.2097</v>
      </c>
      <c r="AI51" s="57">
        <v>0.1016</v>
      </c>
      <c r="AJ51" s="57">
        <v>0.1797</v>
      </c>
      <c r="AK51" s="57">
        <v>0.109</v>
      </c>
      <c r="AL51" s="57">
        <v>0.1241</v>
      </c>
      <c r="AM51" s="57">
        <v>2.64E-2</v>
      </c>
      <c r="AN51" s="57">
        <v>0</v>
      </c>
      <c r="AO51" s="57">
        <v>2.2235999999999998</v>
      </c>
      <c r="AP51" s="153">
        <v>1.4924999999999999</v>
      </c>
      <c r="AQ51" s="153">
        <v>8.2299999999999998E-2</v>
      </c>
      <c r="AR51" s="57">
        <v>0.49819999999999998</v>
      </c>
      <c r="AS51" s="57">
        <v>3.8199999999999998E-2</v>
      </c>
      <c r="AT51" s="153">
        <v>6.1999999999999998E-3</v>
      </c>
      <c r="AU51" s="153">
        <v>0.34100000000000003</v>
      </c>
      <c r="AV51" s="153">
        <v>0</v>
      </c>
      <c r="AW51" s="154">
        <v>9.5762</v>
      </c>
      <c r="AX51" s="58">
        <v>0.4788</v>
      </c>
      <c r="AY51" s="155">
        <f t="shared" si="2"/>
        <v>0.47470000000000001</v>
      </c>
      <c r="AZ51" s="155">
        <f t="shared" si="3"/>
        <v>4.0999999999999925E-3</v>
      </c>
      <c r="BA51" s="14">
        <v>10.055</v>
      </c>
      <c r="BB51" s="59">
        <f>BA51-'[1]Тариф 26 свод без  ПДВ'!AU51</f>
        <v>-1.4000000000002899E-3</v>
      </c>
      <c r="BC51" s="57">
        <v>1.7161999999999999</v>
      </c>
      <c r="BD51" s="57">
        <v>0</v>
      </c>
      <c r="BE51" s="57">
        <v>0.44059999999999999</v>
      </c>
      <c r="BF51" s="156">
        <v>11.733000000000001</v>
      </c>
      <c r="BG51" s="59">
        <v>0.5867</v>
      </c>
      <c r="BH51" s="59"/>
      <c r="BI51" s="59"/>
      <c r="BJ51" s="14">
        <v>12.319700000000001</v>
      </c>
      <c r="BK51" s="60"/>
      <c r="BL51" s="60">
        <v>5.020900000000001</v>
      </c>
      <c r="BM51" s="60">
        <v>0.251</v>
      </c>
      <c r="BN51" s="14">
        <v>5.2719000000000014</v>
      </c>
      <c r="BO51" s="14"/>
      <c r="BP51" s="157"/>
      <c r="BQ51" s="158">
        <f>BJ51-'[1]Тариф 26 свод без  ПДВ'!BG51</f>
        <v>-1.4999999999982805E-3</v>
      </c>
      <c r="BR51" s="77">
        <f>'[1]Тариф 26 свод без  ПДВ'!BG51</f>
        <v>12.321199999999999</v>
      </c>
      <c r="BS51" s="159">
        <f t="shared" si="4"/>
        <v>-1.4999999999982805E-3</v>
      </c>
      <c r="BU51" s="77">
        <f>'[1]Тариф 26 свод без  ПДВ'!AU51</f>
        <v>10.0564</v>
      </c>
      <c r="BV51" s="159">
        <f t="shared" si="5"/>
        <v>-1.4000000000002899E-3</v>
      </c>
      <c r="BX51" s="95">
        <v>4.7688000000000006</v>
      </c>
      <c r="BY51" s="95">
        <v>5.7777000000000003</v>
      </c>
      <c r="BZ51" s="95"/>
      <c r="CA51" s="182">
        <f t="shared" si="6"/>
        <v>2.1084968964938766</v>
      </c>
      <c r="CB51" s="182">
        <f t="shared" si="7"/>
        <v>2.1322844730602144</v>
      </c>
      <c r="CD51" s="160">
        <f t="shared" si="69"/>
        <v>498.80000000000018</v>
      </c>
      <c r="CE51" s="160">
        <f t="shared" si="70"/>
        <v>3993.7</v>
      </c>
      <c r="CF51" s="77">
        <f t="shared" si="71"/>
        <v>5015.434000000002</v>
      </c>
      <c r="CG51" s="77">
        <f t="shared" si="72"/>
        <v>49201.185890000001</v>
      </c>
      <c r="CI51" s="160">
        <f>'[1]0 СВОД'!AYY66</f>
        <v>54217.086321018221</v>
      </c>
      <c r="CJ51" s="77">
        <f t="shared" si="12"/>
        <v>650605.03585221863</v>
      </c>
      <c r="CM51" s="161">
        <v>46</v>
      </c>
      <c r="CN51" s="183" t="s">
        <v>545</v>
      </c>
      <c r="CO51" s="163">
        <v>9</v>
      </c>
      <c r="CP51" s="163">
        <v>2</v>
      </c>
      <c r="CQ51" s="164" t="s">
        <v>198</v>
      </c>
      <c r="CR51" s="165" t="s">
        <v>193</v>
      </c>
      <c r="CS51" s="166">
        <v>498.77999999999975</v>
      </c>
      <c r="CT51" s="166">
        <v>3988.3200000000006</v>
      </c>
      <c r="CU51" s="167">
        <v>0</v>
      </c>
      <c r="CV51" s="168">
        <v>4487.1000000000004</v>
      </c>
      <c r="CW51" s="166">
        <v>4487.1000000000004</v>
      </c>
      <c r="CX51" s="167">
        <v>0</v>
      </c>
      <c r="CY51" s="166">
        <v>0</v>
      </c>
      <c r="CZ51" s="166"/>
      <c r="DA51" s="166">
        <v>4487.1000000000004</v>
      </c>
      <c r="DB51" s="166"/>
      <c r="DC51" s="166">
        <v>3988.3200000000006</v>
      </c>
      <c r="DD51" s="59">
        <v>0.11020000000000001</v>
      </c>
      <c r="DE51" s="59">
        <v>9.4600000000000004E-2</v>
      </c>
      <c r="DF51" s="59">
        <v>0.1933</v>
      </c>
      <c r="DG51" s="59">
        <v>4.3799999999999999E-2</v>
      </c>
      <c r="DH51" s="59">
        <v>2.1100000000000001E-2</v>
      </c>
      <c r="DI51" s="59">
        <v>0.1217</v>
      </c>
      <c r="DJ51" s="59">
        <v>4.8099999999999997E-2</v>
      </c>
      <c r="DK51" s="59">
        <v>0.3458</v>
      </c>
      <c r="DL51" s="169">
        <v>0</v>
      </c>
      <c r="DM51" s="59">
        <v>7.7200000000000005E-2</v>
      </c>
      <c r="DN51" s="169">
        <v>0</v>
      </c>
      <c r="DO51" s="184">
        <v>1.8356999999999999</v>
      </c>
      <c r="DP51" s="171">
        <f t="shared" si="13"/>
        <v>2.3603999999999998</v>
      </c>
      <c r="DQ51" s="59">
        <v>7.1900000000000006E-2</v>
      </c>
      <c r="DR51" s="59">
        <v>0.12590000000000001</v>
      </c>
      <c r="DS51" s="59">
        <v>2.64E-2</v>
      </c>
      <c r="DT51" s="59">
        <v>8.5000000000000006E-2</v>
      </c>
      <c r="DU51" s="59">
        <v>4.5999999999999999E-2</v>
      </c>
      <c r="DV51" s="59">
        <v>4.2900000000000001E-2</v>
      </c>
      <c r="DW51" s="59">
        <v>5.7999999999999996E-3</v>
      </c>
      <c r="DX51" s="169">
        <v>0</v>
      </c>
      <c r="DY51" s="59">
        <v>1.1264000000000001</v>
      </c>
      <c r="DZ51" s="171">
        <f t="shared" si="14"/>
        <v>1.9740767045454541</v>
      </c>
      <c r="EA51" s="59">
        <v>0.88880000000000003</v>
      </c>
      <c r="EB51" s="171">
        <f t="shared" si="15"/>
        <v>1.7718271827182717</v>
      </c>
      <c r="EC51" s="59">
        <v>0.25990000000000002</v>
      </c>
      <c r="ED51" s="171">
        <f t="shared" si="16"/>
        <v>1.9168911119661405</v>
      </c>
      <c r="EE51" s="59">
        <v>2.93E-2</v>
      </c>
      <c r="EF51" s="59">
        <v>4.1000000000000003E-3</v>
      </c>
      <c r="EG51" s="59">
        <v>0.26769999999999999</v>
      </c>
      <c r="EH51" s="59">
        <v>0</v>
      </c>
      <c r="EI51" s="155">
        <v>0.14680000000000001</v>
      </c>
      <c r="EJ51" s="172">
        <v>6.0183999999999989</v>
      </c>
      <c r="EK51" s="173"/>
      <c r="EL51" s="59">
        <v>1.0694999999999999</v>
      </c>
      <c r="EM51" s="59">
        <v>0.36</v>
      </c>
      <c r="EN51" s="59">
        <v>0.1825</v>
      </c>
      <c r="EO51" s="172">
        <v>7.4835999999999991</v>
      </c>
      <c r="ES51" s="57">
        <f t="shared" si="29"/>
        <v>6.0183999999999989</v>
      </c>
      <c r="ET51" s="57">
        <f t="shared" si="30"/>
        <v>7.4835999999999991</v>
      </c>
      <c r="EU51" s="31"/>
      <c r="EV51" s="65">
        <f t="shared" si="17"/>
        <v>1.6707098232088264</v>
      </c>
      <c r="EW51" s="65">
        <f t="shared" si="64"/>
        <v>1.64622641509434</v>
      </c>
      <c r="EX51" s="185">
        <v>7.5515999999999996</v>
      </c>
      <c r="EY51" s="174">
        <v>10.1449</v>
      </c>
      <c r="EZ51" s="158">
        <f t="shared" si="19"/>
        <v>10.055</v>
      </c>
      <c r="FA51" s="210">
        <f t="shared" si="20"/>
        <v>12.319700000000001</v>
      </c>
      <c r="FB51" s="158">
        <f t="shared" si="65"/>
        <v>2.5034000000000001</v>
      </c>
      <c r="FC51" s="158">
        <f t="shared" si="66"/>
        <v>2.1748000000000012</v>
      </c>
      <c r="FD51" s="175">
        <f t="shared" si="67"/>
        <v>0.33150590603315855</v>
      </c>
      <c r="FE51" s="175">
        <f t="shared" si="68"/>
        <v>0.17653027265274324</v>
      </c>
      <c r="FF51" s="158"/>
      <c r="FG51" s="174"/>
      <c r="FH51" s="174">
        <f t="shared" si="33"/>
        <v>45172.087500000001</v>
      </c>
      <c r="FI51" s="174"/>
      <c r="FJ51" s="176">
        <v>1.3039000000000001</v>
      </c>
      <c r="FK51" s="87">
        <f t="shared" si="34"/>
        <v>1.281317450117974</v>
      </c>
      <c r="FL51" s="87">
        <v>1.4058999999999999</v>
      </c>
      <c r="FM51" s="87">
        <f t="shared" si="35"/>
        <v>1.170941329464642</v>
      </c>
      <c r="FO51" s="88">
        <f t="shared" si="21"/>
        <v>45172.087500000001</v>
      </c>
      <c r="FP51" s="79">
        <f t="shared" si="22"/>
        <v>49201.185890000001</v>
      </c>
      <c r="FS51" s="79">
        <f t="shared" si="23"/>
        <v>27037.661999999997</v>
      </c>
      <c r="FT51" s="79">
        <f t="shared" si="24"/>
        <v>29887.253319999996</v>
      </c>
      <c r="FU51" s="79">
        <f t="shared" si="36"/>
        <v>1.6707098232088264</v>
      </c>
      <c r="FV51" s="79">
        <f t="shared" si="36"/>
        <v>1.6462264150943398</v>
      </c>
      <c r="FY51" s="79">
        <f t="shared" si="37"/>
        <v>5015.434000000002</v>
      </c>
      <c r="FZ51" s="79">
        <f t="shared" si="38"/>
        <v>49201.185890000001</v>
      </c>
      <c r="GB51" s="178">
        <f t="shared" si="39"/>
        <v>498.80000000000018</v>
      </c>
      <c r="GC51" s="178">
        <f t="shared" si="40"/>
        <v>3993.7</v>
      </c>
      <c r="GG51" s="14">
        <v>7.9177999999999997</v>
      </c>
      <c r="GH51" s="175">
        <f t="shared" si="41"/>
        <v>1.2699234635883705</v>
      </c>
      <c r="GI51" s="14">
        <v>10.6088</v>
      </c>
      <c r="GJ51" s="175">
        <f t="shared" si="42"/>
        <v>1.1612717743759897</v>
      </c>
      <c r="GK51" s="175">
        <f t="shared" si="62"/>
        <v>0.10865168921238078</v>
      </c>
      <c r="GN51" s="14">
        <v>10.155799999999999</v>
      </c>
      <c r="GO51" s="175">
        <f t="shared" si="44"/>
        <v>1.282654272651494</v>
      </c>
      <c r="GP51" s="179">
        <f t="shared" si="45"/>
        <v>0.99007463715315391</v>
      </c>
      <c r="GQ51" s="14">
        <v>12.3005</v>
      </c>
      <c r="GR51" s="175">
        <f t="shared" si="46"/>
        <v>1.1594619561119071</v>
      </c>
      <c r="GS51" s="175">
        <f t="shared" si="47"/>
        <v>1.0015609121580424</v>
      </c>
      <c r="GV51" s="32">
        <f t="shared" si="25"/>
        <v>5015.434000000002</v>
      </c>
      <c r="GW51" s="32">
        <f t="shared" si="26"/>
        <v>49201.185890000001</v>
      </c>
      <c r="GX51" s="180">
        <f t="shared" si="48"/>
        <v>54216.619890000002</v>
      </c>
      <c r="GZ51" s="32">
        <f t="shared" si="49"/>
        <v>10.055</v>
      </c>
      <c r="HA51" s="32">
        <f t="shared" si="50"/>
        <v>12.319700000000001</v>
      </c>
      <c r="HB51" s="32">
        <f t="shared" si="51"/>
        <v>12.068251505843072</v>
      </c>
    </row>
    <row r="52" spans="1:210" ht="19.2" customHeight="1" x14ac:dyDescent="0.3">
      <c r="A52" s="50">
        <v>44</v>
      </c>
      <c r="B52" s="51" t="s">
        <v>546</v>
      </c>
      <c r="C52" s="150" t="s">
        <v>518</v>
      </c>
      <c r="D52" s="52">
        <v>9</v>
      </c>
      <c r="E52" s="52">
        <v>2</v>
      </c>
      <c r="F52" s="63">
        <v>105</v>
      </c>
      <c r="G52" s="54" t="s">
        <v>199</v>
      </c>
      <c r="H52" s="181" t="s">
        <v>193</v>
      </c>
      <c r="I52" s="55">
        <f t="shared" si="27"/>
        <v>712.90000000000055</v>
      </c>
      <c r="J52" s="55">
        <f t="shared" si="0"/>
        <v>5699.9</v>
      </c>
      <c r="K52" s="55">
        <f t="shared" si="1"/>
        <v>0</v>
      </c>
      <c r="L52" s="56">
        <v>6412.8</v>
      </c>
      <c r="M52" s="56">
        <v>6412.8</v>
      </c>
      <c r="N52" s="56">
        <f t="shared" si="28"/>
        <v>712.90000000000055</v>
      </c>
      <c r="O52" s="56">
        <v>0</v>
      </c>
      <c r="P52" s="56">
        <v>0</v>
      </c>
      <c r="Q52" s="55"/>
      <c r="R52" s="55">
        <v>6412.8</v>
      </c>
      <c r="S52" s="55"/>
      <c r="T52" s="55">
        <v>5699.9</v>
      </c>
      <c r="U52" s="152">
        <v>712.90000000000055</v>
      </c>
      <c r="V52" s="57">
        <v>0.17630000000000001</v>
      </c>
      <c r="W52" s="57">
        <v>6.4199999999999993E-2</v>
      </c>
      <c r="X52" s="153">
        <v>0.29649999999999999</v>
      </c>
      <c r="Y52" s="153">
        <v>6.83E-2</v>
      </c>
      <c r="Z52" s="57">
        <v>5.9200000000000003E-2</v>
      </c>
      <c r="AA52" s="57">
        <v>0.2397</v>
      </c>
      <c r="AB52" s="57">
        <v>0</v>
      </c>
      <c r="AC52" s="153">
        <v>0.63149999999999995</v>
      </c>
      <c r="AD52" s="57">
        <v>0.1221</v>
      </c>
      <c r="AE52" s="57">
        <v>0</v>
      </c>
      <c r="AF52" s="57">
        <v>3.0169000000000001</v>
      </c>
      <c r="AG52" s="57">
        <v>0.24640000000000001</v>
      </c>
      <c r="AH52" s="57">
        <v>0.23</v>
      </c>
      <c r="AI52" s="57">
        <v>0.1033</v>
      </c>
      <c r="AJ52" s="57">
        <v>0.1358</v>
      </c>
      <c r="AK52" s="57">
        <v>0.11509999999999999</v>
      </c>
      <c r="AL52" s="57">
        <v>0.13489999999999999</v>
      </c>
      <c r="AM52" s="57">
        <v>2.7E-2</v>
      </c>
      <c r="AN52" s="57">
        <v>0</v>
      </c>
      <c r="AO52" s="57">
        <v>1.6012</v>
      </c>
      <c r="AP52" s="153">
        <v>1.0885</v>
      </c>
      <c r="AQ52" s="153">
        <v>8.0399999999999999E-2</v>
      </c>
      <c r="AR52" s="57">
        <v>0.40160000000000001</v>
      </c>
      <c r="AS52" s="57">
        <v>3.6999999999999998E-2</v>
      </c>
      <c r="AT52" s="153">
        <v>6.0000000000000001E-3</v>
      </c>
      <c r="AU52" s="153">
        <v>0.26390000000000002</v>
      </c>
      <c r="AV52" s="153">
        <v>0</v>
      </c>
      <c r="AW52" s="154">
        <v>9.1457999999999995</v>
      </c>
      <c r="AX52" s="58">
        <v>0.45729999999999998</v>
      </c>
      <c r="AY52" s="155">
        <f t="shared" si="2"/>
        <v>0.45329999999999998</v>
      </c>
      <c r="AZ52" s="155">
        <f t="shared" si="3"/>
        <v>4.0000000000000036E-3</v>
      </c>
      <c r="BA52" s="14">
        <v>9.6030999999999995</v>
      </c>
      <c r="BB52" s="59">
        <f>BA52-'[1]Тариф 26 свод без  ПДВ'!AU52</f>
        <v>1.2999999999987466E-3</v>
      </c>
      <c r="BC52" s="57">
        <v>1.2024999999999999</v>
      </c>
      <c r="BD52" s="57">
        <v>0</v>
      </c>
      <c r="BE52" s="57">
        <v>0.71009999999999995</v>
      </c>
      <c r="BF52" s="156">
        <v>11.058400000000001</v>
      </c>
      <c r="BG52" s="59">
        <v>0.55289999999999995</v>
      </c>
      <c r="BH52" s="59"/>
      <c r="BI52" s="59"/>
      <c r="BJ52" s="14">
        <v>11.6113</v>
      </c>
      <c r="BK52" s="60"/>
      <c r="BL52" s="60">
        <v>5.7905999999999995</v>
      </c>
      <c r="BM52" s="60">
        <v>0.28949999999999998</v>
      </c>
      <c r="BN52" s="14">
        <v>6.0800999999999998</v>
      </c>
      <c r="BO52" s="14"/>
      <c r="BP52" s="157"/>
      <c r="BQ52" s="158">
        <f>BJ52-'[1]Тариф 26 свод без  ПДВ'!BG52</f>
        <v>8.9999999999967883E-4</v>
      </c>
      <c r="BR52" s="77">
        <f>'[1]Тариф 26 свод без  ПДВ'!BG52</f>
        <v>11.6104</v>
      </c>
      <c r="BS52" s="159">
        <f t="shared" si="4"/>
        <v>8.9999999999967883E-4</v>
      </c>
      <c r="BU52" s="77">
        <f>'[1]Тариф 26 свод без  ПДВ'!AU52</f>
        <v>9.6018000000000008</v>
      </c>
      <c r="BV52" s="159">
        <f t="shared" si="5"/>
        <v>1.2999999999987466E-3</v>
      </c>
      <c r="BX52" s="95">
        <v>4.4024999999999999</v>
      </c>
      <c r="BY52" s="95">
        <v>5.5403000000000002</v>
      </c>
      <c r="BZ52" s="95"/>
      <c r="CA52" s="62">
        <f t="shared" si="6"/>
        <v>2.1812833617262917</v>
      </c>
      <c r="CB52" s="62">
        <f t="shared" si="7"/>
        <v>2.0957890366947636</v>
      </c>
      <c r="CD52" s="160">
        <f t="shared" si="69"/>
        <v>712.90000000000055</v>
      </c>
      <c r="CE52" s="160">
        <f t="shared" si="70"/>
        <v>5699.9</v>
      </c>
      <c r="CF52" s="77">
        <f t="shared" si="71"/>
        <v>6846.049990000005</v>
      </c>
      <c r="CG52" s="77">
        <f t="shared" si="72"/>
        <v>66183.248869999996</v>
      </c>
      <c r="CI52" s="160">
        <f>'[1]0 СВОД'!AYY67</f>
        <v>73030.12898433501</v>
      </c>
      <c r="CJ52" s="77">
        <f t="shared" si="12"/>
        <v>876361.54781202017</v>
      </c>
      <c r="CM52" s="161">
        <v>47</v>
      </c>
      <c r="CN52" s="183" t="s">
        <v>547</v>
      </c>
      <c r="CO52" s="163">
        <v>9</v>
      </c>
      <c r="CP52" s="163">
        <v>2</v>
      </c>
      <c r="CQ52" s="164" t="s">
        <v>199</v>
      </c>
      <c r="CR52" s="165" t="s">
        <v>193</v>
      </c>
      <c r="CS52" s="166">
        <v>711.48999999999978</v>
      </c>
      <c r="CT52" s="166">
        <v>5691.21</v>
      </c>
      <c r="CU52" s="167">
        <v>0</v>
      </c>
      <c r="CV52" s="168">
        <v>6402.7</v>
      </c>
      <c r="CW52" s="166">
        <v>6402.7</v>
      </c>
      <c r="CX52" s="167">
        <v>0</v>
      </c>
      <c r="CY52" s="166">
        <v>0</v>
      </c>
      <c r="CZ52" s="166"/>
      <c r="DA52" s="166">
        <v>6402.7</v>
      </c>
      <c r="DB52" s="166"/>
      <c r="DC52" s="166">
        <v>5691.21</v>
      </c>
      <c r="DD52" s="59">
        <v>0.1681</v>
      </c>
      <c r="DE52" s="59">
        <v>0.10440000000000001</v>
      </c>
      <c r="DF52" s="59">
        <v>0.1953</v>
      </c>
      <c r="DG52" s="59">
        <v>4.0300000000000002E-2</v>
      </c>
      <c r="DH52" s="59">
        <v>2.23E-2</v>
      </c>
      <c r="DI52" s="59">
        <v>0.1056</v>
      </c>
      <c r="DJ52" s="59">
        <v>4.8099999999999997E-2</v>
      </c>
      <c r="DK52" s="59">
        <v>0.3458</v>
      </c>
      <c r="DL52" s="169">
        <v>0</v>
      </c>
      <c r="DM52" s="59">
        <v>7.4399999999999994E-2</v>
      </c>
      <c r="DN52" s="169">
        <v>0</v>
      </c>
      <c r="DO52" s="184">
        <v>1.8264</v>
      </c>
      <c r="DP52" s="171">
        <f t="shared" si="13"/>
        <v>3.0169000000000001</v>
      </c>
      <c r="DQ52" s="59">
        <v>0.1187</v>
      </c>
      <c r="DR52" s="59">
        <v>0.13800000000000001</v>
      </c>
      <c r="DS52" s="59">
        <v>2.6800000000000001E-2</v>
      </c>
      <c r="DT52" s="59">
        <v>6.4500000000000002E-2</v>
      </c>
      <c r="DU52" s="59">
        <v>4.8599999999999997E-2</v>
      </c>
      <c r="DV52" s="59">
        <v>4.6800000000000001E-2</v>
      </c>
      <c r="DW52" s="59">
        <v>6.1000000000000004E-3</v>
      </c>
      <c r="DX52" s="169">
        <v>0</v>
      </c>
      <c r="DY52" s="59">
        <v>0.8165</v>
      </c>
      <c r="DZ52" s="171">
        <f t="shared" si="14"/>
        <v>1.961053276178812</v>
      </c>
      <c r="EA52" s="59">
        <v>0.65990000000000004</v>
      </c>
      <c r="EB52" s="171">
        <f t="shared" si="15"/>
        <v>1.771328989240794</v>
      </c>
      <c r="EC52" s="59">
        <v>0.21249999999999999</v>
      </c>
      <c r="ED52" s="171">
        <f t="shared" si="16"/>
        <v>1.8898823529411766</v>
      </c>
      <c r="EE52" s="59">
        <v>2.8400000000000002E-2</v>
      </c>
      <c r="EF52" s="59">
        <v>3.8999999999999998E-3</v>
      </c>
      <c r="EG52" s="59">
        <v>0.3508</v>
      </c>
      <c r="EH52" s="59">
        <v>0</v>
      </c>
      <c r="EI52" s="155">
        <v>0.1363</v>
      </c>
      <c r="EJ52" s="172">
        <v>5.5885000000000016</v>
      </c>
      <c r="EK52" s="173"/>
      <c r="EL52" s="59">
        <v>0.74950000000000006</v>
      </c>
      <c r="EM52" s="59">
        <v>0.37680000000000002</v>
      </c>
      <c r="EN52" s="59">
        <v>0.16450000000000001</v>
      </c>
      <c r="EO52" s="172">
        <v>6.7430000000000021</v>
      </c>
      <c r="ES52" s="57">
        <f t="shared" si="29"/>
        <v>5.5885000000000016</v>
      </c>
      <c r="ET52" s="57">
        <f t="shared" si="30"/>
        <v>6.7430000000000021</v>
      </c>
      <c r="EU52" s="31"/>
      <c r="EV52" s="65">
        <f t="shared" si="17"/>
        <v>1.718368077301601</v>
      </c>
      <c r="EW52" s="65">
        <f t="shared" si="64"/>
        <v>1.7219783479163571</v>
      </c>
      <c r="EX52" s="185">
        <v>7.2687999999999997</v>
      </c>
      <c r="EY52" s="174">
        <v>9.2367000000000008</v>
      </c>
      <c r="EZ52" s="158">
        <f t="shared" si="19"/>
        <v>9.6030999999999995</v>
      </c>
      <c r="FA52" s="158">
        <f t="shared" si="20"/>
        <v>11.6113</v>
      </c>
      <c r="FB52" s="158">
        <f t="shared" si="65"/>
        <v>2.3342999999999998</v>
      </c>
      <c r="FC52" s="158">
        <f t="shared" si="66"/>
        <v>2.3745999999999992</v>
      </c>
      <c r="FD52" s="175">
        <f t="shared" si="67"/>
        <v>0.32113966541932643</v>
      </c>
      <c r="FE52" s="175">
        <f t="shared" si="68"/>
        <v>0.20450767786552748</v>
      </c>
      <c r="FF52" s="158"/>
      <c r="FG52" s="174"/>
      <c r="FH52" s="174">
        <f t="shared" si="33"/>
        <v>61582.759679999996</v>
      </c>
      <c r="FI52" s="174"/>
      <c r="FJ52" s="176">
        <v>1.3243</v>
      </c>
      <c r="FK52" s="87">
        <f t="shared" si="34"/>
        <v>1.2975670749087072</v>
      </c>
      <c r="FL52" s="87">
        <v>1.4061999999999999</v>
      </c>
      <c r="FM52" s="87">
        <f t="shared" si="35"/>
        <v>1.2245614762596766</v>
      </c>
      <c r="FO52" s="88">
        <f t="shared" si="21"/>
        <v>61582.759679999996</v>
      </c>
      <c r="FP52" s="79">
        <f t="shared" si="22"/>
        <v>66183.248869999996</v>
      </c>
      <c r="FS52" s="79">
        <f t="shared" si="23"/>
        <v>35837.93280000001</v>
      </c>
      <c r="FT52" s="79">
        <f t="shared" si="24"/>
        <v>38434.425700000007</v>
      </c>
      <c r="FU52" s="79">
        <f t="shared" si="36"/>
        <v>1.718368077301601</v>
      </c>
      <c r="FV52" s="79">
        <f t="shared" si="36"/>
        <v>1.7219783479163573</v>
      </c>
      <c r="FY52" s="79">
        <f t="shared" si="37"/>
        <v>6846.049990000005</v>
      </c>
      <c r="FZ52" s="79">
        <f t="shared" si="38"/>
        <v>66183.248869999996</v>
      </c>
      <c r="GB52" s="178">
        <f t="shared" si="39"/>
        <v>712.90000000000055</v>
      </c>
      <c r="GC52" s="178">
        <f t="shared" si="40"/>
        <v>5699.9</v>
      </c>
      <c r="GG52" s="14">
        <v>7.5621999999999989</v>
      </c>
      <c r="GH52" s="175">
        <f t="shared" si="41"/>
        <v>1.2698817804342653</v>
      </c>
      <c r="GI52" s="14">
        <v>9.6942999999999984</v>
      </c>
      <c r="GJ52" s="175">
        <f t="shared" si="42"/>
        <v>1.1977450666886729</v>
      </c>
      <c r="GK52" s="175">
        <f t="shared" si="62"/>
        <v>7.2136713745592385E-2</v>
      </c>
      <c r="GN52" s="14">
        <v>9.6209000000000024</v>
      </c>
      <c r="GO52" s="175">
        <f t="shared" si="44"/>
        <v>1.2722355928169056</v>
      </c>
      <c r="GP52" s="179">
        <f t="shared" si="45"/>
        <v>0.99814986123959271</v>
      </c>
      <c r="GQ52" s="14">
        <v>11.316600000000003</v>
      </c>
      <c r="GR52" s="175">
        <f t="shared" si="46"/>
        <v>1.1673457598795174</v>
      </c>
      <c r="GS52" s="175">
        <f t="shared" si="47"/>
        <v>1.0260413905236552</v>
      </c>
      <c r="GV52" s="32">
        <f t="shared" si="25"/>
        <v>6846.049990000005</v>
      </c>
      <c r="GW52" s="32">
        <f t="shared" si="26"/>
        <v>66183.248869999996</v>
      </c>
      <c r="GX52" s="180">
        <f t="shared" si="48"/>
        <v>73029.298859999995</v>
      </c>
      <c r="GZ52" s="32">
        <f t="shared" si="49"/>
        <v>9.6030999999999995</v>
      </c>
      <c r="HA52" s="32">
        <f t="shared" si="50"/>
        <v>11.6113</v>
      </c>
      <c r="HB52" s="32">
        <f t="shared" si="51"/>
        <v>11.388051843188622</v>
      </c>
    </row>
    <row r="53" spans="1:210" ht="19.2" customHeight="1" x14ac:dyDescent="0.3">
      <c r="A53" s="50">
        <v>45</v>
      </c>
      <c r="B53" s="51" t="s">
        <v>548</v>
      </c>
      <c r="C53" s="150" t="s">
        <v>518</v>
      </c>
      <c r="D53" s="52">
        <v>9</v>
      </c>
      <c r="E53" s="52">
        <v>2</v>
      </c>
      <c r="F53" s="63">
        <v>72</v>
      </c>
      <c r="G53" s="54" t="s">
        <v>200</v>
      </c>
      <c r="H53" s="181" t="s">
        <v>193</v>
      </c>
      <c r="I53" s="55">
        <f t="shared" si="27"/>
        <v>442</v>
      </c>
      <c r="J53" s="55">
        <f t="shared" si="0"/>
        <v>3542</v>
      </c>
      <c r="K53" s="55">
        <f t="shared" si="1"/>
        <v>0</v>
      </c>
      <c r="L53" s="56">
        <v>3984</v>
      </c>
      <c r="M53" s="56">
        <v>3984</v>
      </c>
      <c r="N53" s="56">
        <f t="shared" si="28"/>
        <v>442</v>
      </c>
      <c r="O53" s="56">
        <v>0</v>
      </c>
      <c r="P53" s="56">
        <v>0</v>
      </c>
      <c r="Q53" s="55"/>
      <c r="R53" s="55">
        <v>3984</v>
      </c>
      <c r="S53" s="55"/>
      <c r="T53" s="55">
        <v>3542</v>
      </c>
      <c r="U53" s="152">
        <v>442</v>
      </c>
      <c r="V53" s="57">
        <v>0.1211</v>
      </c>
      <c r="W53" s="57">
        <v>5.7599999999999998E-2</v>
      </c>
      <c r="X53" s="153">
        <v>0.31740000000000002</v>
      </c>
      <c r="Y53" s="153">
        <v>7.2700000000000001E-2</v>
      </c>
      <c r="Z53" s="57">
        <v>5.2699999999999997E-2</v>
      </c>
      <c r="AA53" s="57">
        <v>0.31759999999999999</v>
      </c>
      <c r="AB53" s="57">
        <v>0</v>
      </c>
      <c r="AC53" s="153">
        <v>0.63149999999999995</v>
      </c>
      <c r="AD53" s="57">
        <v>0.1429</v>
      </c>
      <c r="AE53" s="57">
        <v>0</v>
      </c>
      <c r="AF53" s="57">
        <v>2.5384000000000002</v>
      </c>
      <c r="AG53" s="57">
        <v>0.16159999999999999</v>
      </c>
      <c r="AH53" s="57">
        <v>0.20810000000000001</v>
      </c>
      <c r="AI53" s="57">
        <v>8.8099999999999998E-2</v>
      </c>
      <c r="AJ53" s="57">
        <v>0.1336</v>
      </c>
      <c r="AK53" s="57">
        <v>0.1024</v>
      </c>
      <c r="AL53" s="57">
        <v>0.1399</v>
      </c>
      <c r="AM53" s="57">
        <v>2.8000000000000001E-2</v>
      </c>
      <c r="AN53" s="57">
        <v>0</v>
      </c>
      <c r="AO53" s="57">
        <v>1.3545</v>
      </c>
      <c r="AP53" s="153">
        <v>1.8905000000000001</v>
      </c>
      <c r="AQ53" s="153">
        <v>8.3000000000000004E-2</v>
      </c>
      <c r="AR53" s="57">
        <v>0.54400000000000004</v>
      </c>
      <c r="AS53" s="57">
        <v>3.8800000000000001E-2</v>
      </c>
      <c r="AT53" s="153">
        <v>6.3E-3</v>
      </c>
      <c r="AU53" s="153">
        <v>0.34560000000000002</v>
      </c>
      <c r="AV53" s="153">
        <v>0</v>
      </c>
      <c r="AW53" s="154">
        <v>9.3762999999999987</v>
      </c>
      <c r="AX53" s="58">
        <v>0.46879999999999999</v>
      </c>
      <c r="AY53" s="155">
        <f t="shared" si="2"/>
        <v>0.4647</v>
      </c>
      <c r="AZ53" s="155">
        <f t="shared" si="3"/>
        <v>4.0999999999999925E-3</v>
      </c>
      <c r="BA53" s="14">
        <v>9.8450999999999986</v>
      </c>
      <c r="BB53" s="59">
        <f>BA53-'[1]Тариф 26 свод без  ПДВ'!AU53</f>
        <v>8.9999999999790248E-4</v>
      </c>
      <c r="BC53" s="57">
        <v>1.9351</v>
      </c>
      <c r="BD53" s="57">
        <v>0</v>
      </c>
      <c r="BE53" s="57">
        <v>0.49980000000000002</v>
      </c>
      <c r="BF53" s="156">
        <v>11.811199999999999</v>
      </c>
      <c r="BG53" s="59">
        <v>0.59060000000000001</v>
      </c>
      <c r="BH53" s="59"/>
      <c r="BI53" s="59"/>
      <c r="BJ53" s="14">
        <v>12.4018</v>
      </c>
      <c r="BK53" s="60"/>
      <c r="BL53" s="60">
        <v>5.2416999999999989</v>
      </c>
      <c r="BM53" s="60">
        <v>0.2621</v>
      </c>
      <c r="BN53" s="14">
        <v>5.5037999999999991</v>
      </c>
      <c r="BO53" s="14"/>
      <c r="BP53" s="157"/>
      <c r="BQ53" s="158">
        <f>BJ53-'[1]Тариф 26 свод без  ПДВ'!BG53</f>
        <v>2.6999999999990365E-3</v>
      </c>
      <c r="BR53" s="77">
        <f>'[1]Тариф 26 свод без  ПДВ'!BG53</f>
        <v>12.399100000000001</v>
      </c>
      <c r="BS53" s="159">
        <f t="shared" si="4"/>
        <v>2.6999999999990365E-3</v>
      </c>
      <c r="BU53" s="77">
        <f>'[1]Тариф 26 свод без  ПДВ'!AU53</f>
        <v>9.8442000000000007</v>
      </c>
      <c r="BV53" s="159">
        <f t="shared" si="5"/>
        <v>8.9999999999790248E-4</v>
      </c>
      <c r="BX53" s="95">
        <v>4.7218999999999998</v>
      </c>
      <c r="BY53" s="95">
        <v>5.9725000000000001</v>
      </c>
      <c r="BZ53" s="95"/>
      <c r="CA53" s="182">
        <f t="shared" si="6"/>
        <v>2.0849869755818631</v>
      </c>
      <c r="CB53" s="182">
        <f t="shared" si="7"/>
        <v>2.0764838844704898</v>
      </c>
      <c r="CD53" s="160">
        <f t="shared" si="69"/>
        <v>442</v>
      </c>
      <c r="CE53" s="160">
        <f t="shared" si="70"/>
        <v>3542</v>
      </c>
      <c r="CF53" s="77">
        <f t="shared" si="71"/>
        <v>4351.5341999999991</v>
      </c>
      <c r="CG53" s="77">
        <f t="shared" si="72"/>
        <v>43927.175600000002</v>
      </c>
      <c r="CI53" s="160">
        <f>'[1]0 СВОД'!AYY68</f>
        <v>48277.96139729063</v>
      </c>
      <c r="CJ53" s="77">
        <f t="shared" si="12"/>
        <v>579335.53676748753</v>
      </c>
      <c r="CM53" s="161">
        <v>48</v>
      </c>
      <c r="CN53" s="183" t="s">
        <v>549</v>
      </c>
      <c r="CO53" s="163">
        <v>9</v>
      </c>
      <c r="CP53" s="163">
        <v>2</v>
      </c>
      <c r="CQ53" s="164" t="s">
        <v>200</v>
      </c>
      <c r="CR53" s="165" t="s">
        <v>193</v>
      </c>
      <c r="CS53" s="166">
        <v>442</v>
      </c>
      <c r="CT53" s="166">
        <v>3535.7</v>
      </c>
      <c r="CU53" s="167">
        <v>0</v>
      </c>
      <c r="CV53" s="168">
        <v>3977.7</v>
      </c>
      <c r="CW53" s="166">
        <v>3977.7</v>
      </c>
      <c r="CX53" s="167">
        <v>0</v>
      </c>
      <c r="CY53" s="166">
        <v>0</v>
      </c>
      <c r="CZ53" s="166"/>
      <c r="DA53" s="166">
        <v>3977.7</v>
      </c>
      <c r="DB53" s="166"/>
      <c r="DC53" s="166">
        <v>3535.7</v>
      </c>
      <c r="DD53" s="59">
        <v>0.11899999999999999</v>
      </c>
      <c r="DE53" s="59">
        <v>9.3700000000000006E-2</v>
      </c>
      <c r="DF53" s="59">
        <v>0.20899999999999999</v>
      </c>
      <c r="DG53" s="59">
        <v>4.2900000000000001E-2</v>
      </c>
      <c r="DH53" s="59">
        <v>1.9800000000000002E-2</v>
      </c>
      <c r="DI53" s="59">
        <v>0.13719999999999999</v>
      </c>
      <c r="DJ53" s="59">
        <v>4.8099999999999997E-2</v>
      </c>
      <c r="DK53" s="59">
        <v>0.3458</v>
      </c>
      <c r="DL53" s="169">
        <v>0</v>
      </c>
      <c r="DM53" s="59">
        <v>8.7099999999999997E-2</v>
      </c>
      <c r="DN53" s="169">
        <v>0</v>
      </c>
      <c r="DO53" s="184">
        <v>1.9336</v>
      </c>
      <c r="DP53" s="171">
        <f t="shared" si="13"/>
        <v>2.5384000000000002</v>
      </c>
      <c r="DQ53" s="59">
        <v>7.8E-2</v>
      </c>
      <c r="DR53" s="59">
        <v>0.12509999999999999</v>
      </c>
      <c r="DS53" s="59">
        <v>2.3099999999999999E-2</v>
      </c>
      <c r="DT53" s="59">
        <v>6.3500000000000001E-2</v>
      </c>
      <c r="DU53" s="59">
        <v>4.3299999999999998E-2</v>
      </c>
      <c r="DV53" s="59">
        <v>4.8399999999999999E-2</v>
      </c>
      <c r="DW53" s="59">
        <v>6.6E-3</v>
      </c>
      <c r="DX53" s="169">
        <v>0</v>
      </c>
      <c r="DY53" s="59">
        <v>0.70760000000000001</v>
      </c>
      <c r="DZ53" s="171">
        <f t="shared" si="14"/>
        <v>1.9142170717919729</v>
      </c>
      <c r="EA53" s="59">
        <v>1.1137999999999999</v>
      </c>
      <c r="EB53" s="171">
        <f t="shared" si="15"/>
        <v>1.7718620937331659</v>
      </c>
      <c r="EC53" s="59">
        <v>0.2903</v>
      </c>
      <c r="ED53" s="171">
        <f t="shared" si="16"/>
        <v>1.8739235273854635</v>
      </c>
      <c r="EE53" s="59">
        <v>2.9700000000000001E-2</v>
      </c>
      <c r="EF53" s="59">
        <v>4.1000000000000003E-3</v>
      </c>
      <c r="EG53" s="59">
        <v>0.25069999999999998</v>
      </c>
      <c r="EH53" s="59">
        <v>0</v>
      </c>
      <c r="EI53" s="155">
        <v>0.14549999999999999</v>
      </c>
      <c r="EJ53" s="172">
        <v>5.9659000000000004</v>
      </c>
      <c r="EK53" s="173"/>
      <c r="EL53" s="59">
        <v>1.2063999999999999</v>
      </c>
      <c r="EM53" s="59">
        <v>0.33210000000000001</v>
      </c>
      <c r="EN53" s="59">
        <v>0.184</v>
      </c>
      <c r="EO53" s="172">
        <v>7.5428999999999995</v>
      </c>
      <c r="ES53" s="57">
        <f t="shared" si="29"/>
        <v>5.9659000000000004</v>
      </c>
      <c r="ET53" s="57">
        <f t="shared" si="30"/>
        <v>7.5428999999999995</v>
      </c>
      <c r="EU53" s="31"/>
      <c r="EV53" s="65">
        <f t="shared" si="17"/>
        <v>1.6502288003486478</v>
      </c>
      <c r="EW53" s="65">
        <f t="shared" si="64"/>
        <v>1.6441686884354825</v>
      </c>
      <c r="EX53" s="185">
        <v>7.4791999999999996</v>
      </c>
      <c r="EY53" s="174">
        <v>10.298500000000001</v>
      </c>
      <c r="EZ53" s="158">
        <f t="shared" si="19"/>
        <v>9.8450999999999986</v>
      </c>
      <c r="FA53" s="210">
        <f t="shared" si="20"/>
        <v>12.4018</v>
      </c>
      <c r="FB53" s="158">
        <f t="shared" si="65"/>
        <v>2.365899999999999</v>
      </c>
      <c r="FC53" s="158">
        <f t="shared" si="66"/>
        <v>2.1032999999999991</v>
      </c>
      <c r="FD53" s="175">
        <f t="shared" si="67"/>
        <v>0.31633062359610642</v>
      </c>
      <c r="FE53" s="175">
        <f t="shared" si="68"/>
        <v>0.1695963489170926</v>
      </c>
      <c r="FF53" s="158"/>
      <c r="FG53" s="174"/>
      <c r="FH53" s="174">
        <f t="shared" si="33"/>
        <v>39222.878399999994</v>
      </c>
      <c r="FI53" s="174"/>
      <c r="FJ53" s="176">
        <v>1.2596000000000001</v>
      </c>
      <c r="FK53" s="87">
        <f t="shared" si="34"/>
        <v>1.3101213086286503</v>
      </c>
      <c r="FL53" s="87">
        <v>1.3796999999999999</v>
      </c>
      <c r="FM53" s="87">
        <f t="shared" si="35"/>
        <v>1.1916856479201874</v>
      </c>
      <c r="FO53" s="88">
        <f t="shared" si="21"/>
        <v>39222.878399999994</v>
      </c>
      <c r="FP53" s="79">
        <f t="shared" si="22"/>
        <v>43927.175600000002</v>
      </c>
      <c r="FS53" s="79">
        <f t="shared" si="23"/>
        <v>23768.145600000003</v>
      </c>
      <c r="FT53" s="79">
        <f t="shared" si="24"/>
        <v>26716.951799999999</v>
      </c>
      <c r="FU53" s="79">
        <f t="shared" si="36"/>
        <v>1.6502288003486476</v>
      </c>
      <c r="FV53" s="79">
        <f t="shared" si="36"/>
        <v>1.6441686884354825</v>
      </c>
      <c r="FY53" s="79">
        <f t="shared" si="37"/>
        <v>4351.5341999999991</v>
      </c>
      <c r="FZ53" s="79">
        <f t="shared" si="38"/>
        <v>43927.175600000002</v>
      </c>
      <c r="GB53" s="178">
        <f t="shared" si="39"/>
        <v>442</v>
      </c>
      <c r="GC53" s="178">
        <f t="shared" si="40"/>
        <v>3542</v>
      </c>
      <c r="GG53" s="14">
        <v>7.7525000000000013</v>
      </c>
      <c r="GH53" s="175">
        <f t="shared" si="41"/>
        <v>1.2699258303772973</v>
      </c>
      <c r="GI53" s="14">
        <v>10.722700000000001</v>
      </c>
      <c r="GJ53" s="175">
        <f t="shared" si="42"/>
        <v>1.156593022279836</v>
      </c>
      <c r="GK53" s="175">
        <f t="shared" si="62"/>
        <v>0.11333280809746138</v>
      </c>
      <c r="GN53" s="14">
        <v>9.9201999999999995</v>
      </c>
      <c r="GO53" s="175">
        <f t="shared" si="44"/>
        <v>1.2796130280554656</v>
      </c>
      <c r="GP53" s="179">
        <f t="shared" si="45"/>
        <v>0.99242958811314275</v>
      </c>
      <c r="GQ53" s="14">
        <v>12.287800000000001</v>
      </c>
      <c r="GR53" s="175">
        <f t="shared" si="46"/>
        <v>1.1459613716694488</v>
      </c>
      <c r="GS53" s="175">
        <f t="shared" si="47"/>
        <v>1.0092774947508911</v>
      </c>
      <c r="GV53" s="32">
        <f t="shared" si="25"/>
        <v>4351.5341999999991</v>
      </c>
      <c r="GW53" s="32">
        <f t="shared" si="26"/>
        <v>43927.175600000002</v>
      </c>
      <c r="GX53" s="180">
        <f t="shared" si="48"/>
        <v>48278.709800000004</v>
      </c>
      <c r="GZ53" s="32">
        <f t="shared" si="49"/>
        <v>9.8450999999999986</v>
      </c>
      <c r="HA53" s="32">
        <f t="shared" si="50"/>
        <v>12.401800000000001</v>
      </c>
      <c r="HB53" s="32">
        <f t="shared" si="51"/>
        <v>12.118150050200803</v>
      </c>
    </row>
    <row r="54" spans="1:210" ht="19.2" customHeight="1" x14ac:dyDescent="0.3">
      <c r="A54" s="50">
        <v>46</v>
      </c>
      <c r="B54" s="51" t="s">
        <v>550</v>
      </c>
      <c r="C54" s="150" t="s">
        <v>518</v>
      </c>
      <c r="D54" s="52">
        <v>9</v>
      </c>
      <c r="E54" s="52">
        <v>2</v>
      </c>
      <c r="F54" s="63">
        <v>74</v>
      </c>
      <c r="G54" s="54" t="s">
        <v>201</v>
      </c>
      <c r="H54" s="181" t="s">
        <v>173</v>
      </c>
      <c r="I54" s="55">
        <f t="shared" si="27"/>
        <v>411.70000000000027</v>
      </c>
      <c r="J54" s="55">
        <f t="shared" si="0"/>
        <v>3338.7</v>
      </c>
      <c r="K54" s="55">
        <f t="shared" si="1"/>
        <v>0</v>
      </c>
      <c r="L54" s="56">
        <v>3750.4</v>
      </c>
      <c r="M54" s="56">
        <v>3750.4</v>
      </c>
      <c r="N54" s="56">
        <f t="shared" si="28"/>
        <v>411.70000000000027</v>
      </c>
      <c r="O54" s="56">
        <v>0</v>
      </c>
      <c r="P54" s="56">
        <v>0</v>
      </c>
      <c r="Q54" s="55"/>
      <c r="R54" s="55">
        <v>3750.4</v>
      </c>
      <c r="S54" s="55"/>
      <c r="T54" s="55">
        <v>3338.7</v>
      </c>
      <c r="U54" s="152">
        <v>411.70000000000027</v>
      </c>
      <c r="V54" s="57">
        <v>0.13159999999999999</v>
      </c>
      <c r="W54" s="57">
        <v>6.9599999999999995E-2</v>
      </c>
      <c r="X54" s="153">
        <v>0.30270000000000002</v>
      </c>
      <c r="Y54" s="153">
        <v>6.7900000000000002E-2</v>
      </c>
      <c r="Z54" s="57">
        <v>2.3400000000000001E-2</v>
      </c>
      <c r="AA54" s="57">
        <v>0.2074</v>
      </c>
      <c r="AB54" s="57">
        <v>0</v>
      </c>
      <c r="AC54" s="153">
        <v>0.63149999999999995</v>
      </c>
      <c r="AD54" s="57">
        <v>0.15179999999999999</v>
      </c>
      <c r="AE54" s="57">
        <v>0</v>
      </c>
      <c r="AF54" s="57">
        <v>1.9976</v>
      </c>
      <c r="AG54" s="57">
        <v>0.1754</v>
      </c>
      <c r="AH54" s="57">
        <v>0.251</v>
      </c>
      <c r="AI54" s="57">
        <v>0.10100000000000001</v>
      </c>
      <c r="AJ54" s="57">
        <v>9.3100000000000002E-2</v>
      </c>
      <c r="AK54" s="57">
        <v>4.5600000000000002E-2</v>
      </c>
      <c r="AL54" s="57">
        <v>4.2299999999999997E-2</v>
      </c>
      <c r="AM54" s="57">
        <v>3.2500000000000001E-2</v>
      </c>
      <c r="AN54" s="57">
        <v>0</v>
      </c>
      <c r="AO54" s="57">
        <v>1.7786</v>
      </c>
      <c r="AP54" s="153">
        <v>1.5629</v>
      </c>
      <c r="AQ54" s="153">
        <v>8.1199999999999994E-2</v>
      </c>
      <c r="AR54" s="57">
        <v>0.498</v>
      </c>
      <c r="AS54" s="57">
        <v>3.6200000000000003E-2</v>
      </c>
      <c r="AT54" s="153">
        <v>5.8999999999999999E-3</v>
      </c>
      <c r="AU54" s="153">
        <v>0.18490000000000001</v>
      </c>
      <c r="AV54" s="153">
        <v>0</v>
      </c>
      <c r="AW54" s="154">
        <v>8.4720999999999993</v>
      </c>
      <c r="AX54" s="58">
        <v>0.42359999999999998</v>
      </c>
      <c r="AY54" s="155">
        <f t="shared" si="2"/>
        <v>0.41949999999999998</v>
      </c>
      <c r="AZ54" s="155">
        <f t="shared" si="3"/>
        <v>4.0999999999999925E-3</v>
      </c>
      <c r="BA54" s="14">
        <v>8.8956999999999997</v>
      </c>
      <c r="BB54" s="59">
        <f>BA54-'[1]Тариф 26 свод без  ПДВ'!AU54</f>
        <v>3.7000000000002586E-3</v>
      </c>
      <c r="BC54" s="57">
        <v>2.0529000000000002</v>
      </c>
      <c r="BD54" s="57">
        <v>0</v>
      </c>
      <c r="BE54" s="57">
        <v>0.26350000000000001</v>
      </c>
      <c r="BF54" s="156">
        <v>10.788499999999999</v>
      </c>
      <c r="BG54" s="59">
        <v>0.53939999999999999</v>
      </c>
      <c r="BH54" s="59"/>
      <c r="BI54" s="59"/>
      <c r="BJ54" s="14">
        <v>11.3279</v>
      </c>
      <c r="BK54" s="60"/>
      <c r="BL54" s="60">
        <v>4.4476999999999984</v>
      </c>
      <c r="BM54" s="60">
        <v>0.22239999999999999</v>
      </c>
      <c r="BN54" s="14">
        <v>4.6700999999999988</v>
      </c>
      <c r="BO54" s="14"/>
      <c r="BP54" s="157"/>
      <c r="BQ54" s="158">
        <f>BJ54-'[1]Тариф 26 свод без  ПДВ'!BG54</f>
        <v>-6.0000000000037801E-4</v>
      </c>
      <c r="BR54" s="77">
        <f>'[1]Тариф 26 свод без  ПДВ'!BG54</f>
        <v>11.3285</v>
      </c>
      <c r="BS54" s="159">
        <f t="shared" si="4"/>
        <v>-6.0000000000037801E-4</v>
      </c>
      <c r="BU54" s="77">
        <f>'[1]Тариф 26 свод без  ПДВ'!AU54</f>
        <v>8.8919999999999995</v>
      </c>
      <c r="BV54" s="159">
        <f t="shared" si="5"/>
        <v>3.7000000000002586E-3</v>
      </c>
      <c r="BX54" s="95">
        <v>4.8071000000000002</v>
      </c>
      <c r="BY54" s="95">
        <v>6.1006999999999998</v>
      </c>
      <c r="BZ54" s="95"/>
      <c r="CA54" s="182">
        <f t="shared" si="6"/>
        <v>1.8505335857377627</v>
      </c>
      <c r="CB54" s="182">
        <f t="shared" si="7"/>
        <v>1.8568197092136969</v>
      </c>
      <c r="CD54" s="160">
        <f t="shared" si="69"/>
        <v>411.70000000000027</v>
      </c>
      <c r="CE54" s="160">
        <f t="shared" si="70"/>
        <v>3338.7</v>
      </c>
      <c r="CF54" s="77">
        <f t="shared" si="71"/>
        <v>3662.3596900000025</v>
      </c>
      <c r="CG54" s="77">
        <f t="shared" si="72"/>
        <v>37820.459729999995</v>
      </c>
      <c r="CI54" s="160">
        <f>'[1]0 СВОД'!AYY69</f>
        <v>41483.632588915156</v>
      </c>
      <c r="CJ54" s="77">
        <f t="shared" si="12"/>
        <v>497803.5910669819</v>
      </c>
      <c r="CM54" s="161">
        <v>49</v>
      </c>
      <c r="CN54" s="183" t="s">
        <v>551</v>
      </c>
      <c r="CO54" s="163">
        <v>9</v>
      </c>
      <c r="CP54" s="163">
        <v>2</v>
      </c>
      <c r="CQ54" s="164" t="s">
        <v>201</v>
      </c>
      <c r="CR54" s="165" t="s">
        <v>173</v>
      </c>
      <c r="CS54" s="166">
        <v>411.69999999999982</v>
      </c>
      <c r="CT54" s="166">
        <v>3334.1000000000004</v>
      </c>
      <c r="CU54" s="167">
        <v>0</v>
      </c>
      <c r="CV54" s="168">
        <v>3745.8</v>
      </c>
      <c r="CW54" s="166">
        <v>3745.8</v>
      </c>
      <c r="CX54" s="167">
        <v>0</v>
      </c>
      <c r="CY54" s="166">
        <v>0</v>
      </c>
      <c r="CZ54" s="166"/>
      <c r="DA54" s="166">
        <v>3745.8</v>
      </c>
      <c r="DB54" s="166"/>
      <c r="DC54" s="166">
        <v>3334.1000000000004</v>
      </c>
      <c r="DD54" s="59">
        <v>0.12939999999999999</v>
      </c>
      <c r="DE54" s="59">
        <v>0.1133</v>
      </c>
      <c r="DF54" s="59">
        <v>0.19919999999999999</v>
      </c>
      <c r="DG54" s="59">
        <v>0.04</v>
      </c>
      <c r="DH54" s="59">
        <v>8.8000000000000005E-3</v>
      </c>
      <c r="DI54" s="59">
        <v>8.8599999999999998E-2</v>
      </c>
      <c r="DJ54" s="59">
        <v>4.8099999999999997E-2</v>
      </c>
      <c r="DK54" s="59">
        <v>0.3458</v>
      </c>
      <c r="DL54" s="169">
        <v>0</v>
      </c>
      <c r="DM54" s="59">
        <v>9.2499999999999999E-2</v>
      </c>
      <c r="DN54" s="169">
        <v>0</v>
      </c>
      <c r="DO54" s="184">
        <v>1.3393999999999999</v>
      </c>
      <c r="DP54" s="171">
        <f t="shared" si="13"/>
        <v>1.9976</v>
      </c>
      <c r="DQ54" s="59">
        <v>8.4599999999999995E-2</v>
      </c>
      <c r="DR54" s="59">
        <v>0.15079999999999999</v>
      </c>
      <c r="DS54" s="59">
        <v>2.6200000000000001E-2</v>
      </c>
      <c r="DT54" s="59">
        <v>4.41E-2</v>
      </c>
      <c r="DU54" s="59">
        <v>1.9300000000000001E-2</v>
      </c>
      <c r="DV54" s="59">
        <v>1.4800000000000001E-2</v>
      </c>
      <c r="DW54" s="59">
        <v>8.6999999999999994E-3</v>
      </c>
      <c r="DX54" s="169">
        <v>0</v>
      </c>
      <c r="DY54" s="59">
        <v>0.8538</v>
      </c>
      <c r="DZ54" s="171">
        <f t="shared" si="14"/>
        <v>2.083157648161162</v>
      </c>
      <c r="EA54" s="59">
        <v>0.91949999999999998</v>
      </c>
      <c r="EB54" s="171">
        <f t="shared" si="15"/>
        <v>1.7880369766177269</v>
      </c>
      <c r="EC54" s="59">
        <v>0.20979999999999999</v>
      </c>
      <c r="ED54" s="171">
        <f t="shared" si="16"/>
        <v>2.3736892278360346</v>
      </c>
      <c r="EE54" s="59">
        <v>2.7799999999999998E-2</v>
      </c>
      <c r="EF54" s="59">
        <v>3.8999999999999998E-3</v>
      </c>
      <c r="EG54" s="59">
        <v>0.14899999999999999</v>
      </c>
      <c r="EH54" s="59">
        <v>0</v>
      </c>
      <c r="EI54" s="155">
        <v>0.1229</v>
      </c>
      <c r="EJ54" s="172">
        <v>5.0402999999999984</v>
      </c>
      <c r="EK54" s="173"/>
      <c r="EL54" s="59">
        <v>1.7768999999999999</v>
      </c>
      <c r="EM54" s="59">
        <v>0.2021</v>
      </c>
      <c r="EN54" s="59">
        <v>0.1724</v>
      </c>
      <c r="EO54" s="172">
        <v>7.0687999999999978</v>
      </c>
      <c r="ES54" s="57">
        <f t="shared" si="29"/>
        <v>5.0402999999999984</v>
      </c>
      <c r="ET54" s="57">
        <f t="shared" si="30"/>
        <v>7.0687999999999978</v>
      </c>
      <c r="EU54" s="31"/>
      <c r="EV54" s="61">
        <f t="shared" si="17"/>
        <v>1.7649147868182455</v>
      </c>
      <c r="EW54" s="61">
        <f t="shared" si="64"/>
        <v>1.6025209370756002</v>
      </c>
      <c r="EX54" s="185">
        <v>6.6090999999999998</v>
      </c>
      <c r="EY54" s="174">
        <v>9.2461000000000002</v>
      </c>
      <c r="EZ54" s="158">
        <f t="shared" si="19"/>
        <v>8.8956999999999997</v>
      </c>
      <c r="FA54" s="158">
        <f t="shared" si="20"/>
        <v>11.3279</v>
      </c>
      <c r="FB54" s="158">
        <f t="shared" si="65"/>
        <v>2.2866</v>
      </c>
      <c r="FC54" s="158">
        <f t="shared" si="66"/>
        <v>2.0817999999999994</v>
      </c>
      <c r="FD54" s="175">
        <f t="shared" si="67"/>
        <v>0.34597751584935921</v>
      </c>
      <c r="FE54" s="175">
        <f t="shared" si="68"/>
        <v>0.18377633983350838</v>
      </c>
      <c r="FF54" s="158"/>
      <c r="FG54" s="174"/>
      <c r="FH54" s="174">
        <f t="shared" si="33"/>
        <v>33362.433279999997</v>
      </c>
      <c r="FI54" s="174"/>
      <c r="FJ54" s="176">
        <v>1.3112999999999999</v>
      </c>
      <c r="FK54" s="87">
        <f t="shared" si="34"/>
        <v>1.3459275427577562</v>
      </c>
      <c r="FL54" s="87">
        <v>1.3334999999999999</v>
      </c>
      <c r="FM54" s="87">
        <f t="shared" si="35"/>
        <v>1.2017404852460445</v>
      </c>
      <c r="FO54" s="88">
        <f t="shared" si="21"/>
        <v>33362.433279999997</v>
      </c>
      <c r="FP54" s="79">
        <f t="shared" si="22"/>
        <v>37820.459729999995</v>
      </c>
      <c r="FS54" s="79">
        <f t="shared" si="23"/>
        <v>18903.141119999993</v>
      </c>
      <c r="FT54" s="79">
        <f t="shared" si="24"/>
        <v>23600.602559999992</v>
      </c>
      <c r="FU54" s="79">
        <f t="shared" si="36"/>
        <v>1.7649147868182455</v>
      </c>
      <c r="FV54" s="79">
        <f t="shared" si="36"/>
        <v>1.6025209370756002</v>
      </c>
      <c r="FY54" s="79">
        <f t="shared" si="37"/>
        <v>3662.3596900000025</v>
      </c>
      <c r="FZ54" s="79">
        <f t="shared" si="38"/>
        <v>37820.459729999995</v>
      </c>
      <c r="GB54" s="178">
        <f t="shared" si="39"/>
        <v>411.70000000000027</v>
      </c>
      <c r="GC54" s="178">
        <f t="shared" si="40"/>
        <v>3338.7</v>
      </c>
      <c r="GG54" s="14">
        <v>7.0047999999999995</v>
      </c>
      <c r="GH54" s="175">
        <f t="shared" si="41"/>
        <v>1.2699434673366834</v>
      </c>
      <c r="GI54" s="14">
        <v>9.9209999999999994</v>
      </c>
      <c r="GJ54" s="175">
        <f t="shared" si="42"/>
        <v>1.1418103013809091</v>
      </c>
      <c r="GK54" s="175">
        <f t="shared" si="62"/>
        <v>0.12813316595577429</v>
      </c>
      <c r="GN54" s="14">
        <v>8.9848999999999997</v>
      </c>
      <c r="GO54" s="175">
        <f t="shared" si="44"/>
        <v>1.2826775925079945</v>
      </c>
      <c r="GP54" s="179">
        <f t="shared" si="45"/>
        <v>0.99007223230086039</v>
      </c>
      <c r="GQ54" s="14">
        <v>11.313600000000001</v>
      </c>
      <c r="GR54" s="175">
        <f t="shared" si="46"/>
        <v>1.1403689144239493</v>
      </c>
      <c r="GS54" s="175">
        <f t="shared" si="47"/>
        <v>1.0012639654928581</v>
      </c>
      <c r="GV54" s="32">
        <f t="shared" si="25"/>
        <v>3662.3596900000025</v>
      </c>
      <c r="GW54" s="32">
        <f t="shared" si="26"/>
        <v>37820.459729999995</v>
      </c>
      <c r="GX54" s="180">
        <f t="shared" si="48"/>
        <v>41482.81942</v>
      </c>
      <c r="GZ54" s="32">
        <f t="shared" si="49"/>
        <v>8.8956999999999997</v>
      </c>
      <c r="HA54" s="32">
        <f t="shared" si="50"/>
        <v>11.3279</v>
      </c>
      <c r="HB54" s="32">
        <f t="shared" si="51"/>
        <v>11.060905348762798</v>
      </c>
    </row>
    <row r="55" spans="1:210" ht="29.4" customHeight="1" x14ac:dyDescent="0.3">
      <c r="A55" s="50">
        <v>47</v>
      </c>
      <c r="B55" s="51" t="s">
        <v>552</v>
      </c>
      <c r="C55" s="150" t="s">
        <v>518</v>
      </c>
      <c r="D55" s="52">
        <v>14</v>
      </c>
      <c r="E55" s="52">
        <v>1</v>
      </c>
      <c r="F55" s="63">
        <v>62</v>
      </c>
      <c r="G55" s="54" t="s">
        <v>248</v>
      </c>
      <c r="H55" s="181" t="s">
        <v>249</v>
      </c>
      <c r="I55" s="55">
        <f t="shared" si="27"/>
        <v>336</v>
      </c>
      <c r="J55" s="55">
        <f t="shared" si="0"/>
        <v>5034.5</v>
      </c>
      <c r="K55" s="55">
        <f t="shared" si="1"/>
        <v>0</v>
      </c>
      <c r="L55" s="56">
        <v>5370.5</v>
      </c>
      <c r="M55" s="56">
        <v>5370.5</v>
      </c>
      <c r="N55" s="56">
        <f t="shared" si="28"/>
        <v>336</v>
      </c>
      <c r="O55" s="56">
        <v>0</v>
      </c>
      <c r="P55" s="56">
        <v>0</v>
      </c>
      <c r="Q55" s="55"/>
      <c r="R55" s="55">
        <v>5370.5</v>
      </c>
      <c r="S55" s="55"/>
      <c r="T55" s="55">
        <v>5034.5</v>
      </c>
      <c r="U55" s="152">
        <v>336</v>
      </c>
      <c r="V55" s="57">
        <v>0.125</v>
      </c>
      <c r="W55" s="57">
        <v>7.8399999999999997E-2</v>
      </c>
      <c r="X55" s="153">
        <v>0.28239999999999998</v>
      </c>
      <c r="Y55" s="153">
        <v>7.17E-2</v>
      </c>
      <c r="Z55" s="57">
        <v>1.67E-2</v>
      </c>
      <c r="AA55" s="57">
        <v>0.2414</v>
      </c>
      <c r="AB55" s="57">
        <v>0</v>
      </c>
      <c r="AC55" s="153">
        <v>0.63149999999999995</v>
      </c>
      <c r="AD55" s="57">
        <v>9.2799999999999994E-2</v>
      </c>
      <c r="AE55" s="57">
        <v>0</v>
      </c>
      <c r="AF55" s="57">
        <v>1.8024</v>
      </c>
      <c r="AG55" s="57">
        <v>0.16309999999999999</v>
      </c>
      <c r="AH55" s="57">
        <v>0.27529999999999999</v>
      </c>
      <c r="AI55" s="57">
        <v>0.12280000000000001</v>
      </c>
      <c r="AJ55" s="57">
        <v>0.1195</v>
      </c>
      <c r="AK55" s="57">
        <v>3.2599999999999997E-2</v>
      </c>
      <c r="AL55" s="57">
        <v>0.11509999999999999</v>
      </c>
      <c r="AM55" s="57">
        <v>0</v>
      </c>
      <c r="AN55" s="57">
        <v>0</v>
      </c>
      <c r="AO55" s="57">
        <v>1.0214000000000001</v>
      </c>
      <c r="AP55" s="153">
        <v>1.6304000000000001</v>
      </c>
      <c r="AQ55" s="153">
        <v>5.8099999999999999E-2</v>
      </c>
      <c r="AR55" s="57">
        <v>0.34720000000000001</v>
      </c>
      <c r="AS55" s="57">
        <v>2.7E-2</v>
      </c>
      <c r="AT55" s="153">
        <v>4.4000000000000003E-3</v>
      </c>
      <c r="AU55" s="153">
        <v>0.37590000000000001</v>
      </c>
      <c r="AV55" s="153">
        <v>0</v>
      </c>
      <c r="AW55" s="154">
        <v>7.6350999999999996</v>
      </c>
      <c r="AX55" s="58">
        <v>0.38179999999999997</v>
      </c>
      <c r="AY55" s="155">
        <f t="shared" si="2"/>
        <v>0.37890000000000001</v>
      </c>
      <c r="AZ55" s="155">
        <f t="shared" si="3"/>
        <v>2.8999999999999582E-3</v>
      </c>
      <c r="BA55" s="14">
        <v>8.0168999999999997</v>
      </c>
      <c r="BB55" s="59">
        <f>BA55-'[1]Тариф 26 свод без  ПДВ'!AU55</f>
        <v>-2.2000000000002018E-3</v>
      </c>
      <c r="BC55" s="57">
        <v>1.0406</v>
      </c>
      <c r="BD55" s="57">
        <v>7.1400000000000005E-2</v>
      </c>
      <c r="BE55" s="57">
        <v>0.58599999999999997</v>
      </c>
      <c r="BF55" s="156">
        <v>9.3331</v>
      </c>
      <c r="BG55" s="59">
        <v>0.4667</v>
      </c>
      <c r="BH55" s="59"/>
      <c r="BI55" s="59"/>
      <c r="BJ55" s="14">
        <v>9.7997999999999994</v>
      </c>
      <c r="BK55" s="60"/>
      <c r="BL55" s="60">
        <v>4.2602000000000002</v>
      </c>
      <c r="BM55" s="60">
        <v>0.21299999999999999</v>
      </c>
      <c r="BN55" s="14">
        <v>4.4732000000000003</v>
      </c>
      <c r="BO55" s="14"/>
      <c r="BP55" s="157"/>
      <c r="BQ55" s="158">
        <f>BJ55-'[1]Тариф 26 свод без  ПДВ'!BG55</f>
        <v>-1.300000000000523E-3</v>
      </c>
      <c r="BR55" s="77">
        <f>'[1]Тариф 26 свод без  ПДВ'!BG55</f>
        <v>9.8010999999999999</v>
      </c>
      <c r="BS55" s="159">
        <f t="shared" si="4"/>
        <v>-1.300000000000523E-3</v>
      </c>
      <c r="BU55" s="77">
        <f>'[1]Тариф 26 свод без  ПДВ'!AU55</f>
        <v>8.0190999999999999</v>
      </c>
      <c r="BV55" s="159">
        <f t="shared" si="5"/>
        <v>-2.2000000000002018E-3</v>
      </c>
      <c r="BX55" s="95">
        <v>4.4637000000000002</v>
      </c>
      <c r="BY55" s="95">
        <v>5.5663</v>
      </c>
      <c r="BZ55" s="95"/>
      <c r="CA55" s="182">
        <f t="shared" si="6"/>
        <v>1.7960212379864238</v>
      </c>
      <c r="CB55" s="182">
        <f t="shared" si="7"/>
        <v>1.7605590787417134</v>
      </c>
      <c r="CD55" s="160">
        <f t="shared" si="69"/>
        <v>336</v>
      </c>
      <c r="CE55" s="160">
        <f t="shared" si="70"/>
        <v>5034.5</v>
      </c>
      <c r="CF55" s="77">
        <f t="shared" si="71"/>
        <v>2693.6783999999998</v>
      </c>
      <c r="CG55" s="77">
        <f t="shared" si="72"/>
        <v>49337.093099999998</v>
      </c>
      <c r="CI55" s="160">
        <f>'[1]0 СВОД'!AYY70</f>
        <v>52030.087718022427</v>
      </c>
      <c r="CJ55" s="77">
        <f t="shared" si="12"/>
        <v>624361.05261626909</v>
      </c>
      <c r="CM55" s="161">
        <v>50</v>
      </c>
      <c r="CN55" s="183" t="s">
        <v>553</v>
      </c>
      <c r="CO55" s="163">
        <v>14</v>
      </c>
      <c r="CP55" s="163">
        <v>1</v>
      </c>
      <c r="CQ55" s="164" t="s">
        <v>248</v>
      </c>
      <c r="CR55" s="165" t="s">
        <v>249</v>
      </c>
      <c r="CS55" s="166">
        <v>336</v>
      </c>
      <c r="CT55" s="166">
        <v>5034.5</v>
      </c>
      <c r="CU55" s="167">
        <v>0</v>
      </c>
      <c r="CV55" s="168">
        <v>5370.5</v>
      </c>
      <c r="CW55" s="166">
        <v>5370.5</v>
      </c>
      <c r="CX55" s="167">
        <v>0</v>
      </c>
      <c r="CY55" s="166">
        <v>0</v>
      </c>
      <c r="CZ55" s="166"/>
      <c r="DA55" s="166">
        <v>5370.5</v>
      </c>
      <c r="DB55" s="166"/>
      <c r="DC55" s="166">
        <v>5034.5</v>
      </c>
      <c r="DD55" s="59">
        <v>0.12280000000000001</v>
      </c>
      <c r="DE55" s="59">
        <v>0.12609999999999999</v>
      </c>
      <c r="DF55" s="59">
        <v>0.1857</v>
      </c>
      <c r="DG55" s="59">
        <v>4.2299999999999997E-2</v>
      </c>
      <c r="DH55" s="59">
        <v>6.3E-3</v>
      </c>
      <c r="DI55" s="59">
        <v>0.10199999999999999</v>
      </c>
      <c r="DJ55" s="59">
        <v>0</v>
      </c>
      <c r="DK55" s="59">
        <v>0.3458</v>
      </c>
      <c r="DL55" s="59">
        <v>6.0499999999999998E-2</v>
      </c>
      <c r="DM55" s="59">
        <v>5.6399999999999999E-2</v>
      </c>
      <c r="DN55" s="169">
        <v>0</v>
      </c>
      <c r="DO55" s="184">
        <v>1.1407999999999998</v>
      </c>
      <c r="DP55" s="171">
        <f t="shared" si="13"/>
        <v>1.8024</v>
      </c>
      <c r="DQ55" s="59">
        <v>7.85E-2</v>
      </c>
      <c r="DR55" s="59">
        <v>0.16489999999999999</v>
      </c>
      <c r="DS55" s="59">
        <v>3.2199999999999999E-2</v>
      </c>
      <c r="DT55" s="59">
        <v>5.6399999999999999E-2</v>
      </c>
      <c r="DU55" s="59">
        <v>1.37E-2</v>
      </c>
      <c r="DV55" s="59">
        <v>3.9300000000000002E-2</v>
      </c>
      <c r="DW55" s="59">
        <v>0</v>
      </c>
      <c r="DX55" s="169">
        <v>0</v>
      </c>
      <c r="DY55" s="59">
        <v>0.51180000000000003</v>
      </c>
      <c r="DZ55" s="171">
        <f t="shared" si="14"/>
        <v>1.9957014458772959</v>
      </c>
      <c r="EA55" s="59">
        <v>0.95040000000000002</v>
      </c>
      <c r="EB55" s="171">
        <f t="shared" si="15"/>
        <v>1.7766203703703705</v>
      </c>
      <c r="EC55" s="59">
        <v>0.1618</v>
      </c>
      <c r="ED55" s="171">
        <f t="shared" si="16"/>
        <v>2.145859085290482</v>
      </c>
      <c r="EE55" s="59">
        <v>2.07E-2</v>
      </c>
      <c r="EF55" s="59">
        <v>2.8999999999999998E-3</v>
      </c>
      <c r="EG55" s="59">
        <v>0.37669999999999998</v>
      </c>
      <c r="EH55" s="59">
        <v>0</v>
      </c>
      <c r="EI55" s="155">
        <v>0.115</v>
      </c>
      <c r="EJ55" s="172">
        <v>4.7130000000000001</v>
      </c>
      <c r="EK55" s="173"/>
      <c r="EL55" s="59">
        <v>0.72199999999999998</v>
      </c>
      <c r="EM55" s="59">
        <v>0.33339999999999997</v>
      </c>
      <c r="EN55" s="59">
        <v>0.14130000000000001</v>
      </c>
      <c r="EO55" s="172">
        <v>5.7947000000000006</v>
      </c>
      <c r="ES55" s="57">
        <f t="shared" si="29"/>
        <v>4.7130000000000001</v>
      </c>
      <c r="ET55" s="57">
        <f t="shared" si="30"/>
        <v>5.7947000000000006</v>
      </c>
      <c r="EU55" s="31"/>
      <c r="EV55" s="61">
        <f t="shared" si="17"/>
        <v>1.7010184595798854</v>
      </c>
      <c r="EW55" s="61">
        <f t="shared" si="64"/>
        <v>1.6911660655426508</v>
      </c>
      <c r="EX55" s="185">
        <v>6.1726999999999999</v>
      </c>
      <c r="EY55" s="174">
        <v>7.8211000000000004</v>
      </c>
      <c r="EZ55" s="158">
        <f t="shared" si="19"/>
        <v>8.0168999999999997</v>
      </c>
      <c r="FA55" s="158">
        <f t="shared" si="20"/>
        <v>9.7997999999999994</v>
      </c>
      <c r="FH55" s="174">
        <f t="shared" si="33"/>
        <v>43054.761449999998</v>
      </c>
      <c r="FJ55" s="87">
        <v>1.3097000000000001</v>
      </c>
      <c r="FK55" s="176">
        <f t="shared" si="34"/>
        <v>1.2987848053599185</v>
      </c>
      <c r="FL55" s="87">
        <v>1.3496999999999999</v>
      </c>
      <c r="FM55" s="87">
        <f t="shared" si="35"/>
        <v>1.2529940472272734</v>
      </c>
      <c r="FO55" s="88">
        <f t="shared" si="21"/>
        <v>43054.761449999998</v>
      </c>
      <c r="FP55" s="79">
        <f t="shared" si="22"/>
        <v>49337.093099999998</v>
      </c>
      <c r="FS55" s="79">
        <f t="shared" si="23"/>
        <v>25311.166499999999</v>
      </c>
      <c r="FT55" s="79">
        <f t="shared" si="24"/>
        <v>29173.417150000005</v>
      </c>
      <c r="FU55" s="79">
        <f t="shared" si="36"/>
        <v>1.7010184595798854</v>
      </c>
      <c r="FV55" s="79">
        <f t="shared" si="36"/>
        <v>1.6911660655426508</v>
      </c>
      <c r="FY55" s="79">
        <f t="shared" si="37"/>
        <v>2693.6783999999998</v>
      </c>
      <c r="FZ55" s="79">
        <f t="shared" si="38"/>
        <v>49337.093099999998</v>
      </c>
      <c r="GB55" s="178">
        <f t="shared" si="39"/>
        <v>336</v>
      </c>
      <c r="GC55" s="178">
        <f t="shared" si="40"/>
        <v>5034.5</v>
      </c>
      <c r="GG55" s="14">
        <v>6.3134999999999994</v>
      </c>
      <c r="GH55" s="175">
        <f t="shared" si="41"/>
        <v>1.2698028035162747</v>
      </c>
      <c r="GI55" s="14">
        <v>8.1179999999999986</v>
      </c>
      <c r="GJ55" s="175">
        <f t="shared" si="42"/>
        <v>1.207169253510717</v>
      </c>
      <c r="GK55" s="175">
        <f t="shared" si="62"/>
        <v>6.2633550005557703E-2</v>
      </c>
      <c r="GN55" s="14">
        <v>7.839900000000001</v>
      </c>
      <c r="GO55" s="175">
        <f t="shared" si="44"/>
        <v>1.2417676407697793</v>
      </c>
      <c r="GP55" s="179">
        <f t="shared" si="45"/>
        <v>1.0225768185818696</v>
      </c>
      <c r="GQ55" s="14">
        <v>9.4479000000000024</v>
      </c>
      <c r="GR55" s="175">
        <f t="shared" si="46"/>
        <v>1.1638211382113826</v>
      </c>
      <c r="GS55" s="175">
        <f t="shared" si="47"/>
        <v>1.0372463722096972</v>
      </c>
      <c r="GV55" s="32">
        <f t="shared" si="25"/>
        <v>2693.6783999999998</v>
      </c>
      <c r="GW55" s="32">
        <f t="shared" si="26"/>
        <v>49337.093099999998</v>
      </c>
      <c r="GX55" s="180">
        <f t="shared" si="48"/>
        <v>52030.771499999995</v>
      </c>
      <c r="GZ55" s="32">
        <f t="shared" si="49"/>
        <v>8.0168999999999997</v>
      </c>
      <c r="HA55" s="32">
        <f t="shared" si="50"/>
        <v>9.7997999999999994</v>
      </c>
      <c r="HB55" s="32">
        <f t="shared" si="51"/>
        <v>9.6882546317847495</v>
      </c>
    </row>
    <row r="56" spans="1:210" ht="28.95" customHeight="1" x14ac:dyDescent="0.3">
      <c r="A56" s="50">
        <v>48</v>
      </c>
      <c r="B56" s="51" t="s">
        <v>554</v>
      </c>
      <c r="C56" s="150" t="s">
        <v>518</v>
      </c>
      <c r="D56" s="52">
        <v>14</v>
      </c>
      <c r="E56" s="52">
        <v>1</v>
      </c>
      <c r="F56" s="63">
        <v>69</v>
      </c>
      <c r="G56" s="54" t="s">
        <v>250</v>
      </c>
      <c r="H56" s="181" t="s">
        <v>249</v>
      </c>
      <c r="I56" s="55">
        <f t="shared" si="27"/>
        <v>333.60000000000036</v>
      </c>
      <c r="J56" s="55">
        <f t="shared" si="0"/>
        <v>5063.2</v>
      </c>
      <c r="K56" s="55">
        <f t="shared" si="1"/>
        <v>0</v>
      </c>
      <c r="L56" s="56">
        <v>5396.8</v>
      </c>
      <c r="M56" s="56">
        <v>5396.8</v>
      </c>
      <c r="N56" s="56">
        <f t="shared" si="28"/>
        <v>333.60000000000036</v>
      </c>
      <c r="O56" s="56">
        <v>0</v>
      </c>
      <c r="P56" s="56">
        <v>0</v>
      </c>
      <c r="Q56" s="55"/>
      <c r="R56" s="55">
        <v>5396.8</v>
      </c>
      <c r="S56" s="55"/>
      <c r="T56" s="55">
        <v>5063.2</v>
      </c>
      <c r="U56" s="152">
        <v>333.60000000000036</v>
      </c>
      <c r="V56" s="57">
        <v>0.1249</v>
      </c>
      <c r="W56" s="57">
        <v>7.8E-2</v>
      </c>
      <c r="X56" s="153">
        <v>0.28210000000000002</v>
      </c>
      <c r="Y56" s="153">
        <v>7.1599999999999997E-2</v>
      </c>
      <c r="Z56" s="57">
        <v>1.67E-2</v>
      </c>
      <c r="AA56" s="57">
        <v>0.2402</v>
      </c>
      <c r="AB56" s="57">
        <v>0</v>
      </c>
      <c r="AC56" s="153">
        <v>0.63149999999999995</v>
      </c>
      <c r="AD56" s="57">
        <v>0.1011</v>
      </c>
      <c r="AE56" s="57">
        <v>0</v>
      </c>
      <c r="AF56" s="57">
        <v>1.5028999999999999</v>
      </c>
      <c r="AG56" s="57">
        <v>0.16200000000000001</v>
      </c>
      <c r="AH56" s="57">
        <v>0.27389999999999998</v>
      </c>
      <c r="AI56" s="57">
        <v>0.12280000000000001</v>
      </c>
      <c r="AJ56" s="57">
        <v>0.11899999999999999</v>
      </c>
      <c r="AK56" s="57">
        <v>3.2399999999999998E-2</v>
      </c>
      <c r="AL56" s="57">
        <v>0.1145</v>
      </c>
      <c r="AM56" s="57">
        <v>0</v>
      </c>
      <c r="AN56" s="57">
        <v>0</v>
      </c>
      <c r="AO56" s="57">
        <v>1.6504000000000001</v>
      </c>
      <c r="AP56" s="153">
        <v>1.504</v>
      </c>
      <c r="AQ56" s="153">
        <v>5.9200000000000003E-2</v>
      </c>
      <c r="AR56" s="57">
        <v>0.3851</v>
      </c>
      <c r="AS56" s="57">
        <v>2.7400000000000001E-2</v>
      </c>
      <c r="AT56" s="153">
        <v>4.4999999999999997E-3</v>
      </c>
      <c r="AU56" s="153">
        <v>0.2417</v>
      </c>
      <c r="AV56" s="153">
        <v>0</v>
      </c>
      <c r="AW56" s="154">
        <v>7.7458999999999989</v>
      </c>
      <c r="AX56" s="58">
        <v>0.38729999999999998</v>
      </c>
      <c r="AY56" s="155">
        <f t="shared" si="2"/>
        <v>0.38429999999999997</v>
      </c>
      <c r="AZ56" s="155">
        <f t="shared" si="3"/>
        <v>3.0000000000000027E-3</v>
      </c>
      <c r="BA56" s="14">
        <v>8.1331999999999987</v>
      </c>
      <c r="BB56" s="59">
        <f>BA56-'[1]Тариф 26 свод без  ПДВ'!AU56</f>
        <v>3.1999999999978712E-3</v>
      </c>
      <c r="BC56" s="57">
        <v>1.0701000000000001</v>
      </c>
      <c r="BD56" s="57">
        <v>0</v>
      </c>
      <c r="BE56" s="57">
        <v>0.3271</v>
      </c>
      <c r="BF56" s="156">
        <v>9.1430999999999987</v>
      </c>
      <c r="BG56" s="59">
        <v>0.4572</v>
      </c>
      <c r="BH56" s="59"/>
      <c r="BI56" s="59"/>
      <c r="BJ56" s="14">
        <v>9.6002999999999989</v>
      </c>
      <c r="BK56" s="60"/>
      <c r="BL56" s="60">
        <v>3.9646999999999997</v>
      </c>
      <c r="BM56" s="60">
        <v>0.19819999999999999</v>
      </c>
      <c r="BN56" s="14">
        <v>4.1628999999999996</v>
      </c>
      <c r="BO56" s="14"/>
      <c r="BP56" s="157"/>
      <c r="BQ56" s="158">
        <f>BJ56-'[1]Тариф 26 свод без  ПДВ'!BG56</f>
        <v>9.9999999999944578E-4</v>
      </c>
      <c r="BR56" s="77">
        <f>'[1]Тариф 26 свод без  ПДВ'!BG56</f>
        <v>9.5992999999999995</v>
      </c>
      <c r="BS56" s="159">
        <f t="shared" si="4"/>
        <v>9.9999999999944578E-4</v>
      </c>
      <c r="BU56" s="77">
        <f>'[1]Тариф 26 свод без  ПДВ'!AU56</f>
        <v>8.1300000000000008</v>
      </c>
      <c r="BV56" s="159">
        <f t="shared" si="5"/>
        <v>3.1999999999978712E-3</v>
      </c>
      <c r="BX56" s="95">
        <v>4.7651999999999992</v>
      </c>
      <c r="BY56" s="95">
        <v>6.0782999999999996</v>
      </c>
      <c r="BZ56" s="95"/>
      <c r="CA56" s="182">
        <f t="shared" si="6"/>
        <v>1.7067909006967179</v>
      </c>
      <c r="CB56" s="182">
        <f t="shared" si="7"/>
        <v>1.5794383297961601</v>
      </c>
      <c r="CD56" s="160">
        <f t="shared" si="69"/>
        <v>333.60000000000036</v>
      </c>
      <c r="CE56" s="160">
        <f t="shared" si="70"/>
        <v>5063.2</v>
      </c>
      <c r="CF56" s="77">
        <f t="shared" si="71"/>
        <v>2713.2355200000025</v>
      </c>
      <c r="CG56" s="77">
        <f t="shared" si="72"/>
        <v>48608.238959999995</v>
      </c>
      <c r="CI56" s="160">
        <f>'[1]0 СВОД'!AYY71</f>
        <v>51321.895680434631</v>
      </c>
      <c r="CJ56" s="77">
        <f t="shared" si="12"/>
        <v>615862.7481652156</v>
      </c>
      <c r="CM56" s="161">
        <v>51</v>
      </c>
      <c r="CN56" s="183" t="s">
        <v>555</v>
      </c>
      <c r="CO56" s="163">
        <v>14</v>
      </c>
      <c r="CP56" s="163">
        <v>1</v>
      </c>
      <c r="CQ56" s="164" t="s">
        <v>250</v>
      </c>
      <c r="CR56" s="165" t="s">
        <v>249</v>
      </c>
      <c r="CS56" s="166">
        <v>333.60000000000036</v>
      </c>
      <c r="CT56" s="166">
        <v>5063.8999999999996</v>
      </c>
      <c r="CU56" s="167">
        <v>0</v>
      </c>
      <c r="CV56" s="168">
        <v>5397.5</v>
      </c>
      <c r="CW56" s="166">
        <v>5397.5</v>
      </c>
      <c r="CX56" s="167">
        <v>0</v>
      </c>
      <c r="CY56" s="166">
        <v>0</v>
      </c>
      <c r="CZ56" s="166"/>
      <c r="DA56" s="166">
        <v>5397.5</v>
      </c>
      <c r="DB56" s="166"/>
      <c r="DC56" s="166">
        <v>5063.8999999999996</v>
      </c>
      <c r="DD56" s="59">
        <v>0.1227</v>
      </c>
      <c r="DE56" s="59">
        <v>0.1255</v>
      </c>
      <c r="DF56" s="59">
        <v>0.1855</v>
      </c>
      <c r="DG56" s="59">
        <v>4.2200000000000001E-2</v>
      </c>
      <c r="DH56" s="59">
        <v>6.3E-3</v>
      </c>
      <c r="DI56" s="59">
        <v>0.10150000000000001</v>
      </c>
      <c r="DJ56" s="59">
        <v>0</v>
      </c>
      <c r="DK56" s="59">
        <v>0.3458</v>
      </c>
      <c r="DL56" s="169">
        <v>0</v>
      </c>
      <c r="DM56" s="59">
        <v>6.1499999999999999E-2</v>
      </c>
      <c r="DN56" s="169">
        <v>0</v>
      </c>
      <c r="DO56" s="184">
        <v>1.1568000000000001</v>
      </c>
      <c r="DP56" s="171">
        <f t="shared" si="13"/>
        <v>1.5028999999999999</v>
      </c>
      <c r="DQ56" s="59">
        <v>7.7899999999999997E-2</v>
      </c>
      <c r="DR56" s="59">
        <v>0.16400000000000001</v>
      </c>
      <c r="DS56" s="59">
        <v>3.2199999999999999E-2</v>
      </c>
      <c r="DT56" s="59">
        <v>5.6099999999999997E-2</v>
      </c>
      <c r="DU56" s="59">
        <v>1.37E-2</v>
      </c>
      <c r="DV56" s="59">
        <v>3.9100000000000003E-2</v>
      </c>
      <c r="DW56" s="59">
        <v>0</v>
      </c>
      <c r="DX56" s="169">
        <v>0</v>
      </c>
      <c r="DY56" s="59">
        <v>0.84909999999999997</v>
      </c>
      <c r="DZ56" s="171">
        <f t="shared" si="14"/>
        <v>1.9437050995171359</v>
      </c>
      <c r="EA56" s="59">
        <v>0.88</v>
      </c>
      <c r="EB56" s="171">
        <f t="shared" si="15"/>
        <v>1.7763636363636364</v>
      </c>
      <c r="EC56" s="59">
        <v>0.18559999999999999</v>
      </c>
      <c r="ED56" s="171">
        <f t="shared" si="16"/>
        <v>2.0748922413793105</v>
      </c>
      <c r="EE56" s="59">
        <v>2.1000000000000001E-2</v>
      </c>
      <c r="EF56" s="59">
        <v>2.8999999999999998E-3</v>
      </c>
      <c r="EG56" s="59">
        <v>0.15759999999999999</v>
      </c>
      <c r="EH56" s="59">
        <v>0</v>
      </c>
      <c r="EI56" s="155">
        <v>0.1157</v>
      </c>
      <c r="EJ56" s="172">
        <v>4.742700000000001</v>
      </c>
      <c r="EK56" s="173"/>
      <c r="EL56" s="59">
        <v>0.79779999999999995</v>
      </c>
      <c r="EM56" s="59">
        <v>0.29189999999999999</v>
      </c>
      <c r="EN56" s="59">
        <v>0.1429</v>
      </c>
      <c r="EO56" s="172">
        <v>5.8596000000000004</v>
      </c>
      <c r="ES56" s="57">
        <f t="shared" si="29"/>
        <v>4.742700000000001</v>
      </c>
      <c r="ET56" s="57">
        <f t="shared" si="30"/>
        <v>5.8596000000000004</v>
      </c>
      <c r="EU56" s="31"/>
      <c r="EV56" s="61">
        <f t="shared" si="17"/>
        <v>1.7148881438842847</v>
      </c>
      <c r="EW56" s="61">
        <f t="shared" si="64"/>
        <v>1.6383882858898215</v>
      </c>
      <c r="EX56" s="185">
        <v>6.1984000000000004</v>
      </c>
      <c r="EY56" s="174">
        <v>7.7991999999999999</v>
      </c>
      <c r="EZ56" s="158">
        <f t="shared" si="19"/>
        <v>8.1331999999999987</v>
      </c>
      <c r="FA56" s="158">
        <f t="shared" si="20"/>
        <v>9.6002999999999989</v>
      </c>
      <c r="FH56" s="174">
        <f t="shared" si="33"/>
        <v>43893.253759999992</v>
      </c>
      <c r="FJ56" s="87">
        <v>1.3069999999999999</v>
      </c>
      <c r="FK56" s="176">
        <f t="shared" si="34"/>
        <v>1.3120796816253135</v>
      </c>
      <c r="FL56" s="87">
        <v>1.331</v>
      </c>
      <c r="FM56" s="87">
        <f t="shared" si="35"/>
        <v>1.2309453688127885</v>
      </c>
      <c r="FO56" s="88">
        <f t="shared" si="21"/>
        <v>43893.253759999992</v>
      </c>
      <c r="FP56" s="79">
        <f t="shared" si="22"/>
        <v>48608.238959999995</v>
      </c>
      <c r="FS56" s="79">
        <f t="shared" si="23"/>
        <v>25595.403360000008</v>
      </c>
      <c r="FT56" s="79">
        <f t="shared" si="24"/>
        <v>29668.326720000001</v>
      </c>
      <c r="FU56" s="79">
        <f t="shared" si="36"/>
        <v>1.7148881438842845</v>
      </c>
      <c r="FV56" s="79">
        <f t="shared" si="36"/>
        <v>1.6383882858898215</v>
      </c>
      <c r="FY56" s="79">
        <f t="shared" si="37"/>
        <v>2713.2355200000025</v>
      </c>
      <c r="FZ56" s="79">
        <f t="shared" si="38"/>
        <v>48608.238959999995</v>
      </c>
      <c r="GB56" s="178">
        <f t="shared" si="39"/>
        <v>333.60000000000036</v>
      </c>
      <c r="GC56" s="178">
        <f t="shared" si="40"/>
        <v>5063.2</v>
      </c>
      <c r="GG56" s="14">
        <v>6.4045000000000005</v>
      </c>
      <c r="GH56" s="175">
        <f t="shared" si="41"/>
        <v>1.269919587789835</v>
      </c>
      <c r="GI56" s="14">
        <v>8.1516999999999999</v>
      </c>
      <c r="GJ56" s="175">
        <f t="shared" si="42"/>
        <v>1.1777052639326766</v>
      </c>
      <c r="GK56" s="175">
        <f t="shared" si="62"/>
        <v>9.2214323857158442E-2</v>
      </c>
      <c r="GN56" s="14">
        <v>8.2204999999999995</v>
      </c>
      <c r="GO56" s="175">
        <f t="shared" si="44"/>
        <v>1.2835506284643607</v>
      </c>
      <c r="GP56" s="179">
        <f t="shared" si="45"/>
        <v>0.98938020801654392</v>
      </c>
      <c r="GQ56" s="14">
        <v>9.751599999999998</v>
      </c>
      <c r="GR56" s="175">
        <f t="shared" si="46"/>
        <v>1.1962658095857304</v>
      </c>
      <c r="GS56" s="175">
        <f t="shared" si="47"/>
        <v>0.9844845973994012</v>
      </c>
      <c r="GV56" s="32">
        <f t="shared" si="25"/>
        <v>2713.2355200000025</v>
      </c>
      <c r="GW56" s="32">
        <f t="shared" si="26"/>
        <v>48608.238959999995</v>
      </c>
      <c r="GX56" s="180">
        <f t="shared" si="48"/>
        <v>51321.474479999997</v>
      </c>
      <c r="GZ56" s="32">
        <f t="shared" si="49"/>
        <v>8.1331999999999987</v>
      </c>
      <c r="HA56" s="32">
        <f t="shared" si="50"/>
        <v>9.6002999999999989</v>
      </c>
      <c r="HB56" s="32">
        <f t="shared" si="51"/>
        <v>9.5096120812333229</v>
      </c>
    </row>
    <row r="57" spans="1:210" ht="19.2" customHeight="1" x14ac:dyDescent="0.3">
      <c r="A57" s="50">
        <v>49</v>
      </c>
      <c r="B57" s="51" t="s">
        <v>556</v>
      </c>
      <c r="C57" s="150" t="s">
        <v>518</v>
      </c>
      <c r="D57" s="52">
        <v>9</v>
      </c>
      <c r="E57" s="52">
        <v>1</v>
      </c>
      <c r="F57" s="63">
        <v>32</v>
      </c>
      <c r="G57" s="54" t="s">
        <v>202</v>
      </c>
      <c r="H57" s="181" t="s">
        <v>179</v>
      </c>
      <c r="I57" s="55">
        <f t="shared" si="27"/>
        <v>301.79999999999973</v>
      </c>
      <c r="J57" s="55">
        <f t="shared" si="0"/>
        <v>2147.9</v>
      </c>
      <c r="K57" s="55">
        <f t="shared" si="1"/>
        <v>0</v>
      </c>
      <c r="L57" s="56">
        <v>2449.6999999999998</v>
      </c>
      <c r="M57" s="56">
        <v>2449.6999999999998</v>
      </c>
      <c r="N57" s="56">
        <f t="shared" si="28"/>
        <v>301.79999999999973</v>
      </c>
      <c r="O57" s="56">
        <v>0</v>
      </c>
      <c r="P57" s="56">
        <v>0</v>
      </c>
      <c r="Q57" s="55"/>
      <c r="R57" s="55">
        <v>2449.6999999999998</v>
      </c>
      <c r="S57" s="55"/>
      <c r="T57" s="55">
        <v>2147.9</v>
      </c>
      <c r="U57" s="152">
        <v>301.79999999999973</v>
      </c>
      <c r="V57" s="57">
        <v>0.1464</v>
      </c>
      <c r="W57" s="57">
        <v>0.1353</v>
      </c>
      <c r="X57" s="153">
        <v>0.31159999999999999</v>
      </c>
      <c r="Y57" s="153">
        <v>6.4699999999999994E-2</v>
      </c>
      <c r="Z57" s="57">
        <v>3.0200000000000001E-2</v>
      </c>
      <c r="AA57" s="57">
        <v>0.1908</v>
      </c>
      <c r="AB57" s="57">
        <v>0</v>
      </c>
      <c r="AC57" s="153">
        <v>0.63149999999999995</v>
      </c>
      <c r="AD57" s="57">
        <v>0.1033</v>
      </c>
      <c r="AE57" s="57">
        <v>0</v>
      </c>
      <c r="AF57" s="57">
        <v>1.4388000000000001</v>
      </c>
      <c r="AG57" s="57">
        <v>0.1923</v>
      </c>
      <c r="AH57" s="57">
        <v>0.34089999999999998</v>
      </c>
      <c r="AI57" s="57">
        <v>9.1999999999999998E-2</v>
      </c>
      <c r="AJ57" s="57">
        <v>8.2000000000000003E-2</v>
      </c>
      <c r="AK57" s="57">
        <v>5.8700000000000002E-2</v>
      </c>
      <c r="AL57" s="57">
        <v>5.1700000000000003E-2</v>
      </c>
      <c r="AM57" s="57">
        <v>3.0700000000000002E-2</v>
      </c>
      <c r="AN57" s="57">
        <v>0</v>
      </c>
      <c r="AO57" s="57">
        <v>2.7732999999999999</v>
      </c>
      <c r="AP57" s="153">
        <v>1.1444000000000001</v>
      </c>
      <c r="AQ57" s="153">
        <v>9.2700000000000005E-2</v>
      </c>
      <c r="AR57" s="57">
        <v>0.35560000000000003</v>
      </c>
      <c r="AS57" s="57">
        <v>3.4000000000000002E-2</v>
      </c>
      <c r="AT57" s="153">
        <v>5.4999999999999997E-3</v>
      </c>
      <c r="AU57" s="153">
        <v>0.16689999999999999</v>
      </c>
      <c r="AV57" s="153">
        <v>0</v>
      </c>
      <c r="AW57" s="154">
        <v>8.4733000000000001</v>
      </c>
      <c r="AX57" s="58">
        <v>0.42370000000000002</v>
      </c>
      <c r="AY57" s="155">
        <f t="shared" si="2"/>
        <v>0.41899999999999998</v>
      </c>
      <c r="AZ57" s="155">
        <f t="shared" si="3"/>
        <v>4.7000000000000375E-3</v>
      </c>
      <c r="BA57" s="14">
        <v>8.8970000000000002</v>
      </c>
      <c r="BB57" s="59">
        <f>BA57-'[1]Тариф 26 свод без  ПДВ'!AU57</f>
        <v>3.8999999999997925E-3</v>
      </c>
      <c r="BC57" s="57">
        <v>0.9204</v>
      </c>
      <c r="BD57" s="57">
        <v>0</v>
      </c>
      <c r="BE57" s="57">
        <v>0.42170000000000002</v>
      </c>
      <c r="BF57" s="156">
        <v>9.8154000000000003</v>
      </c>
      <c r="BG57" s="59">
        <v>0.49080000000000001</v>
      </c>
      <c r="BH57" s="59"/>
      <c r="BI57" s="59"/>
      <c r="BJ57" s="14">
        <v>10.3062</v>
      </c>
      <c r="BK57" s="60"/>
      <c r="BL57" s="60">
        <v>4.0331000000000001</v>
      </c>
      <c r="BM57" s="60">
        <v>0.20169999999999999</v>
      </c>
      <c r="BN57" s="14">
        <v>4.2347999999999999</v>
      </c>
      <c r="BO57" s="14"/>
      <c r="BP57" s="157"/>
      <c r="BQ57" s="158">
        <f>BJ57-'[1]Тариф 26 свод без  ПДВ'!BG57</f>
        <v>-9.9999999999944578E-4</v>
      </c>
      <c r="BR57" s="77">
        <f>'[1]Тариф 26 свод без  ПДВ'!BG57</f>
        <v>10.3072</v>
      </c>
      <c r="BS57" s="159">
        <f t="shared" si="4"/>
        <v>-9.9999999999944578E-4</v>
      </c>
      <c r="BU57" s="77">
        <f>'[1]Тариф 26 свод без  ПДВ'!AU57</f>
        <v>8.8931000000000004</v>
      </c>
      <c r="BV57" s="159">
        <f t="shared" si="5"/>
        <v>3.8999999999997925E-3</v>
      </c>
      <c r="BX57" s="95">
        <v>4.1261000000000001</v>
      </c>
      <c r="BY57" s="95">
        <v>5.645900000000001</v>
      </c>
      <c r="BZ57" s="95"/>
      <c r="CA57" s="182">
        <f t="shared" si="6"/>
        <v>2.1562734785875284</v>
      </c>
      <c r="CB57" s="182">
        <f t="shared" si="7"/>
        <v>1.8254308436210345</v>
      </c>
      <c r="CD57" s="160">
        <f t="shared" si="69"/>
        <v>301.79999999999973</v>
      </c>
      <c r="CE57" s="160">
        <f t="shared" si="70"/>
        <v>2147.9</v>
      </c>
      <c r="CF57" s="77">
        <f t="shared" si="71"/>
        <v>2685.1145999999976</v>
      </c>
      <c r="CG57" s="77">
        <f t="shared" si="72"/>
        <v>22136.686980000002</v>
      </c>
      <c r="CI57" s="160">
        <f>'[1]0 СВОД'!AYY72</f>
        <v>24821.562078274681</v>
      </c>
      <c r="CJ57" s="77">
        <f t="shared" si="12"/>
        <v>297858.74493929616</v>
      </c>
      <c r="CM57" s="161">
        <v>52</v>
      </c>
      <c r="CN57" s="183" t="s">
        <v>557</v>
      </c>
      <c r="CO57" s="163">
        <v>9</v>
      </c>
      <c r="CP57" s="163">
        <v>1</v>
      </c>
      <c r="CQ57" s="164" t="s">
        <v>202</v>
      </c>
      <c r="CR57" s="165" t="s">
        <v>179</v>
      </c>
      <c r="CS57" s="166">
        <v>301.80000000000018</v>
      </c>
      <c r="CT57" s="166">
        <v>2142.2999999999997</v>
      </c>
      <c r="CU57" s="167">
        <v>0</v>
      </c>
      <c r="CV57" s="168">
        <v>2444.1</v>
      </c>
      <c r="CW57" s="166">
        <v>2444.1</v>
      </c>
      <c r="CX57" s="167">
        <v>0</v>
      </c>
      <c r="CY57" s="166">
        <v>0</v>
      </c>
      <c r="CZ57" s="166"/>
      <c r="DA57" s="166">
        <v>2444.1</v>
      </c>
      <c r="DB57" s="166"/>
      <c r="DC57" s="166">
        <v>2142.2999999999997</v>
      </c>
      <c r="DD57" s="59">
        <v>0.14360000000000001</v>
      </c>
      <c r="DE57" s="59">
        <v>0.17849999999999999</v>
      </c>
      <c r="DF57" s="59">
        <v>0.20519999999999999</v>
      </c>
      <c r="DG57" s="59">
        <v>3.8199999999999998E-2</v>
      </c>
      <c r="DH57" s="59">
        <v>1.14E-2</v>
      </c>
      <c r="DI57" s="59">
        <v>8.2900000000000001E-2</v>
      </c>
      <c r="DJ57" s="59">
        <v>4.8099999999999997E-2</v>
      </c>
      <c r="DK57" s="59">
        <v>0.3458</v>
      </c>
      <c r="DL57" s="169">
        <v>0</v>
      </c>
      <c r="DM57" s="59">
        <v>6.3E-2</v>
      </c>
      <c r="DN57" s="169">
        <v>0</v>
      </c>
      <c r="DO57" s="184">
        <v>1.1060999999999999</v>
      </c>
      <c r="DP57" s="171">
        <f t="shared" si="13"/>
        <v>1.4388000000000001</v>
      </c>
      <c r="DQ57" s="59">
        <v>9.2700000000000005E-2</v>
      </c>
      <c r="DR57" s="59">
        <v>0.20580000000000001</v>
      </c>
      <c r="DS57" s="59">
        <v>2.4E-2</v>
      </c>
      <c r="DT57" s="59">
        <v>3.8800000000000001E-2</v>
      </c>
      <c r="DU57" s="59">
        <v>2.4799999999999999E-2</v>
      </c>
      <c r="DV57" s="59">
        <v>1.8100000000000002E-2</v>
      </c>
      <c r="DW57" s="59">
        <v>7.7999999999999996E-3</v>
      </c>
      <c r="DX57" s="169">
        <v>0</v>
      </c>
      <c r="DY57" s="59">
        <v>1.4014</v>
      </c>
      <c r="DZ57" s="171">
        <f t="shared" si="14"/>
        <v>1.9789496218067646</v>
      </c>
      <c r="EA57" s="59">
        <v>0.68730000000000002</v>
      </c>
      <c r="EB57" s="171">
        <f t="shared" si="15"/>
        <v>1.7999418012512731</v>
      </c>
      <c r="EC57" s="59">
        <v>0.16769999999999999</v>
      </c>
      <c r="ED57" s="171">
        <f t="shared" si="16"/>
        <v>2.1204531902206325</v>
      </c>
      <c r="EE57" s="59">
        <v>2.6100000000000002E-2</v>
      </c>
      <c r="EF57" s="59">
        <v>3.5999999999999999E-3</v>
      </c>
      <c r="EG57" s="59">
        <v>0.1323</v>
      </c>
      <c r="EH57" s="59">
        <v>0</v>
      </c>
      <c r="EI57" s="155">
        <v>0.1263</v>
      </c>
      <c r="EJ57" s="172">
        <v>5.1794999999999982</v>
      </c>
      <c r="EK57" s="173"/>
      <c r="EL57" s="59">
        <v>0.71899999999999997</v>
      </c>
      <c r="EM57" s="59">
        <v>0.47620000000000001</v>
      </c>
      <c r="EN57" s="59">
        <v>0.15620000000000001</v>
      </c>
      <c r="EO57" s="172">
        <v>6.4045999999999994</v>
      </c>
      <c r="ES57" s="57">
        <f t="shared" si="29"/>
        <v>5.1794999999999982</v>
      </c>
      <c r="ET57" s="57">
        <f t="shared" si="30"/>
        <v>6.4045999999999994</v>
      </c>
      <c r="EU57" s="31"/>
      <c r="EV57" s="61">
        <f t="shared" si="17"/>
        <v>1.7177333719470997</v>
      </c>
      <c r="EW57" s="61">
        <f t="shared" si="64"/>
        <v>1.6091871467382821</v>
      </c>
      <c r="EX57" s="185">
        <v>6.8216000000000001</v>
      </c>
      <c r="EY57" s="174">
        <v>8.6189</v>
      </c>
      <c r="EZ57" s="158">
        <f t="shared" si="19"/>
        <v>8.8970000000000002</v>
      </c>
      <c r="FA57" s="158">
        <f t="shared" si="20"/>
        <v>10.3062</v>
      </c>
      <c r="FB57" s="158">
        <f>BA57-EX57</f>
        <v>2.0754000000000001</v>
      </c>
      <c r="FC57" s="158">
        <f>BJ57-EY57</f>
        <v>1.6873000000000005</v>
      </c>
      <c r="FD57" s="175">
        <f>FB57/EX57</f>
        <v>0.30423947461006218</v>
      </c>
      <c r="FE57" s="175">
        <f>FC57/FA57</f>
        <v>0.16371698589198738</v>
      </c>
      <c r="FH57" s="174">
        <f t="shared" si="33"/>
        <v>21794.980899999999</v>
      </c>
      <c r="FJ57" s="176">
        <v>1.3170999999999999</v>
      </c>
      <c r="FK57" s="87">
        <f t="shared" si="34"/>
        <v>1.3041784009924073</v>
      </c>
      <c r="FL57" s="87">
        <v>1.3458000000000001</v>
      </c>
      <c r="FM57" s="87">
        <f t="shared" si="35"/>
        <v>1.1957104671855268</v>
      </c>
      <c r="FO57" s="88">
        <f t="shared" si="21"/>
        <v>21794.980899999999</v>
      </c>
      <c r="FP57" s="79">
        <f t="shared" si="22"/>
        <v>22136.686980000002</v>
      </c>
      <c r="FS57" s="79">
        <f t="shared" si="23"/>
        <v>12688.221149999994</v>
      </c>
      <c r="FT57" s="79">
        <f t="shared" si="24"/>
        <v>13756.440339999999</v>
      </c>
      <c r="FU57" s="79">
        <f t="shared" si="36"/>
        <v>1.7177333719471</v>
      </c>
      <c r="FV57" s="79">
        <f t="shared" si="36"/>
        <v>1.6091871467382821</v>
      </c>
      <c r="FY57" s="79">
        <f t="shared" si="37"/>
        <v>2685.1145999999976</v>
      </c>
      <c r="FZ57" s="79">
        <f t="shared" si="38"/>
        <v>22136.686980000002</v>
      </c>
      <c r="GB57" s="178">
        <f t="shared" si="39"/>
        <v>301.79999999999973</v>
      </c>
      <c r="GC57" s="178">
        <f t="shared" si="40"/>
        <v>2147.9</v>
      </c>
      <c r="GG57" s="14">
        <v>7.0060000000000002</v>
      </c>
      <c r="GH57" s="175">
        <f t="shared" si="41"/>
        <v>1.2699115044247788</v>
      </c>
      <c r="GI57" s="14">
        <v>8.8481000000000005</v>
      </c>
      <c r="GJ57" s="175">
        <f t="shared" si="42"/>
        <v>1.1647924413150845</v>
      </c>
      <c r="GK57" s="175">
        <f t="shared" si="62"/>
        <v>0.10511906310969432</v>
      </c>
      <c r="GN57" s="14">
        <v>9.0778000000000016</v>
      </c>
      <c r="GO57" s="175">
        <f t="shared" si="44"/>
        <v>1.2957179560376821</v>
      </c>
      <c r="GP57" s="179">
        <f t="shared" si="45"/>
        <v>0.98008328008988943</v>
      </c>
      <c r="GQ57" s="14">
        <v>10.562400000000002</v>
      </c>
      <c r="GR57" s="175">
        <f t="shared" si="46"/>
        <v>1.1937478102643506</v>
      </c>
      <c r="GS57" s="175">
        <f t="shared" si="47"/>
        <v>0.97574414905703233</v>
      </c>
      <c r="GV57" s="32">
        <f t="shared" si="25"/>
        <v>2685.1145999999976</v>
      </c>
      <c r="GW57" s="32">
        <f t="shared" si="26"/>
        <v>22136.686980000002</v>
      </c>
      <c r="GX57" s="180">
        <f t="shared" si="48"/>
        <v>24821.801579999999</v>
      </c>
      <c r="GZ57" s="32">
        <f t="shared" si="49"/>
        <v>8.8970000000000002</v>
      </c>
      <c r="HA57" s="32">
        <f t="shared" si="50"/>
        <v>10.3062</v>
      </c>
      <c r="HB57" s="32">
        <f t="shared" si="51"/>
        <v>10.132588308772503</v>
      </c>
    </row>
    <row r="58" spans="1:210" ht="32.4" customHeight="1" x14ac:dyDescent="0.3">
      <c r="A58" s="50">
        <v>50</v>
      </c>
      <c r="B58" s="51" t="s">
        <v>558</v>
      </c>
      <c r="C58" s="150" t="s">
        <v>518</v>
      </c>
      <c r="D58" s="52">
        <v>5</v>
      </c>
      <c r="E58" s="52">
        <v>2</v>
      </c>
      <c r="F58" s="63">
        <v>35</v>
      </c>
      <c r="G58" s="54" t="s">
        <v>60</v>
      </c>
      <c r="H58" s="181" t="s">
        <v>56</v>
      </c>
      <c r="I58" s="55">
        <f t="shared" si="27"/>
        <v>2054.8999999999996</v>
      </c>
      <c r="J58" s="55">
        <f t="shared" si="0"/>
        <v>0</v>
      </c>
      <c r="K58" s="55">
        <f t="shared" si="1"/>
        <v>260.3</v>
      </c>
      <c r="L58" s="56">
        <v>2315.1999999999998</v>
      </c>
      <c r="M58" s="56">
        <v>2054.8999999999996</v>
      </c>
      <c r="N58" s="56">
        <f t="shared" si="28"/>
        <v>2054.8999999999996</v>
      </c>
      <c r="O58" s="56">
        <v>260.3</v>
      </c>
      <c r="P58" s="56">
        <v>0</v>
      </c>
      <c r="Q58" s="55"/>
      <c r="R58" s="55">
        <v>2315.1999999999998</v>
      </c>
      <c r="S58" s="55"/>
      <c r="T58" s="55">
        <v>0</v>
      </c>
      <c r="U58" s="152">
        <v>2315.1999999999998</v>
      </c>
      <c r="V58" s="57">
        <v>0.13719999999999999</v>
      </c>
      <c r="W58" s="153">
        <v>8.3299999999999999E-2</v>
      </c>
      <c r="X58" s="57">
        <v>0</v>
      </c>
      <c r="Y58" s="57">
        <v>0</v>
      </c>
      <c r="Z58" s="153">
        <v>1.9400000000000001E-2</v>
      </c>
      <c r="AA58" s="57">
        <v>0.24729999999999999</v>
      </c>
      <c r="AB58" s="153">
        <v>0</v>
      </c>
      <c r="AC58" s="57">
        <v>0.61070000000000002</v>
      </c>
      <c r="AD58" s="57">
        <v>0.36890000000000001</v>
      </c>
      <c r="AE58" s="57">
        <v>0</v>
      </c>
      <c r="AF58" s="57">
        <v>1.3089</v>
      </c>
      <c r="AG58" s="57">
        <v>0.18390000000000001</v>
      </c>
      <c r="AH58" s="57">
        <v>0.3039</v>
      </c>
      <c r="AI58" s="153">
        <v>0</v>
      </c>
      <c r="AJ58" s="153">
        <v>0</v>
      </c>
      <c r="AK58" s="153">
        <v>3.78E-2</v>
      </c>
      <c r="AL58" s="57">
        <v>8.09E-2</v>
      </c>
      <c r="AM58" s="153">
        <v>3.0499999999999999E-2</v>
      </c>
      <c r="AN58" s="57">
        <v>0</v>
      </c>
      <c r="AO58" s="153">
        <v>3.9251</v>
      </c>
      <c r="AP58" s="57">
        <v>1.3312999999999999</v>
      </c>
      <c r="AQ58" s="57">
        <v>0.1074</v>
      </c>
      <c r="AR58" s="153">
        <v>0.7016</v>
      </c>
      <c r="AS58" s="57">
        <v>5.4899999999999997E-2</v>
      </c>
      <c r="AT58" s="57">
        <v>8.8999999999999999E-3</v>
      </c>
      <c r="AU58" s="153">
        <v>0.19900000000000001</v>
      </c>
      <c r="AV58" s="153">
        <v>0</v>
      </c>
      <c r="AW58" s="154">
        <v>9.7409000000000017</v>
      </c>
      <c r="AX58" s="58">
        <v>0.48699999999999999</v>
      </c>
      <c r="AY58" s="155">
        <f t="shared" si="2"/>
        <v>0.48170000000000002</v>
      </c>
      <c r="AZ58" s="155">
        <f t="shared" si="3"/>
        <v>5.2999999999999714E-3</v>
      </c>
      <c r="BA58" s="14">
        <v>10.227900000000002</v>
      </c>
      <c r="BB58" s="59">
        <f>BA58-'[1]Тариф 26 свод без  ПДВ'!AU58</f>
        <v>-4.8999999999974619E-3</v>
      </c>
      <c r="BC58" s="57">
        <v>0</v>
      </c>
      <c r="BD58" s="57">
        <v>0</v>
      </c>
      <c r="BE58" s="57">
        <v>0</v>
      </c>
      <c r="BF58" s="156">
        <v>9.7409000000000017</v>
      </c>
      <c r="BG58" s="59">
        <v>0.48699999999999999</v>
      </c>
      <c r="BH58" s="59"/>
      <c r="BI58" s="59"/>
      <c r="BJ58" s="14">
        <v>10.227900000000002</v>
      </c>
      <c r="BK58" s="60"/>
      <c r="BL58" s="60">
        <v>3.583900000000003</v>
      </c>
      <c r="BM58" s="60">
        <v>0.1792</v>
      </c>
      <c r="BN58" s="14">
        <v>3.7631000000000028</v>
      </c>
      <c r="BO58" s="14"/>
      <c r="BP58" s="157"/>
      <c r="BQ58" s="158">
        <f>BJ58-'[1]Тариф 26 свод без  ПДВ'!BG58</f>
        <v>-4.8999999999974619E-3</v>
      </c>
      <c r="BR58" s="77">
        <f>'[1]Тариф 26 свод без  ПДВ'!BG58</f>
        <v>10.232799999999999</v>
      </c>
      <c r="BS58" s="159">
        <f t="shared" si="4"/>
        <v>-4.8999999999974619E-3</v>
      </c>
      <c r="BU58" s="77">
        <f>'[1]Тариф 26 свод без  ПДВ'!AU58</f>
        <v>10.232799999999999</v>
      </c>
      <c r="BV58" s="159">
        <f t="shared" si="5"/>
        <v>-4.8999999999974619E-3</v>
      </c>
      <c r="BX58" s="95">
        <v>3.8445999999999998</v>
      </c>
      <c r="BY58" s="95">
        <v>4.6236000000000006</v>
      </c>
      <c r="BZ58" s="95"/>
      <c r="CA58" s="186">
        <f t="shared" si="6"/>
        <v>2.6603287728242218</v>
      </c>
      <c r="CB58" s="186">
        <f t="shared" si="7"/>
        <v>2.2121074487412407</v>
      </c>
      <c r="CD58" s="160">
        <f t="shared" si="69"/>
        <v>2315.1999999999998</v>
      </c>
      <c r="CE58" s="160">
        <f t="shared" si="70"/>
        <v>0</v>
      </c>
      <c r="CF58" s="77">
        <f t="shared" si="71"/>
        <v>23679.634080000003</v>
      </c>
      <c r="CG58" s="77">
        <f t="shared" si="72"/>
        <v>0</v>
      </c>
      <c r="CI58" s="160">
        <f>'[1]0 СВОД'!AYY73</f>
        <v>21996.991465118426</v>
      </c>
      <c r="CJ58" s="77">
        <f t="shared" si="12"/>
        <v>263963.89758142113</v>
      </c>
      <c r="CM58" s="161">
        <v>53</v>
      </c>
      <c r="CN58" s="183" t="s">
        <v>559</v>
      </c>
      <c r="CO58" s="163">
        <v>5</v>
      </c>
      <c r="CP58" s="163">
        <v>2</v>
      </c>
      <c r="CQ58" s="164" t="s">
        <v>60</v>
      </c>
      <c r="CR58" s="165" t="s">
        <v>56</v>
      </c>
      <c r="CS58" s="166">
        <v>2052.8999999999996</v>
      </c>
      <c r="CT58" s="166">
        <v>0</v>
      </c>
      <c r="CU58" s="167">
        <v>261.3</v>
      </c>
      <c r="CV58" s="168">
        <v>2314.1999999999998</v>
      </c>
      <c r="CW58" s="166">
        <v>2052.8999999999996</v>
      </c>
      <c r="CX58" s="167">
        <v>261.3</v>
      </c>
      <c r="CY58" s="166">
        <v>0</v>
      </c>
      <c r="CZ58" s="166"/>
      <c r="DA58" s="166">
        <v>2314.1999999999998</v>
      </c>
      <c r="DB58" s="166"/>
      <c r="DC58" s="166">
        <v>0</v>
      </c>
      <c r="DD58" s="59">
        <v>0.13450000000000001</v>
      </c>
      <c r="DE58" s="59">
        <v>0.14319999999999999</v>
      </c>
      <c r="DF58" s="59">
        <v>0</v>
      </c>
      <c r="DG58" s="59">
        <v>0</v>
      </c>
      <c r="DH58" s="59">
        <v>7.3000000000000001E-3</v>
      </c>
      <c r="DI58" s="59">
        <v>0.1075</v>
      </c>
      <c r="DJ58" s="59">
        <v>4.8099999999999997E-2</v>
      </c>
      <c r="DK58" s="59">
        <v>0.3337</v>
      </c>
      <c r="DL58" s="169">
        <v>0</v>
      </c>
      <c r="DM58" s="59">
        <v>0.22459999999999999</v>
      </c>
      <c r="DN58" s="169">
        <v>0</v>
      </c>
      <c r="DO58" s="184">
        <v>1.0589</v>
      </c>
      <c r="DP58" s="171">
        <f t="shared" si="13"/>
        <v>1.3089</v>
      </c>
      <c r="DQ58" s="59">
        <v>8.8599999999999998E-2</v>
      </c>
      <c r="DR58" s="59">
        <v>0.19159999999999999</v>
      </c>
      <c r="DS58" s="59">
        <v>0</v>
      </c>
      <c r="DT58" s="59">
        <v>0</v>
      </c>
      <c r="DU58" s="59">
        <v>1.5900000000000001E-2</v>
      </c>
      <c r="DV58" s="59">
        <v>2.8199999999999999E-2</v>
      </c>
      <c r="DW58" s="59">
        <v>7.7000000000000002E-3</v>
      </c>
      <c r="DX58" s="169">
        <v>0</v>
      </c>
      <c r="DY58" s="59">
        <v>1.9709000000000001</v>
      </c>
      <c r="DZ58" s="171">
        <f t="shared" si="14"/>
        <v>1.9915267136841037</v>
      </c>
      <c r="EA58" s="59">
        <v>0.82379999999999998</v>
      </c>
      <c r="EB58" s="171">
        <f t="shared" si="15"/>
        <v>1.7464190337460548</v>
      </c>
      <c r="EC58" s="59">
        <v>0.35</v>
      </c>
      <c r="ED58" s="171">
        <f t="shared" si="16"/>
        <v>2.0045714285714289</v>
      </c>
      <c r="EE58" s="59">
        <v>4.2000000000000003E-2</v>
      </c>
      <c r="EF58" s="59">
        <v>5.7999999999999996E-3</v>
      </c>
      <c r="EG58" s="59">
        <v>0.1575</v>
      </c>
      <c r="EH58" s="59">
        <v>0</v>
      </c>
      <c r="EI58" s="208">
        <v>0.14349999999999999</v>
      </c>
      <c r="EJ58" s="172">
        <v>5.8832999999999993</v>
      </c>
      <c r="EK58" s="173"/>
      <c r="EL58" s="169">
        <v>0</v>
      </c>
      <c r="EM58" s="169">
        <v>0</v>
      </c>
      <c r="EN58" s="59"/>
      <c r="EO58" s="172"/>
      <c r="ES58" s="57">
        <f t="shared" si="29"/>
        <v>5.8832999999999993</v>
      </c>
      <c r="ET58" s="57">
        <f t="shared" si="30"/>
        <v>0</v>
      </c>
      <c r="EU58" s="31"/>
      <c r="EV58" s="65">
        <f t="shared" si="17"/>
        <v>1.7384631074397028</v>
      </c>
      <c r="EW58" s="62"/>
      <c r="EX58" s="158">
        <f>ES58*1.305-BA58</f>
        <v>-2.5501935000000033</v>
      </c>
      <c r="EY58" s="77">
        <f>ES58*1.344</f>
        <v>7.9071551999999992</v>
      </c>
      <c r="EZ58" s="158">
        <f t="shared" si="19"/>
        <v>10.227900000000002</v>
      </c>
      <c r="FA58" s="158">
        <f t="shared" si="20"/>
        <v>10.227900000000002</v>
      </c>
      <c r="FH58" s="174">
        <f t="shared" si="33"/>
        <v>23679.634080000003</v>
      </c>
      <c r="FJ58" s="65">
        <v>1.2813047099416996</v>
      </c>
      <c r="FK58" s="176">
        <f t="shared" si="34"/>
        <v>1.3567913189976522</v>
      </c>
      <c r="FM58" s="87" t="e">
        <f t="shared" si="35"/>
        <v>#DIV/0!</v>
      </c>
      <c r="FO58" s="88">
        <f t="shared" si="21"/>
        <v>23679.634080000003</v>
      </c>
      <c r="FP58" s="79">
        <f t="shared" si="22"/>
        <v>0</v>
      </c>
      <c r="FS58" s="79">
        <f t="shared" si="23"/>
        <v>13621.016159999997</v>
      </c>
      <c r="FT58" s="79">
        <f t="shared" si="24"/>
        <v>0</v>
      </c>
      <c r="FU58" s="79">
        <f t="shared" si="36"/>
        <v>1.7384631074397028</v>
      </c>
      <c r="FV58" s="79" t="e">
        <f t="shared" si="36"/>
        <v>#DIV/0!</v>
      </c>
      <c r="FY58" s="79">
        <f t="shared" si="37"/>
        <v>23679.634080000003</v>
      </c>
      <c r="FZ58" s="79">
        <f t="shared" si="38"/>
        <v>0</v>
      </c>
      <c r="GB58" s="178">
        <f t="shared" si="39"/>
        <v>2315.1999999999998</v>
      </c>
      <c r="GC58" s="178">
        <f t="shared" si="40"/>
        <v>0</v>
      </c>
      <c r="GG58" s="14">
        <v>8.0540999999999983</v>
      </c>
      <c r="GH58" s="175">
        <f t="shared" si="41"/>
        <v>1.2698998025850192</v>
      </c>
      <c r="GI58" s="14">
        <v>8.0540999999999983</v>
      </c>
      <c r="GJ58" s="175">
        <f t="shared" si="42"/>
        <v>1.2698998025850192</v>
      </c>
      <c r="GK58" s="175">
        <f t="shared" si="62"/>
        <v>0</v>
      </c>
      <c r="GN58" s="14">
        <v>10.630600000000001</v>
      </c>
      <c r="GO58" s="175">
        <f t="shared" si="44"/>
        <v>1.3198991817831915</v>
      </c>
      <c r="GP58" s="179">
        <f t="shared" si="45"/>
        <v>0.96211878915583326</v>
      </c>
      <c r="GQ58" s="14">
        <v>10.630600000000001</v>
      </c>
      <c r="GR58" s="175">
        <f t="shared" si="46"/>
        <v>1.3198991817831915</v>
      </c>
      <c r="GS58" s="175">
        <f t="shared" si="47"/>
        <v>0.96211878915583326</v>
      </c>
      <c r="GV58" s="32">
        <f t="shared" si="25"/>
        <v>23679.634080000003</v>
      </c>
      <c r="GW58" s="32">
        <f t="shared" si="26"/>
        <v>0</v>
      </c>
      <c r="GX58" s="180">
        <f t="shared" si="48"/>
        <v>23679.634080000003</v>
      </c>
      <c r="GZ58" s="32">
        <f t="shared" si="49"/>
        <v>10.227900000000002</v>
      </c>
      <c r="HA58" s="32" t="e">
        <f t="shared" si="50"/>
        <v>#DIV/0!</v>
      </c>
      <c r="HB58" s="32">
        <f t="shared" si="51"/>
        <v>10.227900000000002</v>
      </c>
    </row>
    <row r="59" spans="1:210" ht="19.2" customHeight="1" x14ac:dyDescent="0.3">
      <c r="A59" s="50">
        <v>51</v>
      </c>
      <c r="B59" s="51" t="s">
        <v>560</v>
      </c>
      <c r="C59" s="150" t="s">
        <v>518</v>
      </c>
      <c r="D59" s="52">
        <v>5</v>
      </c>
      <c r="E59" s="52">
        <v>4</v>
      </c>
      <c r="F59" s="63">
        <v>60</v>
      </c>
      <c r="G59" s="54" t="s">
        <v>61</v>
      </c>
      <c r="H59" s="181" t="s">
        <v>49</v>
      </c>
      <c r="I59" s="55">
        <f t="shared" si="27"/>
        <v>2888.8</v>
      </c>
      <c r="J59" s="55">
        <f t="shared" si="0"/>
        <v>0</v>
      </c>
      <c r="K59" s="55">
        <f t="shared" si="1"/>
        <v>0</v>
      </c>
      <c r="L59" s="56">
        <v>2888.8</v>
      </c>
      <c r="M59" s="56">
        <v>2888.8</v>
      </c>
      <c r="N59" s="56">
        <f t="shared" si="28"/>
        <v>2888.8</v>
      </c>
      <c r="O59" s="56">
        <v>0</v>
      </c>
      <c r="P59" s="56">
        <v>0</v>
      </c>
      <c r="Q59" s="55"/>
      <c r="R59" s="55">
        <v>2888.8</v>
      </c>
      <c r="S59" s="55"/>
      <c r="T59" s="55">
        <v>0</v>
      </c>
      <c r="U59" s="152">
        <v>2888.8</v>
      </c>
      <c r="V59" s="57">
        <v>0.16020000000000001</v>
      </c>
      <c r="W59" s="153">
        <v>8.8200000000000001E-2</v>
      </c>
      <c r="X59" s="57">
        <v>0.32290000000000002</v>
      </c>
      <c r="Y59" s="57">
        <v>7.4499999999999997E-2</v>
      </c>
      <c r="Z59" s="153">
        <v>2.7699999999999999E-2</v>
      </c>
      <c r="AA59" s="57">
        <v>0.47620000000000001</v>
      </c>
      <c r="AB59" s="153">
        <v>0</v>
      </c>
      <c r="AC59" s="57">
        <v>0.63149999999999995</v>
      </c>
      <c r="AD59" s="57">
        <v>0.16420000000000001</v>
      </c>
      <c r="AE59" s="57">
        <v>0</v>
      </c>
      <c r="AF59" s="57">
        <v>1.8480000000000001</v>
      </c>
      <c r="AG59" s="57">
        <v>0.21229999999999999</v>
      </c>
      <c r="AH59" s="57">
        <v>0.31269999999999998</v>
      </c>
      <c r="AI59" s="153">
        <v>8.9899999999999994E-2</v>
      </c>
      <c r="AJ59" s="153">
        <v>0.1021</v>
      </c>
      <c r="AK59" s="153">
        <v>5.3800000000000001E-2</v>
      </c>
      <c r="AL59" s="57">
        <v>0.1641</v>
      </c>
      <c r="AM59" s="153">
        <v>3.27E-2</v>
      </c>
      <c r="AN59" s="57">
        <v>0</v>
      </c>
      <c r="AO59" s="153">
        <v>3.0261999999999998</v>
      </c>
      <c r="AP59" s="57">
        <v>1.0740000000000001</v>
      </c>
      <c r="AQ59" s="57">
        <v>8.72E-2</v>
      </c>
      <c r="AR59" s="153">
        <v>0.48599999999999999</v>
      </c>
      <c r="AS59" s="57">
        <v>5.62E-2</v>
      </c>
      <c r="AT59" s="57">
        <v>9.1000000000000004E-3</v>
      </c>
      <c r="AU59" s="153">
        <v>0.28670000000000001</v>
      </c>
      <c r="AV59" s="153">
        <v>0</v>
      </c>
      <c r="AW59" s="154">
        <v>9.7864000000000004</v>
      </c>
      <c r="AX59" s="58">
        <v>0.48930000000000001</v>
      </c>
      <c r="AY59" s="155">
        <f t="shared" si="2"/>
        <v>0.48499999999999999</v>
      </c>
      <c r="AZ59" s="155">
        <f t="shared" si="3"/>
        <v>4.300000000000026E-3</v>
      </c>
      <c r="BA59" s="14">
        <v>10.275700000000001</v>
      </c>
      <c r="BB59" s="59">
        <f>BA59-'[1]Тариф 26 свод без  ПДВ'!AU59</f>
        <v>-2.7999999999988034E-3</v>
      </c>
      <c r="BC59" s="57">
        <v>0</v>
      </c>
      <c r="BD59" s="57">
        <v>0</v>
      </c>
      <c r="BE59" s="57">
        <v>0</v>
      </c>
      <c r="BF59" s="156">
        <v>9.7864000000000004</v>
      </c>
      <c r="BG59" s="59">
        <v>0.48930000000000001</v>
      </c>
      <c r="BH59" s="59"/>
      <c r="BI59" s="59"/>
      <c r="BJ59" s="14">
        <v>10.275700000000001</v>
      </c>
      <c r="BK59" s="60"/>
      <c r="BL59" s="60">
        <v>4.9135000000000009</v>
      </c>
      <c r="BM59" s="60">
        <v>0.2457</v>
      </c>
      <c r="BN59" s="14">
        <v>5.1592000000000011</v>
      </c>
      <c r="BO59" s="14"/>
      <c r="BP59" s="157"/>
      <c r="BQ59" s="158">
        <f>BJ59-'[1]Тариф 26 свод без  ПДВ'!BG59</f>
        <v>-2.7999999999988034E-3</v>
      </c>
      <c r="BR59" s="77">
        <f>'[1]Тариф 26 свод без  ПДВ'!BG59</f>
        <v>10.278499999999999</v>
      </c>
      <c r="BS59" s="159">
        <f t="shared" si="4"/>
        <v>-2.7999999999988034E-3</v>
      </c>
      <c r="BU59" s="77">
        <f>'[1]Тариф 26 свод без  ПДВ'!AU59</f>
        <v>10.278499999999999</v>
      </c>
      <c r="BV59" s="159">
        <f t="shared" si="5"/>
        <v>-2.7999999999988034E-3</v>
      </c>
      <c r="BX59" s="95">
        <v>3.7932000000000001</v>
      </c>
      <c r="BY59" s="95">
        <v>4.6858999999999993</v>
      </c>
      <c r="BZ59" s="95"/>
      <c r="CA59" s="186">
        <f t="shared" si="6"/>
        <v>2.7089792259833385</v>
      </c>
      <c r="CB59" s="186">
        <f t="shared" si="7"/>
        <v>2.1928978424635615</v>
      </c>
      <c r="CD59" s="160">
        <f t="shared" si="69"/>
        <v>2888.8</v>
      </c>
      <c r="CE59" s="160">
        <f t="shared" si="70"/>
        <v>0</v>
      </c>
      <c r="CF59" s="77">
        <f t="shared" si="71"/>
        <v>29684.442160000002</v>
      </c>
      <c r="CG59" s="77">
        <f t="shared" si="72"/>
        <v>0</v>
      </c>
      <c r="CI59" s="160">
        <f>'[1]0 СВОД'!AYY74</f>
        <v>29684.296063586597</v>
      </c>
      <c r="CJ59" s="77">
        <f t="shared" si="12"/>
        <v>356211.55276303913</v>
      </c>
      <c r="CM59" s="161">
        <v>54</v>
      </c>
      <c r="CN59" s="162" t="s">
        <v>561</v>
      </c>
      <c r="CO59" s="163">
        <v>5</v>
      </c>
      <c r="CP59" s="163">
        <v>4</v>
      </c>
      <c r="CQ59" s="164" t="s">
        <v>61</v>
      </c>
      <c r="CR59" s="165" t="s">
        <v>49</v>
      </c>
      <c r="CS59" s="166">
        <v>2887.6</v>
      </c>
      <c r="CT59" s="166">
        <v>0</v>
      </c>
      <c r="CU59" s="167">
        <v>0</v>
      </c>
      <c r="CV59" s="168">
        <v>2887.6</v>
      </c>
      <c r="CW59" s="166">
        <v>2887.6</v>
      </c>
      <c r="CX59" s="167">
        <v>0</v>
      </c>
      <c r="CY59" s="166">
        <v>0</v>
      </c>
      <c r="CZ59" s="166"/>
      <c r="DA59" s="166">
        <v>2887.6</v>
      </c>
      <c r="DB59" s="166"/>
      <c r="DC59" s="166">
        <v>0</v>
      </c>
      <c r="DD59" s="59">
        <v>0.1573</v>
      </c>
      <c r="DE59" s="59">
        <v>0.14330000000000001</v>
      </c>
      <c r="DF59" s="59">
        <v>0.21240000000000001</v>
      </c>
      <c r="DG59" s="59">
        <v>4.3900000000000002E-2</v>
      </c>
      <c r="DH59" s="59">
        <v>1.04E-2</v>
      </c>
      <c r="DI59" s="59">
        <v>0.2072</v>
      </c>
      <c r="DJ59" s="59">
        <v>4.8099999999999997E-2</v>
      </c>
      <c r="DK59" s="59">
        <v>0.3458</v>
      </c>
      <c r="DL59" s="169">
        <v>0</v>
      </c>
      <c r="DM59" s="59">
        <v>0.1</v>
      </c>
      <c r="DN59" s="169">
        <v>0</v>
      </c>
      <c r="DO59" s="170">
        <v>1.1441999999999999</v>
      </c>
      <c r="DP59" s="171">
        <f t="shared" si="13"/>
        <v>1.8480000000000001</v>
      </c>
      <c r="DQ59" s="59">
        <v>0.1022</v>
      </c>
      <c r="DR59" s="59">
        <v>0.18720000000000001</v>
      </c>
      <c r="DS59" s="59">
        <v>2.3400000000000001E-2</v>
      </c>
      <c r="DT59" s="59">
        <v>4.8099999999999997E-2</v>
      </c>
      <c r="DU59" s="59">
        <v>2.2700000000000001E-2</v>
      </c>
      <c r="DV59" s="59">
        <v>5.7200000000000001E-2</v>
      </c>
      <c r="DW59" s="59">
        <v>8.8000000000000005E-3</v>
      </c>
      <c r="DX59" s="169">
        <v>0</v>
      </c>
      <c r="DY59" s="59">
        <v>1.5622</v>
      </c>
      <c r="DZ59" s="171">
        <f t="shared" si="14"/>
        <v>1.9371399308667263</v>
      </c>
      <c r="EA59" s="59">
        <v>0.65139999999999998</v>
      </c>
      <c r="EB59" s="171">
        <f t="shared" si="15"/>
        <v>1.7826220448265275</v>
      </c>
      <c r="EC59" s="59">
        <v>0.25519999999999998</v>
      </c>
      <c r="ED59" s="171">
        <f t="shared" si="16"/>
        <v>1.9043887147335423</v>
      </c>
      <c r="EE59" s="59">
        <v>4.2999999999999997E-2</v>
      </c>
      <c r="EF59" s="59">
        <v>6.0000000000000001E-3</v>
      </c>
      <c r="EG59" s="59">
        <v>0.21859999999999999</v>
      </c>
      <c r="EH59" s="59">
        <v>0</v>
      </c>
      <c r="EI59" s="208">
        <v>0.14000000000000001</v>
      </c>
      <c r="EJ59" s="172">
        <v>5.7385999999999999</v>
      </c>
      <c r="EK59" s="173"/>
      <c r="EL59" s="169">
        <v>0</v>
      </c>
      <c r="EM59" s="169">
        <v>0</v>
      </c>
      <c r="EN59" s="59"/>
      <c r="EO59" s="172"/>
      <c r="ES59" s="57">
        <f t="shared" si="29"/>
        <v>5.7385999999999999</v>
      </c>
      <c r="ET59" s="57">
        <f t="shared" si="30"/>
        <v>0</v>
      </c>
      <c r="EU59" s="31"/>
      <c r="EV59" s="61">
        <f t="shared" si="17"/>
        <v>1.7906283762590181</v>
      </c>
      <c r="EW59" s="62"/>
      <c r="EX59" s="158">
        <f>ES59*1.305-BA59</f>
        <v>-2.7868270000000006</v>
      </c>
      <c r="EY59" s="77">
        <f t="shared" ref="EY59:EY60" si="73">ES59*1.344</f>
        <v>7.7126784000000006</v>
      </c>
      <c r="EZ59" s="158">
        <f t="shared" si="19"/>
        <v>10.275700000000001</v>
      </c>
      <c r="FA59" s="158">
        <f t="shared" si="20"/>
        <v>10.275700000000001</v>
      </c>
      <c r="FH59" s="174">
        <f t="shared" si="33"/>
        <v>29684.442160000002</v>
      </c>
      <c r="FJ59" s="65">
        <v>1.3805980552748056</v>
      </c>
      <c r="FK59" s="176">
        <f t="shared" si="34"/>
        <v>1.296994711398892</v>
      </c>
      <c r="FM59" s="87" t="e">
        <f t="shared" si="35"/>
        <v>#DIV/0!</v>
      </c>
      <c r="FO59" s="88">
        <f t="shared" si="21"/>
        <v>29684.442160000002</v>
      </c>
      <c r="FP59" s="79">
        <f t="shared" si="22"/>
        <v>0</v>
      </c>
      <c r="FS59" s="79">
        <f t="shared" si="23"/>
        <v>16577.667680000002</v>
      </c>
      <c r="FT59" s="79">
        <f t="shared" si="24"/>
        <v>0</v>
      </c>
      <c r="FU59" s="79">
        <f t="shared" si="36"/>
        <v>1.7906283762590178</v>
      </c>
      <c r="FV59" s="79" t="e">
        <f t="shared" si="36"/>
        <v>#DIV/0!</v>
      </c>
      <c r="FY59" s="79">
        <f t="shared" si="37"/>
        <v>29684.442160000002</v>
      </c>
      <c r="FZ59" s="79">
        <f t="shared" si="38"/>
        <v>0</v>
      </c>
      <c r="GB59" s="178">
        <f t="shared" si="39"/>
        <v>2888.8</v>
      </c>
      <c r="GC59" s="178">
        <f t="shared" si="40"/>
        <v>0</v>
      </c>
      <c r="GG59" s="14">
        <v>8.0917000000000012</v>
      </c>
      <c r="GH59" s="175">
        <f t="shared" si="41"/>
        <v>1.2699062001804318</v>
      </c>
      <c r="GI59" s="14">
        <v>8.0917000000000012</v>
      </c>
      <c r="GJ59" s="175">
        <f t="shared" si="42"/>
        <v>1.2699062001804318</v>
      </c>
      <c r="GK59" s="175">
        <f t="shared" si="62"/>
        <v>0</v>
      </c>
      <c r="GN59" s="14">
        <v>10.538</v>
      </c>
      <c r="GO59" s="175">
        <f t="shared" si="44"/>
        <v>1.3023221325555814</v>
      </c>
      <c r="GP59" s="179">
        <f t="shared" si="45"/>
        <v>0.97510912886695766</v>
      </c>
      <c r="GQ59" s="14">
        <v>10.538</v>
      </c>
      <c r="GR59" s="175">
        <f t="shared" si="46"/>
        <v>1.3023221325555814</v>
      </c>
      <c r="GS59" s="175">
        <f t="shared" si="47"/>
        <v>0.97510912886695766</v>
      </c>
      <c r="GV59" s="32">
        <f t="shared" si="25"/>
        <v>29684.442160000002</v>
      </c>
      <c r="GW59" s="32">
        <f t="shared" si="26"/>
        <v>0</v>
      </c>
      <c r="GX59" s="180">
        <f t="shared" si="48"/>
        <v>29684.442160000002</v>
      </c>
      <c r="GZ59" s="32">
        <f t="shared" si="49"/>
        <v>10.275700000000001</v>
      </c>
      <c r="HA59" s="32" t="e">
        <f t="shared" si="50"/>
        <v>#DIV/0!</v>
      </c>
      <c r="HB59" s="32">
        <f t="shared" si="51"/>
        <v>10.275700000000001</v>
      </c>
    </row>
    <row r="60" spans="1:210" ht="22.2" customHeight="1" x14ac:dyDescent="0.3">
      <c r="A60" s="50">
        <v>52</v>
      </c>
      <c r="B60" s="51" t="s">
        <v>562</v>
      </c>
      <c r="C60" s="150" t="s">
        <v>518</v>
      </c>
      <c r="D60" s="52">
        <v>5</v>
      </c>
      <c r="E60" s="52">
        <v>6</v>
      </c>
      <c r="F60" s="63">
        <v>90</v>
      </c>
      <c r="G60" s="54" t="s">
        <v>62</v>
      </c>
      <c r="H60" s="181" t="s">
        <v>49</v>
      </c>
      <c r="I60" s="55">
        <f t="shared" si="27"/>
        <v>4683.8</v>
      </c>
      <c r="J60" s="55">
        <f t="shared" si="0"/>
        <v>0</v>
      </c>
      <c r="K60" s="55">
        <f t="shared" si="1"/>
        <v>0</v>
      </c>
      <c r="L60" s="56">
        <v>4683.8</v>
      </c>
      <c r="M60" s="56">
        <v>4683.8</v>
      </c>
      <c r="N60" s="56">
        <f t="shared" si="28"/>
        <v>4683.8</v>
      </c>
      <c r="O60" s="56">
        <v>0</v>
      </c>
      <c r="P60" s="56">
        <v>0</v>
      </c>
      <c r="Q60" s="55"/>
      <c r="R60" s="55">
        <v>4683.8</v>
      </c>
      <c r="S60" s="55"/>
      <c r="T60" s="55">
        <v>0</v>
      </c>
      <c r="U60" s="152">
        <v>4683.8</v>
      </c>
      <c r="V60" s="57">
        <v>0.15939999999999999</v>
      </c>
      <c r="W60" s="153">
        <v>8.0799999999999997E-2</v>
      </c>
      <c r="X60" s="57">
        <v>0.33119999999999999</v>
      </c>
      <c r="Y60" s="57">
        <v>7.4499999999999997E-2</v>
      </c>
      <c r="Z60" s="153">
        <v>3.8399999999999997E-2</v>
      </c>
      <c r="AA60" s="57">
        <v>0.5696</v>
      </c>
      <c r="AB60" s="153">
        <v>0</v>
      </c>
      <c r="AC60" s="57">
        <v>0.63149999999999995</v>
      </c>
      <c r="AD60" s="57">
        <v>0.15190000000000001</v>
      </c>
      <c r="AE60" s="57">
        <v>0</v>
      </c>
      <c r="AF60" s="57">
        <v>2.6886999999999999</v>
      </c>
      <c r="AG60" s="57">
        <v>0.20860000000000001</v>
      </c>
      <c r="AH60" s="57">
        <v>0.28649999999999998</v>
      </c>
      <c r="AI60" s="153">
        <v>9.1899999999999996E-2</v>
      </c>
      <c r="AJ60" s="153">
        <v>9.7000000000000003E-2</v>
      </c>
      <c r="AK60" s="153">
        <v>7.4700000000000003E-2</v>
      </c>
      <c r="AL60" s="57">
        <v>0.2107</v>
      </c>
      <c r="AM60" s="153">
        <v>3.1600000000000003E-2</v>
      </c>
      <c r="AN60" s="57">
        <v>0</v>
      </c>
      <c r="AO60" s="153">
        <v>1.9901</v>
      </c>
      <c r="AP60" s="57">
        <v>0.99350000000000005</v>
      </c>
      <c r="AQ60" s="57">
        <v>8.4599999999999995E-2</v>
      </c>
      <c r="AR60" s="153">
        <v>0.47320000000000001</v>
      </c>
      <c r="AS60" s="57">
        <v>5.91E-2</v>
      </c>
      <c r="AT60" s="57">
        <v>9.5999999999999992E-3</v>
      </c>
      <c r="AU60" s="153">
        <v>0.1547</v>
      </c>
      <c r="AV60" s="153">
        <v>0</v>
      </c>
      <c r="AW60" s="154">
        <v>9.4918000000000013</v>
      </c>
      <c r="AX60" s="58">
        <v>0.47460000000000002</v>
      </c>
      <c r="AY60" s="155">
        <f t="shared" si="2"/>
        <v>0.47039999999999998</v>
      </c>
      <c r="AZ60" s="155">
        <f t="shared" si="3"/>
        <v>4.200000000000037E-3</v>
      </c>
      <c r="BA60" s="14">
        <v>9.9664000000000019</v>
      </c>
      <c r="BB60" s="59">
        <f>BA60-'[1]Тариф 26 свод без  ПДВ'!AU60</f>
        <v>-5.399999999998073E-3</v>
      </c>
      <c r="BC60" s="57">
        <v>0</v>
      </c>
      <c r="BD60" s="57">
        <v>0</v>
      </c>
      <c r="BE60" s="57">
        <v>0</v>
      </c>
      <c r="BF60" s="156">
        <v>9.4918000000000013</v>
      </c>
      <c r="BG60" s="59">
        <v>0.47460000000000002</v>
      </c>
      <c r="BH60" s="59"/>
      <c r="BI60" s="59"/>
      <c r="BJ60" s="14">
        <v>9.9664000000000019</v>
      </c>
      <c r="BK60" s="60"/>
      <c r="BL60" s="60">
        <v>5.880300000000001</v>
      </c>
      <c r="BM60" s="60">
        <v>0.29399999999999998</v>
      </c>
      <c r="BN60" s="14">
        <v>6.1743000000000006</v>
      </c>
      <c r="BO60" s="14"/>
      <c r="BP60" s="157"/>
      <c r="BQ60" s="158">
        <f>BJ60-'[1]Тариф 26 свод без  ПДВ'!BG60</f>
        <v>-5.399999999998073E-3</v>
      </c>
      <c r="BR60" s="77">
        <f>'[1]Тариф 26 свод без  ПДВ'!BG60</f>
        <v>9.9718</v>
      </c>
      <c r="BS60" s="159">
        <f t="shared" si="4"/>
        <v>-5.399999999998073E-3</v>
      </c>
      <c r="BU60" s="77">
        <f>'[1]Тариф 26 свод без  ПДВ'!AU60</f>
        <v>9.9718</v>
      </c>
      <c r="BV60" s="159">
        <f t="shared" si="5"/>
        <v>-5.399999999998073E-3</v>
      </c>
      <c r="BX60" s="95">
        <v>4.1371000000000002</v>
      </c>
      <c r="BY60" s="95">
        <v>5.1948999999999996</v>
      </c>
      <c r="BZ60" s="95"/>
      <c r="CA60" s="182">
        <f t="shared" si="6"/>
        <v>2.4090304802881248</v>
      </c>
      <c r="CB60" s="182">
        <f t="shared" si="7"/>
        <v>1.91849698742998</v>
      </c>
      <c r="CD60" s="160">
        <f t="shared" si="69"/>
        <v>4683.8</v>
      </c>
      <c r="CE60" s="160">
        <f t="shared" si="70"/>
        <v>0</v>
      </c>
      <c r="CF60" s="77">
        <f t="shared" si="71"/>
        <v>46680.62432000001</v>
      </c>
      <c r="CG60" s="77">
        <f t="shared" si="72"/>
        <v>0</v>
      </c>
      <c r="CI60" s="160">
        <f>'[1]0 СВОД'!AYY75</f>
        <v>46680.434992962888</v>
      </c>
      <c r="CJ60" s="77">
        <f t="shared" si="12"/>
        <v>560165.21991555463</v>
      </c>
      <c r="CM60" s="161">
        <v>55</v>
      </c>
      <c r="CN60" s="183" t="s">
        <v>563</v>
      </c>
      <c r="CO60" s="163">
        <v>5</v>
      </c>
      <c r="CP60" s="163">
        <v>6</v>
      </c>
      <c r="CQ60" s="164" t="s">
        <v>62</v>
      </c>
      <c r="CR60" s="165" t="s">
        <v>49</v>
      </c>
      <c r="CS60" s="166">
        <v>4679.3</v>
      </c>
      <c r="CT60" s="166">
        <v>0</v>
      </c>
      <c r="CU60" s="167">
        <v>0</v>
      </c>
      <c r="CV60" s="168">
        <v>4679.3</v>
      </c>
      <c r="CW60" s="166">
        <v>4679.3</v>
      </c>
      <c r="CX60" s="167">
        <v>0</v>
      </c>
      <c r="CY60" s="166">
        <v>0</v>
      </c>
      <c r="CZ60" s="166"/>
      <c r="DA60" s="166">
        <v>4679.3</v>
      </c>
      <c r="DB60" s="166"/>
      <c r="DC60" s="166">
        <v>0</v>
      </c>
      <c r="DD60" s="59">
        <v>0.15679999999999999</v>
      </c>
      <c r="DE60" s="59">
        <v>0.13139999999999999</v>
      </c>
      <c r="DF60" s="59">
        <v>0.218</v>
      </c>
      <c r="DG60" s="59">
        <v>4.3900000000000002E-2</v>
      </c>
      <c r="DH60" s="59">
        <v>1.44E-2</v>
      </c>
      <c r="DI60" s="59">
        <v>0.251</v>
      </c>
      <c r="DJ60" s="59">
        <v>4.8099999999999997E-2</v>
      </c>
      <c r="DK60" s="59">
        <v>0.3458</v>
      </c>
      <c r="DL60" s="169">
        <v>0</v>
      </c>
      <c r="DM60" s="59">
        <v>9.2600000000000002E-2</v>
      </c>
      <c r="DN60" s="169">
        <v>0</v>
      </c>
      <c r="DO60" s="184">
        <v>1.5108000000000001</v>
      </c>
      <c r="DP60" s="171">
        <f t="shared" si="13"/>
        <v>2.6886999999999999</v>
      </c>
      <c r="DQ60" s="59">
        <v>0.10050000000000001</v>
      </c>
      <c r="DR60" s="59">
        <v>0.1716</v>
      </c>
      <c r="DS60" s="59">
        <v>2.4E-2</v>
      </c>
      <c r="DT60" s="59">
        <v>4.5699999999999998E-2</v>
      </c>
      <c r="DU60" s="59">
        <v>3.15E-2</v>
      </c>
      <c r="DV60" s="59">
        <v>7.4200000000000002E-2</v>
      </c>
      <c r="DW60" s="59">
        <v>8.2000000000000007E-3</v>
      </c>
      <c r="DX60" s="169">
        <v>0</v>
      </c>
      <c r="DY60" s="59">
        <v>1.0279</v>
      </c>
      <c r="DZ60" s="171">
        <f t="shared" si="14"/>
        <v>1.9360832765833251</v>
      </c>
      <c r="EA60" s="59">
        <v>0.60660000000000003</v>
      </c>
      <c r="EB60" s="171">
        <f t="shared" si="15"/>
        <v>1.7772832179360369</v>
      </c>
      <c r="EC60" s="59">
        <v>0.24929999999999999</v>
      </c>
      <c r="ED60" s="171">
        <f t="shared" si="16"/>
        <v>1.8981147212194145</v>
      </c>
      <c r="EE60" s="59">
        <v>4.5199999999999997E-2</v>
      </c>
      <c r="EF60" s="59">
        <v>6.3E-3</v>
      </c>
      <c r="EG60" s="59">
        <v>0.42699999999999999</v>
      </c>
      <c r="EH60" s="59">
        <v>0</v>
      </c>
      <c r="EI60" s="208">
        <v>0.14080000000000001</v>
      </c>
      <c r="EJ60" s="172">
        <v>5.7716000000000003</v>
      </c>
      <c r="EK60" s="173"/>
      <c r="EL60" s="169">
        <v>0</v>
      </c>
      <c r="EM60" s="169">
        <v>0</v>
      </c>
      <c r="EN60" s="59"/>
      <c r="EO60" s="172"/>
      <c r="ES60" s="57">
        <f t="shared" si="29"/>
        <v>5.7716000000000003</v>
      </c>
      <c r="ET60" s="57">
        <f t="shared" si="30"/>
        <v>0</v>
      </c>
      <c r="EU60" s="31"/>
      <c r="EV60" s="61">
        <f t="shared" si="17"/>
        <v>1.7268001940536422</v>
      </c>
      <c r="EW60" s="62"/>
      <c r="EX60" s="158">
        <f>ES60*1.305-BA60</f>
        <v>-2.4344620000000017</v>
      </c>
      <c r="EY60" s="77">
        <f t="shared" si="73"/>
        <v>7.7570304000000005</v>
      </c>
      <c r="EZ60" s="158">
        <f t="shared" si="19"/>
        <v>9.9664000000000019</v>
      </c>
      <c r="FA60" s="158">
        <f t="shared" si="20"/>
        <v>9.9664000000000019</v>
      </c>
      <c r="FH60" s="174">
        <f t="shared" si="33"/>
        <v>46680.62432000001</v>
      </c>
      <c r="FJ60" s="65">
        <v>1.3607838381038186</v>
      </c>
      <c r="FK60" s="176">
        <f t="shared" si="34"/>
        <v>1.2689746495371728</v>
      </c>
      <c r="FM60" s="87" t="e">
        <f t="shared" si="35"/>
        <v>#DIV/0!</v>
      </c>
      <c r="FO60" s="88">
        <f t="shared" si="21"/>
        <v>46680.62432000001</v>
      </c>
      <c r="FP60" s="79">
        <f t="shared" si="22"/>
        <v>0</v>
      </c>
      <c r="FS60" s="79">
        <f t="shared" si="23"/>
        <v>27033.020080000002</v>
      </c>
      <c r="FT60" s="79">
        <f t="shared" si="24"/>
        <v>0</v>
      </c>
      <c r="FU60" s="79">
        <f t="shared" si="36"/>
        <v>1.7268001940536422</v>
      </c>
      <c r="FV60" s="79" t="e">
        <f t="shared" si="36"/>
        <v>#DIV/0!</v>
      </c>
      <c r="FY60" s="79">
        <f t="shared" si="37"/>
        <v>46680.62432000001</v>
      </c>
      <c r="FZ60" s="79">
        <f t="shared" si="38"/>
        <v>0</v>
      </c>
      <c r="GB60" s="178">
        <f t="shared" si="39"/>
        <v>4683.8</v>
      </c>
      <c r="GC60" s="178">
        <f t="shared" si="40"/>
        <v>0</v>
      </c>
      <c r="GG60" s="14">
        <v>8.0749999999999993</v>
      </c>
      <c r="GH60" s="175">
        <f t="shared" si="41"/>
        <v>1.234229102167183</v>
      </c>
      <c r="GI60" s="14">
        <v>8.0749999999999993</v>
      </c>
      <c r="GJ60" s="175">
        <f t="shared" si="42"/>
        <v>1.234229102167183</v>
      </c>
      <c r="GK60" s="175">
        <f t="shared" si="62"/>
        <v>0</v>
      </c>
      <c r="GN60" s="14">
        <v>10.3079</v>
      </c>
      <c r="GO60" s="175">
        <f t="shared" si="44"/>
        <v>1.2765201238390094</v>
      </c>
      <c r="GP60" s="179">
        <f t="shared" si="45"/>
        <v>0.96687007052842988</v>
      </c>
      <c r="GQ60" s="14">
        <v>10.3079</v>
      </c>
      <c r="GR60" s="175">
        <f t="shared" si="46"/>
        <v>1.2765201238390094</v>
      </c>
      <c r="GS60" s="175">
        <f t="shared" si="47"/>
        <v>0.96687007052842988</v>
      </c>
      <c r="GV60" s="32">
        <f t="shared" si="25"/>
        <v>46680.62432000001</v>
      </c>
      <c r="GW60" s="32">
        <f t="shared" si="26"/>
        <v>0</v>
      </c>
      <c r="GX60" s="180">
        <f t="shared" si="48"/>
        <v>46680.62432000001</v>
      </c>
      <c r="GZ60" s="32">
        <f t="shared" si="49"/>
        <v>9.9664000000000019</v>
      </c>
      <c r="HA60" s="32" t="e">
        <f t="shared" si="50"/>
        <v>#DIV/0!</v>
      </c>
      <c r="HB60" s="32">
        <f t="shared" si="51"/>
        <v>9.9664000000000019</v>
      </c>
    </row>
    <row r="61" spans="1:210" ht="19.2" customHeight="1" x14ac:dyDescent="0.3">
      <c r="A61" s="50">
        <v>53</v>
      </c>
      <c r="B61" s="51" t="s">
        <v>564</v>
      </c>
      <c r="C61" s="150" t="s">
        <v>518</v>
      </c>
      <c r="D61" s="52">
        <v>5</v>
      </c>
      <c r="E61" s="52">
        <v>4</v>
      </c>
      <c r="F61" s="63">
        <v>49</v>
      </c>
      <c r="G61" s="54" t="s">
        <v>63</v>
      </c>
      <c r="H61" s="181" t="s">
        <v>56</v>
      </c>
      <c r="I61" s="55">
        <f t="shared" si="27"/>
        <v>2902</v>
      </c>
      <c r="J61" s="55">
        <f t="shared" si="0"/>
        <v>0</v>
      </c>
      <c r="K61" s="55">
        <f t="shared" si="1"/>
        <v>50.2</v>
      </c>
      <c r="L61" s="56">
        <v>2952.2</v>
      </c>
      <c r="M61" s="56">
        <v>2902</v>
      </c>
      <c r="N61" s="56">
        <f t="shared" si="28"/>
        <v>2902</v>
      </c>
      <c r="O61" s="56">
        <v>50.2</v>
      </c>
      <c r="P61" s="56">
        <v>0</v>
      </c>
      <c r="Q61" s="55"/>
      <c r="R61" s="55">
        <v>2952.2</v>
      </c>
      <c r="S61" s="55"/>
      <c r="T61" s="55">
        <v>0</v>
      </c>
      <c r="U61" s="152">
        <v>2952.2</v>
      </c>
      <c r="V61" s="57">
        <v>0.1789</v>
      </c>
      <c r="W61" s="153">
        <v>8.4099999999999994E-2</v>
      </c>
      <c r="X61" s="57">
        <v>0.32669999999999999</v>
      </c>
      <c r="Y61" s="57">
        <v>7.46E-2</v>
      </c>
      <c r="Z61" s="153">
        <v>3.8899999999999997E-2</v>
      </c>
      <c r="AA61" s="57">
        <v>0.495</v>
      </c>
      <c r="AB61" s="153">
        <v>0</v>
      </c>
      <c r="AC61" s="57">
        <v>0.63149999999999995</v>
      </c>
      <c r="AD61" s="57">
        <v>0.13389999999999999</v>
      </c>
      <c r="AE61" s="57">
        <v>0</v>
      </c>
      <c r="AF61" s="57">
        <v>1.5757000000000001</v>
      </c>
      <c r="AG61" s="57">
        <v>0.2109</v>
      </c>
      <c r="AH61" s="57">
        <v>0.31590000000000001</v>
      </c>
      <c r="AI61" s="153">
        <v>8.8999999999999996E-2</v>
      </c>
      <c r="AJ61" s="153">
        <v>0.10440000000000001</v>
      </c>
      <c r="AK61" s="153">
        <v>7.5700000000000003E-2</v>
      </c>
      <c r="AL61" s="57">
        <v>0.16059999999999999</v>
      </c>
      <c r="AM61" s="153">
        <v>3.4799999999999998E-2</v>
      </c>
      <c r="AN61" s="57">
        <v>0</v>
      </c>
      <c r="AO61" s="153">
        <v>1.8521000000000001</v>
      </c>
      <c r="AP61" s="57">
        <v>1.5089999999999999</v>
      </c>
      <c r="AQ61" s="57">
        <v>8.6999999999999994E-2</v>
      </c>
      <c r="AR61" s="153">
        <v>0.46700000000000003</v>
      </c>
      <c r="AS61" s="57">
        <v>6.5000000000000002E-2</v>
      </c>
      <c r="AT61" s="57">
        <v>1.06E-2</v>
      </c>
      <c r="AU61" s="153">
        <v>0.28889999999999999</v>
      </c>
      <c r="AV61" s="153">
        <v>0</v>
      </c>
      <c r="AW61" s="154">
        <v>8.8102</v>
      </c>
      <c r="AX61" s="58">
        <v>0.4405</v>
      </c>
      <c r="AY61" s="155">
        <f t="shared" si="2"/>
        <v>0.43619999999999998</v>
      </c>
      <c r="AZ61" s="155">
        <f t="shared" si="3"/>
        <v>4.300000000000026E-3</v>
      </c>
      <c r="BA61" s="14">
        <v>9.2507000000000001</v>
      </c>
      <c r="BB61" s="59">
        <f>BA61-'[1]Тариф 26 свод без  ПДВ'!AU61</f>
        <v>-3.8000000000000256E-3</v>
      </c>
      <c r="BC61" s="57">
        <v>0</v>
      </c>
      <c r="BD61" s="57">
        <v>0</v>
      </c>
      <c r="BE61" s="57">
        <v>0</v>
      </c>
      <c r="BF61" s="156">
        <v>8.8102</v>
      </c>
      <c r="BG61" s="59">
        <v>0.4405</v>
      </c>
      <c r="BH61" s="59"/>
      <c r="BI61" s="59"/>
      <c r="BJ61" s="14">
        <v>9.2507000000000001</v>
      </c>
      <c r="BK61" s="60"/>
      <c r="BL61" s="60">
        <v>4.6931999999999992</v>
      </c>
      <c r="BM61" s="60">
        <v>0.23469999999999999</v>
      </c>
      <c r="BN61" s="14">
        <v>4.9278999999999993</v>
      </c>
      <c r="BO61" s="14"/>
      <c r="BP61" s="157"/>
      <c r="BQ61" s="158">
        <f>BJ61-'[1]Тариф 26 свод без  ПДВ'!BG61</f>
        <v>-3.8000000000000256E-3</v>
      </c>
      <c r="BR61" s="77">
        <f>'[1]Тариф 26 свод без  ПДВ'!BG61</f>
        <v>9.2545000000000002</v>
      </c>
      <c r="BS61" s="159">
        <f t="shared" si="4"/>
        <v>-3.8000000000000256E-3</v>
      </c>
      <c r="BU61" s="77">
        <f>'[1]Тариф 26 свод без  ПДВ'!AU61</f>
        <v>9.2545000000000002</v>
      </c>
      <c r="BV61" s="159">
        <f t="shared" si="5"/>
        <v>-3.8000000000000256E-3</v>
      </c>
      <c r="BX61" s="95">
        <v>4.7057999999999991</v>
      </c>
      <c r="BY61" s="95">
        <v>4.7057999999999991</v>
      </c>
      <c r="BZ61" s="95"/>
      <c r="CA61" s="182">
        <f t="shared" si="6"/>
        <v>1.9658081516426542</v>
      </c>
      <c r="CB61" s="182">
        <f t="shared" si="7"/>
        <v>1.9658081516426542</v>
      </c>
      <c r="CI61" s="160">
        <f>'[1]0 СВОД'!AYY76</f>
        <v>27093.411783745196</v>
      </c>
      <c r="CJ61" s="77">
        <f t="shared" si="12"/>
        <v>325120.94140494236</v>
      </c>
      <c r="CM61" s="161">
        <v>56</v>
      </c>
      <c r="CN61" s="162" t="s">
        <v>565</v>
      </c>
      <c r="CO61" s="163">
        <v>5</v>
      </c>
      <c r="CP61" s="163">
        <v>4</v>
      </c>
      <c r="CQ61" s="164" t="s">
        <v>63</v>
      </c>
      <c r="CR61" s="165" t="s">
        <v>56</v>
      </c>
      <c r="CS61" s="166">
        <v>2903.5</v>
      </c>
      <c r="CT61" s="166">
        <v>0</v>
      </c>
      <c r="CU61" s="167">
        <v>50.2</v>
      </c>
      <c r="CV61" s="168">
        <v>2953.7</v>
      </c>
      <c r="CW61" s="166">
        <v>2903.5</v>
      </c>
      <c r="CX61" s="167">
        <v>50.2</v>
      </c>
      <c r="CY61" s="166">
        <v>-1.8474111129762605E-13</v>
      </c>
      <c r="CZ61" s="166"/>
      <c r="DA61" s="166">
        <v>2953.7</v>
      </c>
      <c r="DB61" s="166"/>
      <c r="DC61" s="166">
        <v>0</v>
      </c>
      <c r="DD61" s="59">
        <v>0.15820000000000001</v>
      </c>
      <c r="DE61" s="59">
        <v>0.1721</v>
      </c>
      <c r="DF61" s="59">
        <v>0.21460000000000001</v>
      </c>
      <c r="DG61" s="59">
        <v>4.3900000000000002E-2</v>
      </c>
      <c r="DH61" s="59">
        <v>1.46E-2</v>
      </c>
      <c r="DI61" s="59">
        <v>0.2157</v>
      </c>
      <c r="DJ61" s="59">
        <v>4.8099999999999997E-2</v>
      </c>
      <c r="DK61" s="59">
        <v>0.3458</v>
      </c>
      <c r="DL61" s="169">
        <v>0</v>
      </c>
      <c r="DM61" s="59">
        <v>8.1500000000000003E-2</v>
      </c>
      <c r="DN61" s="169">
        <v>0</v>
      </c>
      <c r="DO61" s="170">
        <v>0.74130000000000007</v>
      </c>
      <c r="DP61" s="171">
        <f t="shared" si="13"/>
        <v>1.5757000000000001</v>
      </c>
      <c r="DQ61" s="59">
        <v>0.10150000000000001</v>
      </c>
      <c r="DR61" s="59">
        <v>0.2248</v>
      </c>
      <c r="DS61" s="59">
        <v>2.3199999999999998E-2</v>
      </c>
      <c r="DT61" s="59">
        <v>4.9099999999999998E-2</v>
      </c>
      <c r="DU61" s="59">
        <v>3.1899999999999998E-2</v>
      </c>
      <c r="DV61" s="59">
        <v>6.0999999999999999E-2</v>
      </c>
      <c r="DW61" s="59">
        <v>9.7999999999999997E-3</v>
      </c>
      <c r="DX61" s="169">
        <v>0</v>
      </c>
      <c r="DY61" s="59">
        <v>0.92659999999999998</v>
      </c>
      <c r="DZ61" s="171">
        <f t="shared" si="14"/>
        <v>1.9988128642348371</v>
      </c>
      <c r="EA61" s="59">
        <v>0.90049999999999997</v>
      </c>
      <c r="EB61" s="171">
        <f t="shared" si="15"/>
        <v>1.7723486951693503</v>
      </c>
      <c r="EC61" s="59">
        <v>0.24340000000000001</v>
      </c>
      <c r="ED61" s="171">
        <f t="shared" si="16"/>
        <v>1.9186524239934266</v>
      </c>
      <c r="EE61" s="59">
        <v>4.9700000000000001E-2</v>
      </c>
      <c r="EF61" s="59">
        <v>6.8999999999999999E-3</v>
      </c>
      <c r="EG61" s="59">
        <v>0.1074</v>
      </c>
      <c r="EH61" s="59">
        <v>0</v>
      </c>
      <c r="EI61" s="208">
        <v>0.1193</v>
      </c>
      <c r="EJ61" s="172">
        <v>4.8909000000000002</v>
      </c>
      <c r="EK61" s="173"/>
      <c r="EL61" s="169">
        <v>0</v>
      </c>
      <c r="EM61" s="169">
        <v>0</v>
      </c>
      <c r="EN61" s="59"/>
      <c r="EO61" s="172"/>
      <c r="ES61" s="57">
        <f t="shared" si="29"/>
        <v>4.8909000000000002</v>
      </c>
      <c r="ET61" s="57">
        <f t="shared" si="30"/>
        <v>0</v>
      </c>
      <c r="EU61" s="31"/>
      <c r="EV61" s="211">
        <f t="shared" si="17"/>
        <v>1.8914105788300721</v>
      </c>
      <c r="EW61" s="62"/>
      <c r="EX61" s="158">
        <f>ES61*1.305-BA61</f>
        <v>-2.8680754999999998</v>
      </c>
      <c r="EY61" s="77">
        <f>ES61*1.344</f>
        <v>6.5733696000000004</v>
      </c>
      <c r="EZ61" s="158">
        <f t="shared" si="19"/>
        <v>9.2507000000000001</v>
      </c>
      <c r="FA61" s="158">
        <f t="shared" si="20"/>
        <v>9.2507000000000001</v>
      </c>
      <c r="FH61" s="174">
        <f t="shared" si="33"/>
        <v>27309.916539999998</v>
      </c>
      <c r="FJ61" s="65">
        <v>1.3789895520251896</v>
      </c>
      <c r="FK61" s="176">
        <f t="shared" si="34"/>
        <v>1.3715916672844539</v>
      </c>
      <c r="FM61" s="87" t="e">
        <f t="shared" si="35"/>
        <v>#DIV/0!</v>
      </c>
      <c r="FO61" s="88">
        <f t="shared" si="21"/>
        <v>27309.916539999998</v>
      </c>
      <c r="FP61" s="79">
        <f t="shared" si="22"/>
        <v>0</v>
      </c>
      <c r="FS61" s="79">
        <f t="shared" si="23"/>
        <v>14438.91498</v>
      </c>
      <c r="FT61" s="79">
        <f t="shared" si="24"/>
        <v>0</v>
      </c>
      <c r="FU61" s="79">
        <f t="shared" si="36"/>
        <v>1.8914105788300721</v>
      </c>
      <c r="FV61" s="79" t="e">
        <f t="shared" si="36"/>
        <v>#DIV/0!</v>
      </c>
      <c r="FY61" s="79">
        <f t="shared" si="37"/>
        <v>27309.916539999998</v>
      </c>
      <c r="FZ61" s="79">
        <f t="shared" si="38"/>
        <v>0</v>
      </c>
      <c r="GB61" s="178">
        <f t="shared" si="39"/>
        <v>2952.2</v>
      </c>
      <c r="GC61" s="178">
        <f t="shared" si="40"/>
        <v>0</v>
      </c>
      <c r="GG61" s="14">
        <v>6.9818999999999996</v>
      </c>
      <c r="GH61" s="175">
        <f t="shared" si="41"/>
        <v>1.3249545252724904</v>
      </c>
      <c r="GI61" s="14">
        <v>6.9818999999999996</v>
      </c>
      <c r="GJ61" s="175">
        <f t="shared" si="42"/>
        <v>1.3249545252724904</v>
      </c>
      <c r="GK61" s="175">
        <f t="shared" si="62"/>
        <v>0</v>
      </c>
      <c r="GN61" s="14">
        <v>9.1059999999999981</v>
      </c>
      <c r="GO61" s="175">
        <f t="shared" si="44"/>
        <v>1.3042295077271229</v>
      </c>
      <c r="GP61" s="179">
        <f t="shared" si="45"/>
        <v>1.0158906215681971</v>
      </c>
      <c r="GQ61" s="14">
        <v>9.1059999999999981</v>
      </c>
      <c r="GR61" s="175">
        <f t="shared" si="46"/>
        <v>1.3042295077271229</v>
      </c>
      <c r="GS61" s="175">
        <f t="shared" si="47"/>
        <v>1.0158906215681971</v>
      </c>
      <c r="GV61" s="32">
        <f t="shared" si="25"/>
        <v>27309.916539999998</v>
      </c>
      <c r="GW61" s="32">
        <f t="shared" si="26"/>
        <v>0</v>
      </c>
      <c r="GX61" s="180">
        <f t="shared" si="48"/>
        <v>27309.916539999998</v>
      </c>
      <c r="GZ61" s="32">
        <f t="shared" si="49"/>
        <v>9.2507000000000001</v>
      </c>
      <c r="HA61" s="32" t="e">
        <f t="shared" si="50"/>
        <v>#DIV/0!</v>
      </c>
      <c r="HB61" s="32">
        <f t="shared" si="51"/>
        <v>9.2507000000000001</v>
      </c>
    </row>
    <row r="62" spans="1:210" ht="19.2" customHeight="1" x14ac:dyDescent="0.3">
      <c r="A62" s="50">
        <v>54</v>
      </c>
      <c r="B62" s="51" t="s">
        <v>566</v>
      </c>
      <c r="C62" s="150" t="s">
        <v>518</v>
      </c>
      <c r="D62" s="52">
        <v>9</v>
      </c>
      <c r="E62" s="52">
        <v>2</v>
      </c>
      <c r="F62" s="63">
        <v>72</v>
      </c>
      <c r="G62" s="54" t="s">
        <v>203</v>
      </c>
      <c r="H62" s="181" t="s">
        <v>193</v>
      </c>
      <c r="I62" s="55">
        <f t="shared" si="27"/>
        <v>447.70000000000027</v>
      </c>
      <c r="J62" s="55">
        <f t="shared" si="0"/>
        <v>3542.2</v>
      </c>
      <c r="K62" s="55">
        <f t="shared" si="1"/>
        <v>0</v>
      </c>
      <c r="L62" s="56">
        <v>3989.9</v>
      </c>
      <c r="M62" s="56">
        <v>3989.9</v>
      </c>
      <c r="N62" s="56">
        <f t="shared" si="28"/>
        <v>447.70000000000027</v>
      </c>
      <c r="O62" s="56">
        <v>0</v>
      </c>
      <c r="P62" s="56">
        <v>0</v>
      </c>
      <c r="Q62" s="55"/>
      <c r="R62" s="55">
        <v>3989.9</v>
      </c>
      <c r="S62" s="55"/>
      <c r="T62" s="55">
        <v>3542.2</v>
      </c>
      <c r="U62" s="152">
        <v>447.70000000000027</v>
      </c>
      <c r="V62" s="57">
        <v>0.1188</v>
      </c>
      <c r="W62" s="57">
        <v>5.8200000000000002E-2</v>
      </c>
      <c r="X62" s="153">
        <v>0.29349999999999998</v>
      </c>
      <c r="Y62" s="153">
        <v>6.4100000000000004E-2</v>
      </c>
      <c r="Z62" s="57">
        <v>5.21E-2</v>
      </c>
      <c r="AA62" s="57">
        <v>0.27639999999999998</v>
      </c>
      <c r="AB62" s="57">
        <v>0</v>
      </c>
      <c r="AC62" s="153">
        <v>0.63149999999999995</v>
      </c>
      <c r="AD62" s="57">
        <v>0.14269999999999999</v>
      </c>
      <c r="AE62" s="57">
        <v>0</v>
      </c>
      <c r="AF62" s="57">
        <v>2.1572</v>
      </c>
      <c r="AG62" s="57">
        <v>0.15909999999999999</v>
      </c>
      <c r="AH62" s="57">
        <v>0.2102</v>
      </c>
      <c r="AI62" s="57">
        <v>0.104</v>
      </c>
      <c r="AJ62" s="57">
        <v>0.1042</v>
      </c>
      <c r="AK62" s="57">
        <v>0.1013</v>
      </c>
      <c r="AL62" s="57">
        <v>8.43E-2</v>
      </c>
      <c r="AM62" s="57">
        <v>2.7699999999999999E-2</v>
      </c>
      <c r="AN62" s="57">
        <v>0</v>
      </c>
      <c r="AO62" s="57">
        <v>2.4611999999999998</v>
      </c>
      <c r="AP62" s="153">
        <v>1.5952</v>
      </c>
      <c r="AQ62" s="153">
        <v>8.2299999999999998E-2</v>
      </c>
      <c r="AR62" s="57">
        <v>0.54400000000000004</v>
      </c>
      <c r="AS62" s="57">
        <v>3.8800000000000001E-2</v>
      </c>
      <c r="AT62" s="153">
        <v>6.3E-3</v>
      </c>
      <c r="AU62" s="153">
        <v>0.23089999999999999</v>
      </c>
      <c r="AV62" s="153">
        <v>0</v>
      </c>
      <c r="AW62" s="154">
        <v>9.5440000000000005</v>
      </c>
      <c r="AX62" s="58">
        <v>0.47720000000000001</v>
      </c>
      <c r="AY62" s="155">
        <f t="shared" si="2"/>
        <v>0.47310000000000002</v>
      </c>
      <c r="AZ62" s="155">
        <f t="shared" si="3"/>
        <v>4.0999999999999925E-3</v>
      </c>
      <c r="BA62" s="14">
        <v>10.0212</v>
      </c>
      <c r="BB62" s="59">
        <f>BA62-'[1]Тариф 26 свод без  ПДВ'!AU62</f>
        <v>-2.4999999999995026E-3</v>
      </c>
      <c r="BC62" s="57">
        <v>1.9350000000000001</v>
      </c>
      <c r="BD62" s="57">
        <v>0</v>
      </c>
      <c r="BE62" s="57">
        <v>0.46760000000000002</v>
      </c>
      <c r="BF62" s="156">
        <v>11.9466</v>
      </c>
      <c r="BG62" s="59">
        <v>0.59730000000000005</v>
      </c>
      <c r="BH62" s="59"/>
      <c r="BI62" s="59"/>
      <c r="BJ62" s="14">
        <v>12.543900000000001</v>
      </c>
      <c r="BK62" s="60"/>
      <c r="BL62" s="60">
        <v>4.7126999999999999</v>
      </c>
      <c r="BM62" s="60">
        <v>0.2356</v>
      </c>
      <c r="BN62" s="14">
        <v>4.9482999999999997</v>
      </c>
      <c r="BO62" s="14"/>
      <c r="BP62" s="157"/>
      <c r="BQ62" s="158">
        <f>BJ62-'[1]Тариф 26 свод без  ПДВ'!BG62</f>
        <v>-2.2999999999999687E-3</v>
      </c>
      <c r="BR62" s="77">
        <f>'[1]Тариф 26 свод без  ПДВ'!BG62</f>
        <v>12.546200000000001</v>
      </c>
      <c r="BS62" s="159">
        <f t="shared" si="4"/>
        <v>-2.2999999999999687E-3</v>
      </c>
      <c r="BU62" s="77">
        <f>'[1]Тариф 26 свод без  ПДВ'!AU62</f>
        <v>10.0237</v>
      </c>
      <c r="BV62" s="159">
        <f t="shared" si="5"/>
        <v>-2.4999999999995026E-3</v>
      </c>
      <c r="BX62" s="95">
        <v>4.5898000000000003</v>
      </c>
      <c r="BY62" s="95">
        <v>4.5898000000000003</v>
      </c>
      <c r="BZ62" s="95"/>
      <c r="CA62" s="62">
        <f t="shared" si="6"/>
        <v>2.1833631095036821</v>
      </c>
      <c r="CB62" s="62">
        <f t="shared" si="7"/>
        <v>2.7329949017386377</v>
      </c>
      <c r="CI62" s="160">
        <f>'[1]0 СВОД'!AYY77</f>
        <v>48919.104663786922</v>
      </c>
      <c r="CJ62" s="77">
        <f t="shared" si="12"/>
        <v>587029.2559654431</v>
      </c>
      <c r="CM62" s="161">
        <v>57</v>
      </c>
      <c r="CN62" s="183" t="s">
        <v>567</v>
      </c>
      <c r="CO62" s="163">
        <v>9</v>
      </c>
      <c r="CP62" s="163">
        <v>2</v>
      </c>
      <c r="CQ62" s="164" t="s">
        <v>203</v>
      </c>
      <c r="CR62" s="165" t="s">
        <v>193</v>
      </c>
      <c r="CS62" s="166">
        <v>444.09000000000015</v>
      </c>
      <c r="CT62" s="166">
        <v>3543.0099999999998</v>
      </c>
      <c r="CU62" s="167">
        <v>0</v>
      </c>
      <c r="CV62" s="168">
        <v>3987.1</v>
      </c>
      <c r="CW62" s="166">
        <v>3987.1</v>
      </c>
      <c r="CX62" s="167">
        <v>0</v>
      </c>
      <c r="CY62" s="166">
        <v>0</v>
      </c>
      <c r="CZ62" s="166"/>
      <c r="DA62" s="166">
        <v>3987.1</v>
      </c>
      <c r="DB62" s="166"/>
      <c r="DC62" s="166">
        <v>3543.0099999999998</v>
      </c>
      <c r="DD62" s="59">
        <v>0.11650000000000001</v>
      </c>
      <c r="DE62" s="59">
        <v>9.4600000000000004E-2</v>
      </c>
      <c r="DF62" s="59">
        <v>0.19309999999999999</v>
      </c>
      <c r="DG62" s="59">
        <v>3.78E-2</v>
      </c>
      <c r="DH62" s="59">
        <v>1.9599999999999999E-2</v>
      </c>
      <c r="DI62" s="59">
        <v>0.1168</v>
      </c>
      <c r="DJ62" s="59">
        <v>4.8099999999999997E-2</v>
      </c>
      <c r="DK62" s="59">
        <v>0.3458</v>
      </c>
      <c r="DL62" s="169">
        <v>0</v>
      </c>
      <c r="DM62" s="59">
        <v>8.6900000000000005E-2</v>
      </c>
      <c r="DN62" s="169">
        <v>0</v>
      </c>
      <c r="DO62" s="184">
        <v>1.5146500000000001</v>
      </c>
      <c r="DP62" s="171">
        <f t="shared" si="13"/>
        <v>2.1572</v>
      </c>
      <c r="DQ62" s="59">
        <v>7.6700000000000004E-2</v>
      </c>
      <c r="DR62" s="59">
        <v>0.12620000000000001</v>
      </c>
      <c r="DS62" s="59">
        <v>2.7E-2</v>
      </c>
      <c r="DT62" s="59">
        <v>4.9599999999999998E-2</v>
      </c>
      <c r="DU62" s="59">
        <v>4.2799999999999998E-2</v>
      </c>
      <c r="DV62" s="59">
        <v>2.92E-2</v>
      </c>
      <c r="DW62" s="59">
        <v>6.4000000000000003E-3</v>
      </c>
      <c r="DX62" s="169">
        <v>0</v>
      </c>
      <c r="DY62" s="59">
        <v>1.4179999999999999</v>
      </c>
      <c r="DZ62" s="171">
        <f t="shared" si="14"/>
        <v>1.7356840620592384</v>
      </c>
      <c r="EA62" s="59">
        <v>0.94769999999999999</v>
      </c>
      <c r="EB62" s="171">
        <f t="shared" si="15"/>
        <v>1.7700749182230664</v>
      </c>
      <c r="EC62" s="59">
        <v>0.28939999999999999</v>
      </c>
      <c r="ED62" s="171">
        <f t="shared" si="16"/>
        <v>1.8797512093987563</v>
      </c>
      <c r="EE62" s="59">
        <v>2.9700000000000001E-2</v>
      </c>
      <c r="EF62" s="59">
        <v>4.1000000000000003E-3</v>
      </c>
      <c r="EG62" s="59">
        <v>0.21920000000000001</v>
      </c>
      <c r="EH62" s="59">
        <v>0</v>
      </c>
      <c r="EI62" s="155">
        <v>0.14599999999999999</v>
      </c>
      <c r="EJ62" s="172">
        <v>5.9858500000000001</v>
      </c>
      <c r="EK62" s="173"/>
      <c r="EL62" s="59">
        <v>1.2039</v>
      </c>
      <c r="EM62" s="59">
        <v>0.30209999999999998</v>
      </c>
      <c r="EN62" s="59">
        <v>0.18360000000000001</v>
      </c>
      <c r="EO62" s="172">
        <v>7.5294500000000006</v>
      </c>
      <c r="ES62" s="57">
        <f t="shared" si="29"/>
        <v>5.9858500000000001</v>
      </c>
      <c r="ET62" s="57">
        <f t="shared" si="30"/>
        <v>7.5294500000000006</v>
      </c>
      <c r="EU62" s="31"/>
      <c r="EV62" s="65">
        <f t="shared" si="17"/>
        <v>1.6741481995038299</v>
      </c>
      <c r="EW62" s="65">
        <f>BJ62/ET62</f>
        <v>1.6659782587041549</v>
      </c>
      <c r="EX62" s="185">
        <v>7.6726000000000001</v>
      </c>
      <c r="EY62" s="174">
        <v>10.440899999999999</v>
      </c>
      <c r="EZ62" s="158">
        <f t="shared" si="19"/>
        <v>10.0212</v>
      </c>
      <c r="FA62" s="174">
        <f t="shared" si="20"/>
        <v>12.543900000000001</v>
      </c>
      <c r="FB62" s="158">
        <f>BA62-EX62</f>
        <v>2.3486000000000002</v>
      </c>
      <c r="FC62" s="158">
        <f>BJ62-EY62</f>
        <v>2.1030000000000015</v>
      </c>
      <c r="FD62" s="175">
        <f t="shared" ref="FD62:FD66" si="74">FB62/EX62</f>
        <v>0.30610223392331154</v>
      </c>
      <c r="FE62" s="175">
        <f t="shared" ref="FE62:FE66" si="75">FC62/FA62</f>
        <v>0.16765120895415311</v>
      </c>
      <c r="FF62" s="158"/>
      <c r="FG62" s="174"/>
      <c r="FH62" s="174">
        <f t="shared" si="33"/>
        <v>39983.585879999999</v>
      </c>
      <c r="FI62" s="174"/>
      <c r="FJ62" s="176">
        <v>1.3183</v>
      </c>
      <c r="FK62" s="87">
        <f t="shared" si="34"/>
        <v>1.2699296059347871</v>
      </c>
      <c r="FL62" s="87">
        <v>1.4249000000000001</v>
      </c>
      <c r="FM62" s="87">
        <f t="shared" si="35"/>
        <v>1.1691895983606955</v>
      </c>
      <c r="FO62" s="88">
        <f t="shared" si="21"/>
        <v>39983.585879999999</v>
      </c>
      <c r="FP62" s="79">
        <f t="shared" si="22"/>
        <v>44433.00258</v>
      </c>
      <c r="FS62" s="79">
        <f t="shared" si="23"/>
        <v>23882.942915</v>
      </c>
      <c r="FT62" s="79">
        <f t="shared" si="24"/>
        <v>26670.817790000001</v>
      </c>
      <c r="FU62" s="79">
        <f t="shared" si="36"/>
        <v>1.6741481995038299</v>
      </c>
      <c r="FV62" s="79">
        <f t="shared" si="36"/>
        <v>1.6659782587041549</v>
      </c>
      <c r="FY62" s="79">
        <f t="shared" si="37"/>
        <v>4486.491240000003</v>
      </c>
      <c r="FZ62" s="79">
        <f t="shared" si="38"/>
        <v>44433.00258</v>
      </c>
      <c r="GB62" s="178">
        <f t="shared" si="39"/>
        <v>447.70000000000027</v>
      </c>
      <c r="GC62" s="178">
        <f t="shared" si="40"/>
        <v>3542.2</v>
      </c>
      <c r="GG62" s="14">
        <v>7.8911000000000007</v>
      </c>
      <c r="GH62" s="175">
        <f t="shared" si="41"/>
        <v>1.2699370176527986</v>
      </c>
      <c r="GI62" s="14">
        <v>10.746600000000001</v>
      </c>
      <c r="GJ62" s="175">
        <f t="shared" si="42"/>
        <v>1.1672435933225391</v>
      </c>
      <c r="GK62" s="175">
        <f t="shared" si="62"/>
        <v>0.10269342433025952</v>
      </c>
      <c r="GN62" s="14">
        <v>10.2149</v>
      </c>
      <c r="GO62" s="175">
        <f t="shared" si="44"/>
        <v>1.2944836588054895</v>
      </c>
      <c r="GP62" s="179">
        <f t="shared" si="45"/>
        <v>0.98103750403821866</v>
      </c>
      <c r="GQ62" s="14">
        <v>12.497400000000001</v>
      </c>
      <c r="GR62" s="175">
        <f t="shared" si="46"/>
        <v>1.162916643403495</v>
      </c>
      <c r="GS62" s="175">
        <f t="shared" si="47"/>
        <v>1.0037207739209755</v>
      </c>
      <c r="GV62" s="32">
        <f t="shared" si="25"/>
        <v>4486.491240000003</v>
      </c>
      <c r="GW62" s="32">
        <f t="shared" si="26"/>
        <v>44433.00258</v>
      </c>
      <c r="GX62" s="180">
        <f t="shared" si="48"/>
        <v>48919.493820000003</v>
      </c>
      <c r="GZ62" s="32">
        <f t="shared" si="49"/>
        <v>10.0212</v>
      </c>
      <c r="HA62" s="32">
        <f t="shared" si="50"/>
        <v>12.543900000000001</v>
      </c>
      <c r="HB62" s="32">
        <f t="shared" si="51"/>
        <v>12.260832055941252</v>
      </c>
    </row>
    <row r="63" spans="1:210" ht="19.2" customHeight="1" x14ac:dyDescent="0.3">
      <c r="A63" s="50">
        <v>55</v>
      </c>
      <c r="B63" s="51" t="s">
        <v>568</v>
      </c>
      <c r="C63" s="150" t="s">
        <v>518</v>
      </c>
      <c r="D63" s="52">
        <v>9</v>
      </c>
      <c r="E63" s="52">
        <v>2</v>
      </c>
      <c r="F63" s="63">
        <v>72</v>
      </c>
      <c r="G63" s="54" t="s">
        <v>204</v>
      </c>
      <c r="H63" s="181" t="s">
        <v>193</v>
      </c>
      <c r="I63" s="55">
        <f t="shared" si="27"/>
        <v>496.99999999999955</v>
      </c>
      <c r="J63" s="55">
        <f t="shared" si="0"/>
        <v>3981.4</v>
      </c>
      <c r="K63" s="55">
        <f t="shared" si="1"/>
        <v>0</v>
      </c>
      <c r="L63" s="56">
        <v>4478.3999999999996</v>
      </c>
      <c r="M63" s="56">
        <v>4478.3999999999996</v>
      </c>
      <c r="N63" s="56">
        <f t="shared" si="28"/>
        <v>496.99999999999955</v>
      </c>
      <c r="O63" s="56">
        <v>0</v>
      </c>
      <c r="P63" s="56">
        <v>0</v>
      </c>
      <c r="Q63" s="55"/>
      <c r="R63" s="55">
        <v>4478.3999999999996</v>
      </c>
      <c r="S63" s="55"/>
      <c r="T63" s="55">
        <v>3981.4</v>
      </c>
      <c r="U63" s="152">
        <v>496.99999999999955</v>
      </c>
      <c r="V63" s="57">
        <v>0.1663</v>
      </c>
      <c r="W63" s="57">
        <v>6.08E-2</v>
      </c>
      <c r="X63" s="153">
        <v>0.29430000000000001</v>
      </c>
      <c r="Y63" s="153">
        <v>7.3899999999999993E-2</v>
      </c>
      <c r="Z63" s="57">
        <v>5.5800000000000002E-2</v>
      </c>
      <c r="AA63" s="57">
        <v>0.29010000000000002</v>
      </c>
      <c r="AB63" s="57">
        <v>0</v>
      </c>
      <c r="AC63" s="153">
        <v>0.63149999999999995</v>
      </c>
      <c r="AD63" s="57">
        <v>0.12709999999999999</v>
      </c>
      <c r="AE63" s="57">
        <v>0</v>
      </c>
      <c r="AF63" s="57">
        <v>2.7890999999999999</v>
      </c>
      <c r="AG63" s="57">
        <v>0.22850000000000001</v>
      </c>
      <c r="AH63" s="57">
        <v>0.219</v>
      </c>
      <c r="AI63" s="57">
        <v>0.10249999999999999</v>
      </c>
      <c r="AJ63" s="57">
        <v>0.1782</v>
      </c>
      <c r="AK63" s="57">
        <v>0.1085</v>
      </c>
      <c r="AL63" s="57">
        <v>0.13109999999999999</v>
      </c>
      <c r="AM63" s="57">
        <v>2.81E-2</v>
      </c>
      <c r="AN63" s="57">
        <v>0</v>
      </c>
      <c r="AO63" s="57">
        <v>1.2503</v>
      </c>
      <c r="AP63" s="153">
        <v>1.6389</v>
      </c>
      <c r="AQ63" s="153">
        <v>8.2100000000000006E-2</v>
      </c>
      <c r="AR63" s="57">
        <v>0.54100000000000004</v>
      </c>
      <c r="AS63" s="57">
        <v>3.8600000000000002E-2</v>
      </c>
      <c r="AT63" s="153">
        <v>6.3E-3</v>
      </c>
      <c r="AU63" s="153">
        <v>0.27739999999999998</v>
      </c>
      <c r="AV63" s="153">
        <v>0</v>
      </c>
      <c r="AW63" s="154">
        <v>9.3194000000000017</v>
      </c>
      <c r="AX63" s="58">
        <v>0.46600000000000003</v>
      </c>
      <c r="AY63" s="155">
        <f t="shared" si="2"/>
        <v>0.46189999999999998</v>
      </c>
      <c r="AZ63" s="155">
        <f t="shared" si="3"/>
        <v>4.1000000000000481E-3</v>
      </c>
      <c r="BA63" s="14">
        <v>9.785400000000001</v>
      </c>
      <c r="BB63" s="59">
        <f>BA63-'[1]Тариф 26 свод без  ПДВ'!AU63</f>
        <v>-1.9999999999988916E-3</v>
      </c>
      <c r="BC63" s="57">
        <v>1.7215</v>
      </c>
      <c r="BD63" s="57">
        <v>0</v>
      </c>
      <c r="BE63" s="57">
        <v>0.44979999999999998</v>
      </c>
      <c r="BF63" s="156">
        <v>11.490700000000002</v>
      </c>
      <c r="BG63" s="59">
        <v>0.57450000000000001</v>
      </c>
      <c r="BH63" s="59"/>
      <c r="BI63" s="59"/>
      <c r="BJ63" s="14">
        <v>12.065200000000003</v>
      </c>
      <c r="BK63" s="60"/>
      <c r="BL63" s="60">
        <v>5.6118000000000015</v>
      </c>
      <c r="BM63" s="60">
        <v>0.28060000000000002</v>
      </c>
      <c r="BN63" s="14">
        <v>5.8924000000000012</v>
      </c>
      <c r="BO63" s="14"/>
      <c r="BP63" s="157"/>
      <c r="BQ63" s="158">
        <f>BJ63-'[1]Тариф 26 свод без  ПДВ'!BG63</f>
        <v>-1.4999999999982805E-3</v>
      </c>
      <c r="BR63" s="77">
        <f>'[1]Тариф 26 свод без  ПДВ'!BG63</f>
        <v>12.066700000000001</v>
      </c>
      <c r="BS63" s="159">
        <f t="shared" si="4"/>
        <v>-1.4999999999982805E-3</v>
      </c>
      <c r="BU63" s="77">
        <f>'[1]Тариф 26 свод без  ПДВ'!AU63</f>
        <v>9.7873999999999999</v>
      </c>
      <c r="BV63" s="159">
        <f t="shared" si="5"/>
        <v>-1.9999999999988916E-3</v>
      </c>
      <c r="BX63" s="95">
        <v>4.6166000000000009</v>
      </c>
      <c r="BY63" s="95">
        <v>4.6166000000000009</v>
      </c>
      <c r="BZ63" s="95"/>
      <c r="CA63" s="182">
        <f t="shared" si="6"/>
        <v>2.1196118355499718</v>
      </c>
      <c r="CB63" s="182">
        <f t="shared" si="7"/>
        <v>2.6134384612052162</v>
      </c>
      <c r="CI63" s="160">
        <f>'[1]0 СВОД'!AYY78</f>
        <v>52899.938974727971</v>
      </c>
      <c r="CJ63" s="77">
        <f t="shared" si="12"/>
        <v>634799.26769673568</v>
      </c>
      <c r="CM63" s="161">
        <v>58</v>
      </c>
      <c r="CN63" s="183" t="s">
        <v>569</v>
      </c>
      <c r="CO63" s="163">
        <v>9</v>
      </c>
      <c r="CP63" s="163">
        <v>2</v>
      </c>
      <c r="CQ63" s="164" t="s">
        <v>204</v>
      </c>
      <c r="CR63" s="165" t="s">
        <v>193</v>
      </c>
      <c r="CS63" s="166">
        <v>497.51000000000022</v>
      </c>
      <c r="CT63" s="166">
        <v>3969.59</v>
      </c>
      <c r="CU63" s="167">
        <v>0</v>
      </c>
      <c r="CV63" s="168">
        <v>4467.1000000000004</v>
      </c>
      <c r="CW63" s="166">
        <v>4467.1000000000004</v>
      </c>
      <c r="CX63" s="167">
        <v>0</v>
      </c>
      <c r="CY63" s="166">
        <v>0</v>
      </c>
      <c r="CZ63" s="166"/>
      <c r="DA63" s="166">
        <v>4467.1000000000004</v>
      </c>
      <c r="DB63" s="166"/>
      <c r="DC63" s="166">
        <v>3969.59</v>
      </c>
      <c r="DD63" s="59">
        <v>0.15989999999999999</v>
      </c>
      <c r="DE63" s="59">
        <v>9.9000000000000005E-2</v>
      </c>
      <c r="DF63" s="59">
        <v>0.19400000000000001</v>
      </c>
      <c r="DG63" s="59">
        <v>4.3700000000000003E-2</v>
      </c>
      <c r="DH63" s="59">
        <v>2.1000000000000001E-2</v>
      </c>
      <c r="DI63" s="59">
        <v>0.1258</v>
      </c>
      <c r="DJ63" s="59">
        <v>4.8099999999999997E-2</v>
      </c>
      <c r="DK63" s="59">
        <v>0.3458</v>
      </c>
      <c r="DL63" s="169">
        <v>0</v>
      </c>
      <c r="DM63" s="59">
        <v>7.7600000000000002E-2</v>
      </c>
      <c r="DN63" s="169">
        <v>0</v>
      </c>
      <c r="DO63" s="184">
        <v>1.9611999999999998</v>
      </c>
      <c r="DP63" s="171">
        <f t="shared" si="13"/>
        <v>2.7890999999999999</v>
      </c>
      <c r="DQ63" s="59">
        <v>0.11020000000000001</v>
      </c>
      <c r="DR63" s="59">
        <v>0.13170000000000001</v>
      </c>
      <c r="DS63" s="59">
        <v>2.6599999999999999E-2</v>
      </c>
      <c r="DT63" s="59">
        <v>8.4400000000000003E-2</v>
      </c>
      <c r="DU63" s="59">
        <v>4.5900000000000003E-2</v>
      </c>
      <c r="DV63" s="59">
        <v>4.5400000000000003E-2</v>
      </c>
      <c r="DW63" s="59">
        <v>6.6E-3</v>
      </c>
      <c r="DX63" s="169">
        <v>0</v>
      </c>
      <c r="DY63" s="59">
        <v>0.65500000000000003</v>
      </c>
      <c r="DZ63" s="171">
        <f t="shared" si="14"/>
        <v>1.9088549618320609</v>
      </c>
      <c r="EA63" s="59">
        <v>0.97609999999999997</v>
      </c>
      <c r="EB63" s="171">
        <f t="shared" si="15"/>
        <v>1.763139022641123</v>
      </c>
      <c r="EC63" s="59">
        <v>0.2883</v>
      </c>
      <c r="ED63" s="171">
        <f t="shared" si="16"/>
        <v>1.8765175164758934</v>
      </c>
      <c r="EE63" s="59">
        <v>2.9600000000000001E-2</v>
      </c>
      <c r="EF63" s="59">
        <v>4.1000000000000003E-3</v>
      </c>
      <c r="EG63" s="59">
        <v>0.24129999999999999</v>
      </c>
      <c r="EH63" s="59">
        <v>0</v>
      </c>
      <c r="EI63" s="155">
        <v>0.14299999999999999</v>
      </c>
      <c r="EJ63" s="172">
        <v>5.8642999999999992</v>
      </c>
      <c r="EK63" s="173"/>
      <c r="EL63" s="59">
        <v>1.0745</v>
      </c>
      <c r="EM63" s="59">
        <v>0.26960000000000001</v>
      </c>
      <c r="EN63" s="59">
        <v>0.17660000000000001</v>
      </c>
      <c r="EO63" s="172">
        <v>7.2419999999999991</v>
      </c>
      <c r="ES63" s="57">
        <f t="shared" si="29"/>
        <v>5.8642999999999992</v>
      </c>
      <c r="ET63" s="57">
        <f t="shared" si="30"/>
        <v>7.2419999999999991</v>
      </c>
      <c r="EU63" s="31"/>
      <c r="EV63" s="65">
        <f t="shared" si="17"/>
        <v>1.6686390532544382</v>
      </c>
      <c r="EW63" s="65">
        <f>BJ63/ET63</f>
        <v>1.666003866335267</v>
      </c>
      <c r="EX63" s="185">
        <v>7.4718</v>
      </c>
      <c r="EY63" s="174">
        <v>9.9323999999999995</v>
      </c>
      <c r="EZ63" s="158">
        <f t="shared" si="19"/>
        <v>9.785400000000001</v>
      </c>
      <c r="FA63" s="158">
        <f t="shared" si="20"/>
        <v>12.065200000000003</v>
      </c>
      <c r="FB63" s="158">
        <f>BA63-EX63</f>
        <v>2.313600000000001</v>
      </c>
      <c r="FC63" s="158">
        <f>BJ63-EY63</f>
        <v>2.1328000000000031</v>
      </c>
      <c r="FD63" s="175">
        <f t="shared" si="74"/>
        <v>0.3096442624267246</v>
      </c>
      <c r="FE63" s="175">
        <f t="shared" si="75"/>
        <v>0.17677286742034964</v>
      </c>
      <c r="FF63" s="158"/>
      <c r="FG63" s="174"/>
      <c r="FH63" s="174">
        <f t="shared" si="33"/>
        <v>43822.935360000003</v>
      </c>
      <c r="FI63" s="174"/>
      <c r="FJ63" s="176">
        <v>1.284</v>
      </c>
      <c r="FK63" s="87">
        <f t="shared" si="34"/>
        <v>1.2995631255875686</v>
      </c>
      <c r="FL63" s="87">
        <v>1.3926000000000001</v>
      </c>
      <c r="FM63" s="87">
        <f t="shared" si="35"/>
        <v>1.1963262001545791</v>
      </c>
      <c r="FO63" s="88">
        <f t="shared" si="21"/>
        <v>43822.935360000003</v>
      </c>
      <c r="FP63" s="79">
        <f t="shared" si="22"/>
        <v>48036.38728000001</v>
      </c>
      <c r="FS63" s="79">
        <f t="shared" si="23"/>
        <v>26262.681119999994</v>
      </c>
      <c r="FT63" s="79">
        <f t="shared" si="24"/>
        <v>28833.298799999997</v>
      </c>
      <c r="FU63" s="79">
        <f t="shared" si="36"/>
        <v>1.6686390532544384</v>
      </c>
      <c r="FV63" s="79">
        <f t="shared" si="36"/>
        <v>1.666003866335267</v>
      </c>
      <c r="FY63" s="79">
        <f t="shared" si="37"/>
        <v>4863.343799999996</v>
      </c>
      <c r="FZ63" s="79">
        <f t="shared" si="38"/>
        <v>48036.38728000001</v>
      </c>
      <c r="GB63" s="178">
        <f t="shared" si="39"/>
        <v>496.99999999999955</v>
      </c>
      <c r="GC63" s="178">
        <f t="shared" si="40"/>
        <v>3981.4</v>
      </c>
      <c r="GG63" s="14">
        <v>7.7055000000000016</v>
      </c>
      <c r="GH63" s="175">
        <f t="shared" si="41"/>
        <v>1.2699240802024527</v>
      </c>
      <c r="GI63" s="14">
        <v>10.2349</v>
      </c>
      <c r="GJ63" s="175">
        <f t="shared" si="42"/>
        <v>1.1788292997488987</v>
      </c>
      <c r="GK63" s="175">
        <f t="shared" si="62"/>
        <v>9.1094780453554014E-2</v>
      </c>
      <c r="GN63" s="14">
        <v>9.828599999999998</v>
      </c>
      <c r="GO63" s="175">
        <f t="shared" si="44"/>
        <v>1.2755304652520922</v>
      </c>
      <c r="GP63" s="179">
        <f t="shared" si="45"/>
        <v>0.99560466393993075</v>
      </c>
      <c r="GQ63" s="14">
        <v>11.826499999999999</v>
      </c>
      <c r="GR63" s="175">
        <f t="shared" si="46"/>
        <v>1.1555071373437942</v>
      </c>
      <c r="GS63" s="175">
        <f t="shared" si="47"/>
        <v>1.0201834862385324</v>
      </c>
      <c r="GV63" s="32">
        <f t="shared" si="25"/>
        <v>4863.343799999996</v>
      </c>
      <c r="GW63" s="32">
        <f t="shared" si="26"/>
        <v>48036.38728000001</v>
      </c>
      <c r="GX63" s="180">
        <f t="shared" si="48"/>
        <v>52899.731080000005</v>
      </c>
      <c r="GZ63" s="32">
        <f t="shared" si="49"/>
        <v>9.785400000000001</v>
      </c>
      <c r="HA63" s="32">
        <f t="shared" si="50"/>
        <v>12.065200000000003</v>
      </c>
      <c r="HB63" s="32">
        <f t="shared" si="51"/>
        <v>11.812194328331548</v>
      </c>
    </row>
    <row r="64" spans="1:210" ht="19.2" customHeight="1" x14ac:dyDescent="0.3">
      <c r="A64" s="50">
        <v>56</v>
      </c>
      <c r="B64" s="51" t="s">
        <v>570</v>
      </c>
      <c r="C64" s="150" t="s">
        <v>518</v>
      </c>
      <c r="D64" s="52">
        <v>9</v>
      </c>
      <c r="E64" s="52">
        <v>2</v>
      </c>
      <c r="F64" s="63">
        <v>99</v>
      </c>
      <c r="G64" s="54" t="s">
        <v>205</v>
      </c>
      <c r="H64" s="181" t="s">
        <v>193</v>
      </c>
      <c r="I64" s="55">
        <f t="shared" si="27"/>
        <v>706.80000000000018</v>
      </c>
      <c r="J64" s="55">
        <f t="shared" si="0"/>
        <v>5665.38</v>
      </c>
      <c r="K64" s="55">
        <f t="shared" si="1"/>
        <v>0</v>
      </c>
      <c r="L64" s="56">
        <v>6372.18</v>
      </c>
      <c r="M64" s="56">
        <v>6372.18</v>
      </c>
      <c r="N64" s="56">
        <f t="shared" si="28"/>
        <v>706.80000000000018</v>
      </c>
      <c r="O64" s="56">
        <v>0</v>
      </c>
      <c r="P64" s="56">
        <v>0</v>
      </c>
      <c r="Q64" s="55"/>
      <c r="R64" s="55">
        <v>6372.18</v>
      </c>
      <c r="S64" s="55"/>
      <c r="T64" s="55">
        <v>5665.38</v>
      </c>
      <c r="U64" s="152">
        <v>706.80000000000018</v>
      </c>
      <c r="V64" s="57">
        <v>0.19620000000000001</v>
      </c>
      <c r="W64" s="57">
        <v>6.9699999999999998E-2</v>
      </c>
      <c r="X64" s="153">
        <v>0.31590000000000001</v>
      </c>
      <c r="Y64" s="153">
        <v>7.2999999999999995E-2</v>
      </c>
      <c r="Z64" s="57">
        <v>5.1700000000000003E-2</v>
      </c>
      <c r="AA64" s="57">
        <v>0.21809999999999999</v>
      </c>
      <c r="AB64" s="57">
        <v>0</v>
      </c>
      <c r="AC64" s="153">
        <v>0.63149999999999995</v>
      </c>
      <c r="AD64" s="57">
        <v>0.1229</v>
      </c>
      <c r="AE64" s="57">
        <v>0</v>
      </c>
      <c r="AF64" s="57">
        <v>2.8060999999999998</v>
      </c>
      <c r="AG64" s="57">
        <v>0.27139999999999997</v>
      </c>
      <c r="AH64" s="57">
        <v>0.24959999999999999</v>
      </c>
      <c r="AI64" s="57">
        <v>0.09</v>
      </c>
      <c r="AJ64" s="57">
        <v>0.1678</v>
      </c>
      <c r="AK64" s="57">
        <v>0.10059999999999999</v>
      </c>
      <c r="AL64" s="57">
        <v>0.1046</v>
      </c>
      <c r="AM64" s="57">
        <v>2.7099999999999999E-2</v>
      </c>
      <c r="AN64" s="57">
        <v>0</v>
      </c>
      <c r="AO64" s="57">
        <v>0.74050000000000005</v>
      </c>
      <c r="AP64" s="153">
        <v>1.1852</v>
      </c>
      <c r="AQ64" s="153">
        <v>8.3099999999999993E-2</v>
      </c>
      <c r="AR64" s="57">
        <v>0.41149999999999998</v>
      </c>
      <c r="AS64" s="57">
        <v>3.85E-2</v>
      </c>
      <c r="AT64" s="153">
        <v>6.1999999999999998E-3</v>
      </c>
      <c r="AU64" s="153">
        <v>0.44669999999999999</v>
      </c>
      <c r="AV64" s="153">
        <v>0</v>
      </c>
      <c r="AW64" s="154">
        <v>8.4078999999999979</v>
      </c>
      <c r="AX64" s="58">
        <v>0.4204</v>
      </c>
      <c r="AY64" s="155">
        <f t="shared" si="2"/>
        <v>0.41620000000000001</v>
      </c>
      <c r="AZ64" s="155">
        <f t="shared" si="3"/>
        <v>4.1999999999999815E-3</v>
      </c>
      <c r="BA64" s="14">
        <v>8.8282999999999987</v>
      </c>
      <c r="BB64" s="59">
        <f>BA64-'[1]Тариф 26 свод без  ПДВ'!AU64</f>
        <v>4.9999999999883471E-4</v>
      </c>
      <c r="BC64" s="57">
        <v>1.2098</v>
      </c>
      <c r="BD64" s="57">
        <v>0</v>
      </c>
      <c r="BE64" s="57">
        <v>0.44769999999999999</v>
      </c>
      <c r="BF64" s="156">
        <v>10.065399999999997</v>
      </c>
      <c r="BG64" s="59">
        <v>0.50329999999999997</v>
      </c>
      <c r="BH64" s="59"/>
      <c r="BI64" s="59"/>
      <c r="BJ64" s="14">
        <v>10.568699999999996</v>
      </c>
      <c r="BK64" s="60"/>
      <c r="BL64" s="60">
        <v>5.6239999999999979</v>
      </c>
      <c r="BM64" s="60">
        <v>0.28120000000000001</v>
      </c>
      <c r="BN64" s="14">
        <v>5.905199999999998</v>
      </c>
      <c r="BO64" s="14"/>
      <c r="BP64" s="157"/>
      <c r="BQ64" s="158">
        <f>BJ64-'[1]Тариф 26 свод без  ПДВ'!BG64</f>
        <v>-5.0000000000416378E-4</v>
      </c>
      <c r="BR64" s="77">
        <f>'[1]Тариф 26 свод без  ПДВ'!BG64</f>
        <v>10.5692</v>
      </c>
      <c r="BS64" s="159">
        <f t="shared" si="4"/>
        <v>-5.0000000000416378E-4</v>
      </c>
      <c r="BU64" s="77">
        <f>'[1]Тариф 26 свод без  ПДВ'!AU64</f>
        <v>8.8277999999999999</v>
      </c>
      <c r="BV64" s="159">
        <f t="shared" si="5"/>
        <v>4.9999999999883471E-4</v>
      </c>
      <c r="BX64" s="95">
        <v>3.9119000000000002</v>
      </c>
      <c r="BY64" s="95">
        <v>3.9119000000000002</v>
      </c>
      <c r="BZ64" s="95"/>
      <c r="CA64" s="62">
        <f t="shared" si="6"/>
        <v>2.2567805925509341</v>
      </c>
      <c r="CB64" s="62">
        <f t="shared" si="7"/>
        <v>2.7016794907845281</v>
      </c>
      <c r="CI64" s="160">
        <f>'[1]0 СВОД'!AYY79</f>
        <v>66115.84539333111</v>
      </c>
      <c r="CJ64" s="77">
        <f t="shared" si="12"/>
        <v>793390.14471997332</v>
      </c>
      <c r="CM64" s="161">
        <v>59</v>
      </c>
      <c r="CN64" s="183" t="s">
        <v>571</v>
      </c>
      <c r="CO64" s="163">
        <v>9</v>
      </c>
      <c r="CP64" s="163">
        <v>2</v>
      </c>
      <c r="CQ64" s="164" t="s">
        <v>205</v>
      </c>
      <c r="CR64" s="165" t="s">
        <v>193</v>
      </c>
      <c r="CS64" s="166">
        <v>706.80999999999949</v>
      </c>
      <c r="CT64" s="166">
        <v>5660.1900000000005</v>
      </c>
      <c r="CU64" s="167">
        <v>0</v>
      </c>
      <c r="CV64" s="168">
        <v>6367</v>
      </c>
      <c r="CW64" s="166">
        <v>6367</v>
      </c>
      <c r="CX64" s="167">
        <v>0</v>
      </c>
      <c r="CY64" s="166">
        <v>0</v>
      </c>
      <c r="CZ64" s="166"/>
      <c r="DA64" s="166">
        <v>6367</v>
      </c>
      <c r="DB64" s="166"/>
      <c r="DC64" s="166">
        <v>5660.1900000000005</v>
      </c>
      <c r="DD64" s="59">
        <v>0.187</v>
      </c>
      <c r="DE64" s="59">
        <v>0.1134</v>
      </c>
      <c r="DF64" s="59">
        <v>0.2079</v>
      </c>
      <c r="DG64" s="59">
        <v>4.3099999999999999E-2</v>
      </c>
      <c r="DH64" s="59">
        <v>1.95E-2</v>
      </c>
      <c r="DI64" s="59">
        <v>9.4899999999999998E-2</v>
      </c>
      <c r="DJ64" s="59">
        <v>4.8099999999999997E-2</v>
      </c>
      <c r="DK64" s="59">
        <v>0.3458</v>
      </c>
      <c r="DL64" s="169">
        <v>0</v>
      </c>
      <c r="DM64" s="59">
        <v>7.4800000000000005E-2</v>
      </c>
      <c r="DN64" s="169">
        <v>0</v>
      </c>
      <c r="DO64" s="184">
        <v>1.9569000000000001</v>
      </c>
      <c r="DP64" s="171">
        <f t="shared" si="13"/>
        <v>2.8060999999999998</v>
      </c>
      <c r="DQ64" s="59">
        <v>0.1305</v>
      </c>
      <c r="DR64" s="59">
        <v>0.1497</v>
      </c>
      <c r="DS64" s="59">
        <v>2.35E-2</v>
      </c>
      <c r="DT64" s="59">
        <v>7.9399999999999998E-2</v>
      </c>
      <c r="DU64" s="59">
        <v>4.2500000000000003E-2</v>
      </c>
      <c r="DV64" s="59">
        <v>3.6200000000000003E-2</v>
      </c>
      <c r="DW64" s="59">
        <v>6.1000000000000004E-3</v>
      </c>
      <c r="DX64" s="169">
        <v>0</v>
      </c>
      <c r="DY64" s="59">
        <v>0.37630000000000002</v>
      </c>
      <c r="DZ64" s="171">
        <f t="shared" si="14"/>
        <v>1.9678448046771193</v>
      </c>
      <c r="EA64" s="59">
        <v>0.71899999999999997</v>
      </c>
      <c r="EB64" s="171">
        <f t="shared" si="15"/>
        <v>1.7639777468706537</v>
      </c>
      <c r="EC64" s="59">
        <v>0.2205</v>
      </c>
      <c r="ED64" s="171">
        <f t="shared" si="16"/>
        <v>1.8662131519274374</v>
      </c>
      <c r="EE64" s="59">
        <v>2.9499999999999998E-2</v>
      </c>
      <c r="EF64" s="59">
        <v>4.1000000000000003E-3</v>
      </c>
      <c r="EG64" s="59">
        <v>0.36009999999999998</v>
      </c>
      <c r="EH64" s="59">
        <v>0</v>
      </c>
      <c r="EI64" s="155">
        <v>0.13170000000000001</v>
      </c>
      <c r="EJ64" s="172">
        <v>5.400500000000001</v>
      </c>
      <c r="EK64" s="173"/>
      <c r="EL64" s="59">
        <v>0.75360000000000005</v>
      </c>
      <c r="EM64" s="59">
        <v>0.2238</v>
      </c>
      <c r="EN64" s="59">
        <v>0.15620000000000001</v>
      </c>
      <c r="EO64" s="172">
        <v>6.402400000000001</v>
      </c>
      <c r="ES64" s="57">
        <f t="shared" si="29"/>
        <v>5.400500000000001</v>
      </c>
      <c r="ET64" s="57">
        <f t="shared" si="30"/>
        <v>6.402400000000001</v>
      </c>
      <c r="EU64" s="31"/>
      <c r="EV64" s="61">
        <f t="shared" si="17"/>
        <v>1.634719007499305</v>
      </c>
      <c r="EW64" s="61">
        <f>BJ64/ET64</f>
        <v>1.6507403473697355</v>
      </c>
      <c r="EX64" s="185">
        <v>6.9108000000000001</v>
      </c>
      <c r="EY64" s="174">
        <v>8.7119</v>
      </c>
      <c r="EZ64" s="158">
        <f t="shared" si="19"/>
        <v>8.8282999999999987</v>
      </c>
      <c r="FA64" s="158">
        <f t="shared" si="20"/>
        <v>10.568699999999996</v>
      </c>
      <c r="FB64" s="158">
        <f>BA64-EX64</f>
        <v>1.9174999999999986</v>
      </c>
      <c r="FC64" s="158">
        <f>BJ64-EY64</f>
        <v>1.8567999999999962</v>
      </c>
      <c r="FD64" s="175">
        <f t="shared" si="74"/>
        <v>0.27746425884123382</v>
      </c>
      <c r="FE64" s="175">
        <f t="shared" si="75"/>
        <v>0.17568858989279637</v>
      </c>
      <c r="FF64" s="158"/>
      <c r="FG64" s="174"/>
      <c r="FH64" s="174">
        <f t="shared" si="33"/>
        <v>56255.516693999991</v>
      </c>
      <c r="FI64" s="174"/>
      <c r="FJ64" s="176">
        <v>1.2221</v>
      </c>
      <c r="FK64" s="176">
        <f t="shared" si="34"/>
        <v>1.3376311328854471</v>
      </c>
      <c r="FL64" s="87">
        <v>1.2785</v>
      </c>
      <c r="FM64" s="177">
        <f t="shared" si="35"/>
        <v>1.2911539674381975</v>
      </c>
      <c r="FO64" s="88">
        <f t="shared" si="21"/>
        <v>56255.516693999991</v>
      </c>
      <c r="FP64" s="79">
        <f t="shared" si="22"/>
        <v>59875.701605999981</v>
      </c>
      <c r="FS64" s="79">
        <f t="shared" si="23"/>
        <v>34412.958090000007</v>
      </c>
      <c r="FT64" s="79">
        <f t="shared" si="24"/>
        <v>36272.028912000009</v>
      </c>
      <c r="FU64" s="79">
        <f t="shared" si="36"/>
        <v>1.634719007499305</v>
      </c>
      <c r="FV64" s="79">
        <f t="shared" si="36"/>
        <v>1.6507403473697355</v>
      </c>
      <c r="FY64" s="79">
        <f t="shared" si="37"/>
        <v>6239.8424400000004</v>
      </c>
      <c r="FZ64" s="79">
        <f t="shared" si="38"/>
        <v>59875.701605999981</v>
      </c>
      <c r="GB64" s="178">
        <f t="shared" si="39"/>
        <v>706.80000000000018</v>
      </c>
      <c r="GC64" s="178">
        <f t="shared" si="40"/>
        <v>5665.38</v>
      </c>
      <c r="GG64" s="14">
        <v>6.9529000000000023</v>
      </c>
      <c r="GH64" s="175">
        <f t="shared" si="41"/>
        <v>1.2697291777531672</v>
      </c>
      <c r="GI64" s="14">
        <v>8.8489000000000022</v>
      </c>
      <c r="GJ64" s="175">
        <f t="shared" si="42"/>
        <v>1.1943518403417366</v>
      </c>
      <c r="GK64" s="175">
        <f t="shared" si="62"/>
        <v>7.5377337411430601E-2</v>
      </c>
      <c r="GN64" s="14">
        <v>8.6072999999999986</v>
      </c>
      <c r="GO64" s="175">
        <f t="shared" si="44"/>
        <v>1.2379438795322808</v>
      </c>
      <c r="GP64" s="179">
        <f t="shared" si="45"/>
        <v>1.0256758797764689</v>
      </c>
      <c r="GQ64" s="14">
        <v>10.119199999999998</v>
      </c>
      <c r="GR64" s="175">
        <f t="shared" si="46"/>
        <v>1.143554566104261</v>
      </c>
      <c r="GS64" s="175">
        <f t="shared" si="47"/>
        <v>1.0444205075500039</v>
      </c>
      <c r="GV64" s="32">
        <f t="shared" si="25"/>
        <v>6239.8424400000004</v>
      </c>
      <c r="GW64" s="32">
        <f t="shared" si="26"/>
        <v>59875.701605999981</v>
      </c>
      <c r="GX64" s="180">
        <f t="shared" si="48"/>
        <v>66115.544045999981</v>
      </c>
      <c r="GZ64" s="32">
        <f t="shared" si="49"/>
        <v>8.8282999999999987</v>
      </c>
      <c r="HA64" s="32">
        <f t="shared" si="50"/>
        <v>10.568699999999996</v>
      </c>
      <c r="HB64" s="32">
        <f t="shared" si="51"/>
        <v>10.375655434403921</v>
      </c>
    </row>
    <row r="65" spans="1:210" ht="19.2" customHeight="1" x14ac:dyDescent="0.3">
      <c r="A65" s="50">
        <v>57</v>
      </c>
      <c r="B65" s="51" t="s">
        <v>572</v>
      </c>
      <c r="C65" s="150" t="s">
        <v>518</v>
      </c>
      <c r="D65" s="52">
        <v>9</v>
      </c>
      <c r="E65" s="52">
        <v>1</v>
      </c>
      <c r="F65" s="63">
        <v>36</v>
      </c>
      <c r="G65" s="54" t="s">
        <v>206</v>
      </c>
      <c r="H65" s="181" t="s">
        <v>193</v>
      </c>
      <c r="I65" s="55">
        <f t="shared" si="27"/>
        <v>219.79999999999995</v>
      </c>
      <c r="J65" s="55">
        <f t="shared" si="0"/>
        <v>1763.4</v>
      </c>
      <c r="K65" s="55">
        <f t="shared" si="1"/>
        <v>0</v>
      </c>
      <c r="L65" s="56">
        <v>1983.2</v>
      </c>
      <c r="M65" s="56">
        <v>1983.2</v>
      </c>
      <c r="N65" s="56">
        <f t="shared" si="28"/>
        <v>219.79999999999995</v>
      </c>
      <c r="O65" s="56">
        <v>0</v>
      </c>
      <c r="P65" s="56">
        <v>0</v>
      </c>
      <c r="Q65" s="55"/>
      <c r="R65" s="55">
        <v>1983.2</v>
      </c>
      <c r="S65" s="55"/>
      <c r="T65" s="55">
        <v>1763.4</v>
      </c>
      <c r="U65" s="152">
        <v>219.79999999999995</v>
      </c>
      <c r="V65" s="57">
        <v>0.13719999999999999</v>
      </c>
      <c r="W65" s="57">
        <v>6.7699999999999996E-2</v>
      </c>
      <c r="X65" s="153">
        <v>0.29930000000000001</v>
      </c>
      <c r="Y65" s="153">
        <v>8.8300000000000003E-2</v>
      </c>
      <c r="Z65" s="57">
        <v>5.79E-2</v>
      </c>
      <c r="AA65" s="57">
        <v>0.27250000000000002</v>
      </c>
      <c r="AB65" s="57">
        <v>0</v>
      </c>
      <c r="AC65" s="153">
        <v>0.63149999999999995</v>
      </c>
      <c r="AD65" s="57">
        <v>0.14349999999999999</v>
      </c>
      <c r="AE65" s="57">
        <v>0</v>
      </c>
      <c r="AF65" s="57">
        <v>1.8082</v>
      </c>
      <c r="AG65" s="57">
        <v>0.18060000000000001</v>
      </c>
      <c r="AH65" s="57">
        <v>0.24410000000000001</v>
      </c>
      <c r="AI65" s="57">
        <v>0.1046</v>
      </c>
      <c r="AJ65" s="57">
        <v>0.22550000000000001</v>
      </c>
      <c r="AK65" s="57">
        <v>0.11269999999999999</v>
      </c>
      <c r="AL65" s="57">
        <v>7.6399999999999996E-2</v>
      </c>
      <c r="AM65" s="57">
        <v>2.7099999999999999E-2</v>
      </c>
      <c r="AN65" s="57">
        <v>0</v>
      </c>
      <c r="AO65" s="57">
        <v>2.6368</v>
      </c>
      <c r="AP65" s="153">
        <v>1.8089999999999999</v>
      </c>
      <c r="AQ65" s="153">
        <v>8.5999999999999993E-2</v>
      </c>
      <c r="AR65" s="57">
        <v>0.54690000000000005</v>
      </c>
      <c r="AS65" s="57">
        <v>3.9899999999999998E-2</v>
      </c>
      <c r="AT65" s="153">
        <v>6.4999999999999997E-3</v>
      </c>
      <c r="AU65" s="153">
        <v>0.41499999999999998</v>
      </c>
      <c r="AV65" s="153">
        <v>0</v>
      </c>
      <c r="AW65" s="154">
        <v>10.017200000000001</v>
      </c>
      <c r="AX65" s="58">
        <v>0.50090000000000001</v>
      </c>
      <c r="AY65" s="155">
        <f t="shared" si="2"/>
        <v>0.49659999999999999</v>
      </c>
      <c r="AZ65" s="155">
        <f t="shared" si="3"/>
        <v>4.300000000000026E-3</v>
      </c>
      <c r="BA65" s="14">
        <v>10.5181</v>
      </c>
      <c r="BB65" s="59">
        <f>BA65-'[1]Тариф 26 свод без  ПДВ'!AU65</f>
        <v>-3.0999999999998806E-3</v>
      </c>
      <c r="BC65" s="57">
        <v>1.4637</v>
      </c>
      <c r="BD65" s="57">
        <v>0</v>
      </c>
      <c r="BE65" s="57">
        <v>0.58699999999999997</v>
      </c>
      <c r="BF65" s="156">
        <v>12.0679</v>
      </c>
      <c r="BG65" s="59">
        <v>0.60340000000000005</v>
      </c>
      <c r="BH65" s="59"/>
      <c r="BI65" s="59"/>
      <c r="BJ65" s="14">
        <v>12.6713</v>
      </c>
      <c r="BK65" s="60"/>
      <c r="BL65" s="60">
        <v>4.6095000000000006</v>
      </c>
      <c r="BM65" s="60">
        <v>0.23050000000000001</v>
      </c>
      <c r="BN65" s="14">
        <v>4.8400000000000007</v>
      </c>
      <c r="BO65" s="14"/>
      <c r="BP65" s="157"/>
      <c r="BQ65" s="158">
        <f>BJ65-'[1]Тариф 26 свод без  ПДВ'!BG65</f>
        <v>3.3000000000011909E-3</v>
      </c>
      <c r="BR65" s="77">
        <f>'[1]Тариф 26 свод без  ПДВ'!BG65</f>
        <v>12.667999999999999</v>
      </c>
      <c r="BS65" s="159">
        <f t="shared" si="4"/>
        <v>3.3000000000011909E-3</v>
      </c>
      <c r="BU65" s="77">
        <f>'[1]Тариф 26 свод без  ПДВ'!AU65</f>
        <v>10.5212</v>
      </c>
      <c r="BV65" s="159">
        <f t="shared" si="5"/>
        <v>-3.0999999999998806E-3</v>
      </c>
      <c r="BX65" s="95">
        <v>4.7812000000000001</v>
      </c>
      <c r="BY65" s="95">
        <v>6.2768999999999995</v>
      </c>
      <c r="BZ65" s="95"/>
      <c r="CA65" s="182">
        <f t="shared" si="6"/>
        <v>2.199887057642433</v>
      </c>
      <c r="CB65" s="182">
        <f t="shared" si="7"/>
        <v>2.018719431566538</v>
      </c>
      <c r="CD65" s="160">
        <f>L65-CE65</f>
        <v>219.79999999999995</v>
      </c>
      <c r="CE65" s="160">
        <f>T65</f>
        <v>1763.4</v>
      </c>
      <c r="CF65" s="77">
        <f>CD65*BA65</f>
        <v>2311.8783799999997</v>
      </c>
      <c r="CG65" s="77">
        <f>BJ65*CE65</f>
        <v>22344.570420000004</v>
      </c>
      <c r="CI65" s="160">
        <f>'[1]0 СВОД'!AYY80</f>
        <v>24656.424142675063</v>
      </c>
      <c r="CJ65" s="77">
        <f t="shared" si="12"/>
        <v>295877.08971210074</v>
      </c>
      <c r="CM65" s="161">
        <v>60</v>
      </c>
      <c r="CN65" s="183" t="s">
        <v>573</v>
      </c>
      <c r="CO65" s="163">
        <v>9</v>
      </c>
      <c r="CP65" s="163">
        <v>1</v>
      </c>
      <c r="CQ65" s="164" t="s">
        <v>206</v>
      </c>
      <c r="CR65" s="165" t="s">
        <v>193</v>
      </c>
      <c r="CS65" s="166">
        <v>219.78999999999996</v>
      </c>
      <c r="CT65" s="166">
        <v>1763.81</v>
      </c>
      <c r="CU65" s="167">
        <v>0</v>
      </c>
      <c r="CV65" s="168">
        <v>1983.6</v>
      </c>
      <c r="CW65" s="166">
        <v>1983.6</v>
      </c>
      <c r="CX65" s="167">
        <v>0</v>
      </c>
      <c r="CY65" s="166">
        <v>0</v>
      </c>
      <c r="CZ65" s="166"/>
      <c r="DA65" s="166">
        <v>1983.6</v>
      </c>
      <c r="DB65" s="166"/>
      <c r="DC65" s="166">
        <v>1763.81</v>
      </c>
      <c r="DD65" s="59">
        <v>0.1328</v>
      </c>
      <c r="DE65" s="59">
        <v>0.11</v>
      </c>
      <c r="DF65" s="59">
        <v>0.1966</v>
      </c>
      <c r="DG65" s="59">
        <v>5.1999999999999998E-2</v>
      </c>
      <c r="DH65" s="59">
        <v>2.18E-2</v>
      </c>
      <c r="DI65" s="59">
        <v>0.11509999999999999</v>
      </c>
      <c r="DJ65" s="59">
        <v>4.8099999999999997E-2</v>
      </c>
      <c r="DK65" s="59">
        <v>0.3458</v>
      </c>
      <c r="DL65" s="169">
        <v>0</v>
      </c>
      <c r="DM65" s="59">
        <v>8.7300000000000003E-2</v>
      </c>
      <c r="DN65" s="169">
        <v>0</v>
      </c>
      <c r="DO65" s="184">
        <v>1.4749999999999999</v>
      </c>
      <c r="DP65" s="171">
        <f t="shared" si="13"/>
        <v>1.8082</v>
      </c>
      <c r="DQ65" s="59">
        <v>8.6800000000000002E-2</v>
      </c>
      <c r="DR65" s="59">
        <v>0.1464</v>
      </c>
      <c r="DS65" s="59">
        <v>2.7099999999999999E-2</v>
      </c>
      <c r="DT65" s="59">
        <v>0.1066</v>
      </c>
      <c r="DU65" s="59">
        <v>4.7500000000000001E-2</v>
      </c>
      <c r="DV65" s="59">
        <v>2.6499999999999999E-2</v>
      </c>
      <c r="DW65" s="59">
        <v>6.1000000000000004E-3</v>
      </c>
      <c r="DX65" s="169">
        <v>0</v>
      </c>
      <c r="DY65" s="59">
        <v>1.3523000000000001</v>
      </c>
      <c r="DZ65" s="171">
        <f t="shared" si="14"/>
        <v>1.9498631960363824</v>
      </c>
      <c r="EA65" s="59">
        <v>1.0647</v>
      </c>
      <c r="EB65" s="171">
        <f t="shared" si="15"/>
        <v>1.7798440875363952</v>
      </c>
      <c r="EC65" s="59">
        <v>0.29139999999999999</v>
      </c>
      <c r="ED65" s="171">
        <f t="shared" si="16"/>
        <v>1.8768016472203159</v>
      </c>
      <c r="EE65" s="59">
        <v>3.0499999999999999E-2</v>
      </c>
      <c r="EF65" s="59">
        <v>4.1999999999999997E-3</v>
      </c>
      <c r="EG65" s="59">
        <v>0.25519999999999998</v>
      </c>
      <c r="EH65" s="59">
        <v>0</v>
      </c>
      <c r="EI65" s="155">
        <v>0.1507</v>
      </c>
      <c r="EJ65" s="172">
        <v>6.1804999999999994</v>
      </c>
      <c r="EK65" s="173"/>
      <c r="EL65" s="59">
        <v>1.0076000000000001</v>
      </c>
      <c r="EM65" s="59">
        <v>0.33939999999999998</v>
      </c>
      <c r="EN65" s="59">
        <v>0.18440000000000001</v>
      </c>
      <c r="EO65" s="172">
        <v>7.5612000000000004</v>
      </c>
      <c r="ES65" s="57">
        <f t="shared" si="29"/>
        <v>6.1804999999999994</v>
      </c>
      <c r="ET65" s="57">
        <f t="shared" si="30"/>
        <v>7.5612000000000004</v>
      </c>
      <c r="EU65" s="31"/>
      <c r="EV65" s="65">
        <f t="shared" si="17"/>
        <v>1.701820241080819</v>
      </c>
      <c r="EW65" s="65">
        <f>BJ65/ET65</f>
        <v>1.6758318785377981</v>
      </c>
      <c r="EX65" s="185">
        <v>7.9127999999999998</v>
      </c>
      <c r="EY65" s="174">
        <v>10.167</v>
      </c>
      <c r="EZ65" s="158">
        <f t="shared" si="19"/>
        <v>10.5181</v>
      </c>
      <c r="FA65" s="158">
        <f t="shared" si="20"/>
        <v>12.6713</v>
      </c>
      <c r="FB65" s="158">
        <f>BA65-EX65</f>
        <v>2.6053000000000006</v>
      </c>
      <c r="FC65" s="158">
        <f>BJ65-EY65</f>
        <v>2.5043000000000006</v>
      </c>
      <c r="FD65" s="175">
        <f t="shared" si="74"/>
        <v>0.32925133960165814</v>
      </c>
      <c r="FE65" s="175">
        <f t="shared" si="75"/>
        <v>0.19763560171410988</v>
      </c>
      <c r="FF65" s="158"/>
      <c r="FG65" s="174"/>
      <c r="FH65" s="174">
        <f t="shared" si="33"/>
        <v>20859.495920000001</v>
      </c>
      <c r="FI65" s="174"/>
      <c r="FJ65" s="176">
        <v>1.3281000000000001</v>
      </c>
      <c r="FK65" s="87">
        <f t="shared" si="34"/>
        <v>1.2813946548308253</v>
      </c>
      <c r="FL65" s="87">
        <v>1.3836999999999999</v>
      </c>
      <c r="FM65" s="87">
        <f t="shared" si="35"/>
        <v>1.211123710730504</v>
      </c>
      <c r="FO65" s="88">
        <f t="shared" si="21"/>
        <v>20859.495920000001</v>
      </c>
      <c r="FP65" s="79">
        <f t="shared" si="22"/>
        <v>22344.570420000004</v>
      </c>
      <c r="FS65" s="79">
        <f t="shared" si="23"/>
        <v>12257.167599999999</v>
      </c>
      <c r="FT65" s="79">
        <f t="shared" si="24"/>
        <v>13333.420080000002</v>
      </c>
      <c r="FU65" s="79">
        <f t="shared" si="36"/>
        <v>1.701820241080819</v>
      </c>
      <c r="FV65" s="79">
        <f t="shared" si="36"/>
        <v>1.6758318785377984</v>
      </c>
      <c r="FY65" s="79">
        <f t="shared" si="37"/>
        <v>2311.8783799999997</v>
      </c>
      <c r="FZ65" s="79">
        <f t="shared" si="38"/>
        <v>22344.570420000004</v>
      </c>
      <c r="GB65" s="178">
        <f t="shared" si="39"/>
        <v>219.79999999999995</v>
      </c>
      <c r="GC65" s="178">
        <f t="shared" si="40"/>
        <v>1763.4</v>
      </c>
      <c r="GG65" s="14">
        <v>8.2825000000000006</v>
      </c>
      <c r="GH65" s="175">
        <f t="shared" si="41"/>
        <v>1.2699185028674917</v>
      </c>
      <c r="GI65" s="14">
        <v>10.779299999999999</v>
      </c>
      <c r="GJ65" s="175">
        <f t="shared" si="42"/>
        <v>1.1755216015882295</v>
      </c>
      <c r="GK65" s="175">
        <f t="shared" si="62"/>
        <v>9.4396901279262257E-2</v>
      </c>
      <c r="GN65" s="14">
        <v>10.579999999999998</v>
      </c>
      <c r="GO65" s="175">
        <f t="shared" si="44"/>
        <v>1.2773920917597341</v>
      </c>
      <c r="GP65" s="179">
        <f t="shared" si="45"/>
        <v>0.99414933837429131</v>
      </c>
      <c r="GQ65" s="14">
        <v>12.586099999999998</v>
      </c>
      <c r="GR65" s="175">
        <f t="shared" si="46"/>
        <v>1.1676175632926071</v>
      </c>
      <c r="GS65" s="175">
        <f t="shared" si="47"/>
        <v>1.0067693725617946</v>
      </c>
      <c r="GV65" s="32">
        <f t="shared" si="25"/>
        <v>2311.8783799999997</v>
      </c>
      <c r="GW65" s="32">
        <f t="shared" si="26"/>
        <v>22344.570420000004</v>
      </c>
      <c r="GX65" s="180">
        <f t="shared" si="48"/>
        <v>24656.448800000002</v>
      </c>
      <c r="GZ65" s="32">
        <f t="shared" si="49"/>
        <v>10.5181</v>
      </c>
      <c r="HA65" s="32">
        <f t="shared" si="50"/>
        <v>12.671300000000002</v>
      </c>
      <c r="HB65" s="32">
        <f t="shared" si="51"/>
        <v>12.432658733360226</v>
      </c>
    </row>
    <row r="66" spans="1:210" ht="19.2" customHeight="1" x14ac:dyDescent="0.3">
      <c r="A66" s="50">
        <v>58</v>
      </c>
      <c r="B66" s="51" t="s">
        <v>574</v>
      </c>
      <c r="C66" s="150" t="s">
        <v>518</v>
      </c>
      <c r="D66" s="52">
        <v>9</v>
      </c>
      <c r="E66" s="52">
        <v>2</v>
      </c>
      <c r="F66" s="63">
        <v>90</v>
      </c>
      <c r="G66" s="54" t="s">
        <v>207</v>
      </c>
      <c r="H66" s="181" t="s">
        <v>193</v>
      </c>
      <c r="I66" s="55">
        <f t="shared" si="27"/>
        <v>581.30000000000018</v>
      </c>
      <c r="J66" s="55">
        <f t="shared" si="0"/>
        <v>4639.0999999999995</v>
      </c>
      <c r="K66" s="55">
        <f t="shared" si="1"/>
        <v>0</v>
      </c>
      <c r="L66" s="56">
        <v>5220.3999999999996</v>
      </c>
      <c r="M66" s="56">
        <v>5220.3999999999996</v>
      </c>
      <c r="N66" s="56">
        <f t="shared" si="28"/>
        <v>581.30000000000018</v>
      </c>
      <c r="O66" s="56">
        <v>0</v>
      </c>
      <c r="P66" s="56">
        <v>0</v>
      </c>
      <c r="Q66" s="55"/>
      <c r="R66" s="55">
        <v>5220.3999999999996</v>
      </c>
      <c r="S66" s="55"/>
      <c r="T66" s="55">
        <v>4639.0999999999995</v>
      </c>
      <c r="U66" s="152">
        <v>581.30000000000018</v>
      </c>
      <c r="V66" s="57">
        <v>0.1195</v>
      </c>
      <c r="W66" s="57">
        <v>6.8699999999999997E-2</v>
      </c>
      <c r="X66" s="153">
        <v>0.29360000000000003</v>
      </c>
      <c r="Y66" s="153">
        <v>6.2700000000000006E-2</v>
      </c>
      <c r="Z66" s="57">
        <v>5.21E-2</v>
      </c>
      <c r="AA66" s="57">
        <v>0.25319999999999998</v>
      </c>
      <c r="AB66" s="57">
        <v>0</v>
      </c>
      <c r="AC66" s="153">
        <v>0.63149999999999995</v>
      </c>
      <c r="AD66" s="57">
        <v>0.1363</v>
      </c>
      <c r="AE66" s="57">
        <v>0</v>
      </c>
      <c r="AF66" s="57">
        <v>2.4045000000000001</v>
      </c>
      <c r="AG66" s="57">
        <v>0.1651</v>
      </c>
      <c r="AH66" s="57">
        <v>0.2467</v>
      </c>
      <c r="AI66" s="57">
        <v>0.1043</v>
      </c>
      <c r="AJ66" s="57">
        <v>9.5200000000000007E-2</v>
      </c>
      <c r="AK66" s="57">
        <v>0.1012</v>
      </c>
      <c r="AL66" s="57">
        <v>0.1163</v>
      </c>
      <c r="AM66" s="57">
        <v>2.7099999999999999E-2</v>
      </c>
      <c r="AN66" s="57">
        <v>0</v>
      </c>
      <c r="AO66" s="57">
        <v>2.5888</v>
      </c>
      <c r="AP66" s="153">
        <v>1.2533000000000001</v>
      </c>
      <c r="AQ66" s="153">
        <v>8.43E-2</v>
      </c>
      <c r="AR66" s="57">
        <v>0.47410000000000002</v>
      </c>
      <c r="AS66" s="57">
        <v>3.7699999999999997E-2</v>
      </c>
      <c r="AT66" s="153">
        <v>6.1000000000000004E-3</v>
      </c>
      <c r="AU66" s="153">
        <v>0.33310000000000001</v>
      </c>
      <c r="AV66" s="153">
        <v>0</v>
      </c>
      <c r="AW66" s="154">
        <v>9.6554000000000002</v>
      </c>
      <c r="AX66" s="58">
        <v>0.48280000000000001</v>
      </c>
      <c r="AY66" s="155">
        <f t="shared" si="2"/>
        <v>0.47860000000000003</v>
      </c>
      <c r="AZ66" s="155">
        <f t="shared" si="3"/>
        <v>4.1999999999999815E-3</v>
      </c>
      <c r="BA66" s="14">
        <v>10.138199999999999</v>
      </c>
      <c r="BB66" s="59">
        <f>BA66-'[1]Тариф 26 свод без  ПДВ'!AU66</f>
        <v>2.4999999999995026E-3</v>
      </c>
      <c r="BC66" s="57">
        <v>1.1128</v>
      </c>
      <c r="BD66" s="57">
        <v>0</v>
      </c>
      <c r="BE66" s="57">
        <v>0.44629999999999997</v>
      </c>
      <c r="BF66" s="156">
        <v>11.214500000000001</v>
      </c>
      <c r="BG66" s="59">
        <v>0.56069999999999998</v>
      </c>
      <c r="BH66" s="59"/>
      <c r="BI66" s="59"/>
      <c r="BJ66" s="14">
        <v>11.775200000000002</v>
      </c>
      <c r="BK66" s="60"/>
      <c r="BL66" s="60">
        <v>5.0061</v>
      </c>
      <c r="BM66" s="60">
        <v>0.25030000000000002</v>
      </c>
      <c r="BN66" s="14">
        <v>5.2564000000000002</v>
      </c>
      <c r="BO66" s="14"/>
      <c r="BP66" s="157"/>
      <c r="BQ66" s="158">
        <f>BJ66-'[1]Тариф 26 свод без  ПДВ'!BG66</f>
        <v>-3.4999999999989484E-3</v>
      </c>
      <c r="BR66" s="77">
        <f>'[1]Тариф 26 свод без  ПДВ'!BG66</f>
        <v>11.778700000000001</v>
      </c>
      <c r="BS66" s="159">
        <f t="shared" si="4"/>
        <v>-3.4999999999989484E-3</v>
      </c>
      <c r="BU66" s="77">
        <f>'[1]Тариф 26 свод без  ПДВ'!AU66</f>
        <v>10.1357</v>
      </c>
      <c r="BV66" s="159">
        <f t="shared" si="5"/>
        <v>2.4999999999995026E-3</v>
      </c>
      <c r="BX66" s="95">
        <v>4.6838999999999995</v>
      </c>
      <c r="BY66" s="95">
        <v>6.2035999999999998</v>
      </c>
      <c r="BZ66" s="95"/>
      <c r="CA66" s="182">
        <f t="shared" si="6"/>
        <v>2.1644783193492603</v>
      </c>
      <c r="CB66" s="182">
        <f t="shared" si="7"/>
        <v>1.8981236701270234</v>
      </c>
      <c r="CD66" s="160">
        <f>L66-CE66</f>
        <v>581.30000000000018</v>
      </c>
      <c r="CE66" s="160">
        <f>T66</f>
        <v>4639.0999999999995</v>
      </c>
      <c r="CF66" s="77">
        <f>CD66*BA66</f>
        <v>5893.3356600000016</v>
      </c>
      <c r="CG66" s="77">
        <f>BJ66*CE66</f>
        <v>54626.330320000001</v>
      </c>
      <c r="CI66" s="160">
        <f>'[1]0 СВОД'!AYY81</f>
        <v>60519.976736258948</v>
      </c>
      <c r="CJ66" s="77">
        <f t="shared" si="12"/>
        <v>726239.72083510738</v>
      </c>
      <c r="CM66" s="161">
        <v>61</v>
      </c>
      <c r="CN66" s="183" t="s">
        <v>575</v>
      </c>
      <c r="CO66" s="163">
        <v>9</v>
      </c>
      <c r="CP66" s="163">
        <v>2</v>
      </c>
      <c r="CQ66" s="164" t="s">
        <v>207</v>
      </c>
      <c r="CR66" s="165" t="s">
        <v>193</v>
      </c>
      <c r="CS66" s="166">
        <v>581.30000000000018</v>
      </c>
      <c r="CT66" s="166">
        <v>4639.0999999999995</v>
      </c>
      <c r="CU66" s="167">
        <v>0</v>
      </c>
      <c r="CV66" s="168">
        <v>5220.3999999999996</v>
      </c>
      <c r="CW66" s="166">
        <v>5220.3999999999996</v>
      </c>
      <c r="CX66" s="167">
        <v>0</v>
      </c>
      <c r="CY66" s="166">
        <v>0</v>
      </c>
      <c r="CZ66" s="166"/>
      <c r="DA66" s="166">
        <v>5220.3999999999996</v>
      </c>
      <c r="DB66" s="166"/>
      <c r="DC66" s="166">
        <v>4639.0999999999995</v>
      </c>
      <c r="DD66" s="59">
        <v>0.1153</v>
      </c>
      <c r="DE66" s="59">
        <v>0.11169999999999999</v>
      </c>
      <c r="DF66" s="59">
        <v>0.193</v>
      </c>
      <c r="DG66" s="59">
        <v>3.6900000000000002E-2</v>
      </c>
      <c r="DH66" s="59">
        <v>1.9599999999999999E-2</v>
      </c>
      <c r="DI66" s="59">
        <v>0.1096</v>
      </c>
      <c r="DJ66" s="59">
        <v>4.8099999999999997E-2</v>
      </c>
      <c r="DK66" s="59">
        <v>0.3458</v>
      </c>
      <c r="DL66" s="169">
        <v>0</v>
      </c>
      <c r="DM66" s="59">
        <v>8.3000000000000004E-2</v>
      </c>
      <c r="DN66" s="169">
        <v>0</v>
      </c>
      <c r="DO66" s="184">
        <v>1.956</v>
      </c>
      <c r="DP66" s="171">
        <f t="shared" si="13"/>
        <v>2.4045000000000001</v>
      </c>
      <c r="DQ66" s="59">
        <v>7.9500000000000001E-2</v>
      </c>
      <c r="DR66" s="59">
        <v>0.1479</v>
      </c>
      <c r="DS66" s="59">
        <v>2.7E-2</v>
      </c>
      <c r="DT66" s="59">
        <v>4.53E-2</v>
      </c>
      <c r="DU66" s="59">
        <v>4.2700000000000002E-2</v>
      </c>
      <c r="DV66" s="59">
        <v>4.02E-2</v>
      </c>
      <c r="DW66" s="59">
        <v>6.1000000000000004E-3</v>
      </c>
      <c r="DX66" s="169">
        <v>0</v>
      </c>
      <c r="DY66" s="59">
        <v>1.3323</v>
      </c>
      <c r="DZ66" s="171">
        <f t="shared" si="14"/>
        <v>1.9431059070779855</v>
      </c>
      <c r="EA66" s="59">
        <v>0.75570000000000004</v>
      </c>
      <c r="EB66" s="171">
        <f t="shared" si="15"/>
        <v>1.770014556040757</v>
      </c>
      <c r="EC66" s="59">
        <v>0.253</v>
      </c>
      <c r="ED66" s="171">
        <f t="shared" si="16"/>
        <v>1.8739130434782609</v>
      </c>
      <c r="EE66" s="59">
        <v>2.8899999999999999E-2</v>
      </c>
      <c r="EF66" s="59">
        <v>4.0000000000000001E-3</v>
      </c>
      <c r="EG66" s="59">
        <v>0.27760000000000001</v>
      </c>
      <c r="EH66" s="59">
        <v>0</v>
      </c>
      <c r="EI66" s="155">
        <v>0.1515</v>
      </c>
      <c r="EJ66" s="172">
        <v>6.2107000000000001</v>
      </c>
      <c r="EK66" s="173"/>
      <c r="EL66" s="59">
        <v>0.76619999999999999</v>
      </c>
      <c r="EM66" s="59">
        <v>0.38500000000000001</v>
      </c>
      <c r="EN66" s="59">
        <v>0.18029999999999999</v>
      </c>
      <c r="EO66" s="172">
        <v>7.3906999999999998</v>
      </c>
      <c r="ES66" s="57">
        <f t="shared" si="29"/>
        <v>6.2107000000000001</v>
      </c>
      <c r="ET66" s="57">
        <f t="shared" si="30"/>
        <v>7.3906999999999998</v>
      </c>
      <c r="EU66" s="31"/>
      <c r="EV66" s="65">
        <f t="shared" si="17"/>
        <v>1.6323763826943822</v>
      </c>
      <c r="EW66" s="65">
        <f>BJ66/ET66</f>
        <v>1.5932455653726985</v>
      </c>
      <c r="EX66" s="174">
        <v>7.7567000000000004</v>
      </c>
      <c r="EY66" s="174">
        <v>9.6135000000000002</v>
      </c>
      <c r="EZ66" s="158">
        <f t="shared" si="19"/>
        <v>10.138199999999999</v>
      </c>
      <c r="FA66" s="158">
        <f t="shared" si="20"/>
        <v>11.775200000000002</v>
      </c>
      <c r="FB66" s="158">
        <f>BA66-EX66</f>
        <v>2.3814999999999991</v>
      </c>
      <c r="FC66" s="158">
        <f>BJ66-EY66</f>
        <v>2.1617000000000015</v>
      </c>
      <c r="FD66" s="175">
        <f t="shared" si="74"/>
        <v>0.30702489460724264</v>
      </c>
      <c r="FE66" s="175">
        <f t="shared" si="75"/>
        <v>0.18358074597459076</v>
      </c>
      <c r="FF66" s="158"/>
      <c r="FG66" s="174"/>
      <c r="FH66" s="174">
        <f t="shared" si="33"/>
        <v>52925.459279999995</v>
      </c>
      <c r="FI66" s="174"/>
      <c r="FJ66" s="176">
        <v>1.2542</v>
      </c>
      <c r="FK66" s="87">
        <f t="shared" si="34"/>
        <v>1.3015279721690178</v>
      </c>
      <c r="FL66" s="87">
        <v>1.3146</v>
      </c>
      <c r="FM66" s="87">
        <f t="shared" si="35"/>
        <v>1.2119622435514212</v>
      </c>
      <c r="FO66" s="88">
        <f t="shared" si="21"/>
        <v>52925.459279999995</v>
      </c>
      <c r="FP66" s="79">
        <f t="shared" si="22"/>
        <v>54626.330320000001</v>
      </c>
      <c r="FS66" s="79">
        <f t="shared" si="23"/>
        <v>32422.33828</v>
      </c>
      <c r="FT66" s="79">
        <f t="shared" si="24"/>
        <v>34286.196369999998</v>
      </c>
      <c r="FU66" s="79">
        <f t="shared" si="36"/>
        <v>1.6323763826943822</v>
      </c>
      <c r="FV66" s="79">
        <f t="shared" si="36"/>
        <v>1.5932455653726982</v>
      </c>
      <c r="FY66" s="79">
        <f t="shared" si="37"/>
        <v>5893.3356600000016</v>
      </c>
      <c r="FZ66" s="79">
        <f t="shared" si="38"/>
        <v>54626.330320000001</v>
      </c>
      <c r="GB66" s="178">
        <f t="shared" si="39"/>
        <v>581.30000000000018</v>
      </c>
      <c r="GC66" s="178">
        <f t="shared" si="40"/>
        <v>4639.0999999999995</v>
      </c>
      <c r="GG66" s="14">
        <v>7.9834000000000014</v>
      </c>
      <c r="GH66" s="175">
        <f t="shared" si="41"/>
        <v>1.2699100633815164</v>
      </c>
      <c r="GI66" s="14">
        <v>9.9874000000000009</v>
      </c>
      <c r="GJ66" s="175">
        <f t="shared" si="42"/>
        <v>1.1790055469892065</v>
      </c>
      <c r="GK66" s="175">
        <f t="shared" si="62"/>
        <v>9.0904516392309898E-2</v>
      </c>
      <c r="GN66" s="14">
        <v>10.3508</v>
      </c>
      <c r="GO66" s="175">
        <f t="shared" si="44"/>
        <v>1.2965403211664202</v>
      </c>
      <c r="GP66" s="179">
        <f t="shared" si="45"/>
        <v>0.97946052479035439</v>
      </c>
      <c r="GQ66" s="14">
        <v>11.958499999999997</v>
      </c>
      <c r="GR66" s="175">
        <f t="shared" si="46"/>
        <v>1.1973586719266271</v>
      </c>
      <c r="GS66" s="175">
        <f t="shared" si="47"/>
        <v>0.98467199063427724</v>
      </c>
      <c r="GV66" s="32">
        <f t="shared" si="25"/>
        <v>5893.3356600000016</v>
      </c>
      <c r="GW66" s="32">
        <f t="shared" si="26"/>
        <v>54626.330320000001</v>
      </c>
      <c r="GX66" s="180">
        <f t="shared" si="48"/>
        <v>60519.665980000005</v>
      </c>
      <c r="GZ66" s="32">
        <f t="shared" si="49"/>
        <v>10.138199999999999</v>
      </c>
      <c r="HA66" s="32">
        <f t="shared" si="50"/>
        <v>11.775200000000002</v>
      </c>
      <c r="HB66" s="32">
        <f t="shared" si="51"/>
        <v>11.592917397134322</v>
      </c>
    </row>
    <row r="67" spans="1:210" ht="19.2" customHeight="1" x14ac:dyDescent="0.3">
      <c r="A67" s="50">
        <v>59</v>
      </c>
      <c r="B67" s="51" t="s">
        <v>576</v>
      </c>
      <c r="C67" s="150" t="s">
        <v>518</v>
      </c>
      <c r="D67" s="52">
        <v>5</v>
      </c>
      <c r="E67" s="52">
        <v>2</v>
      </c>
      <c r="F67" s="63">
        <v>95</v>
      </c>
      <c r="G67" s="54" t="s">
        <v>64</v>
      </c>
      <c r="H67" s="181" t="s">
        <v>65</v>
      </c>
      <c r="I67" s="55">
        <f t="shared" si="27"/>
        <v>3306.3</v>
      </c>
      <c r="J67" s="55">
        <f t="shared" si="0"/>
        <v>0</v>
      </c>
      <c r="K67" s="55">
        <f t="shared" si="1"/>
        <v>0</v>
      </c>
      <c r="L67" s="56">
        <v>3306.3</v>
      </c>
      <c r="M67" s="56">
        <v>3306.3</v>
      </c>
      <c r="N67" s="56">
        <f t="shared" si="28"/>
        <v>3306.3</v>
      </c>
      <c r="O67" s="56">
        <v>0</v>
      </c>
      <c r="P67" s="56">
        <v>0</v>
      </c>
      <c r="Q67" s="55"/>
      <c r="R67" s="55">
        <v>3306.3</v>
      </c>
      <c r="S67" s="55"/>
      <c r="T67" s="55">
        <v>0</v>
      </c>
      <c r="U67" s="152">
        <v>3306.3</v>
      </c>
      <c r="V67" s="57">
        <v>0.19839999999999999</v>
      </c>
      <c r="W67" s="153">
        <v>9.6799999999999997E-2</v>
      </c>
      <c r="X67" s="57">
        <v>0.33439999999999998</v>
      </c>
      <c r="Y67" s="57">
        <v>8.1000000000000003E-2</v>
      </c>
      <c r="Z67" s="153">
        <v>0</v>
      </c>
      <c r="AA67" s="57">
        <v>0.2702</v>
      </c>
      <c r="AB67" s="153">
        <v>0</v>
      </c>
      <c r="AC67" s="57">
        <v>0.63149999999999995</v>
      </c>
      <c r="AD67" s="57">
        <v>0.22720000000000001</v>
      </c>
      <c r="AE67" s="57">
        <v>0</v>
      </c>
      <c r="AF67" s="57">
        <v>1.0190999999999999</v>
      </c>
      <c r="AG67" s="57">
        <v>0.26590000000000003</v>
      </c>
      <c r="AH67" s="57">
        <v>0.35249999999999998</v>
      </c>
      <c r="AI67" s="153">
        <v>9.0999999999999998E-2</v>
      </c>
      <c r="AJ67" s="153">
        <v>0.12970000000000001</v>
      </c>
      <c r="AK67" s="153">
        <v>0</v>
      </c>
      <c r="AL67" s="57">
        <v>0.13189999999999999</v>
      </c>
      <c r="AM67" s="153">
        <v>3.3399999999999999E-2</v>
      </c>
      <c r="AN67" s="57">
        <v>0</v>
      </c>
      <c r="AO67" s="153">
        <v>2.6474000000000002</v>
      </c>
      <c r="AP67" s="57">
        <v>1.3076000000000001</v>
      </c>
      <c r="AQ67" s="57">
        <v>4.7399999999999998E-2</v>
      </c>
      <c r="AR67" s="153">
        <v>0.46710000000000002</v>
      </c>
      <c r="AS67" s="57">
        <v>6.6900000000000001E-2</v>
      </c>
      <c r="AT67" s="57">
        <v>1.09E-2</v>
      </c>
      <c r="AU67" s="153">
        <v>0.59019999999999995</v>
      </c>
      <c r="AV67" s="153">
        <v>0</v>
      </c>
      <c r="AW67" s="154">
        <v>9.0004999999999988</v>
      </c>
      <c r="AX67" s="58">
        <v>0.45</v>
      </c>
      <c r="AY67" s="155">
        <f t="shared" si="2"/>
        <v>0.44769999999999999</v>
      </c>
      <c r="AZ67" s="155">
        <f t="shared" si="3"/>
        <v>2.3000000000000242E-3</v>
      </c>
      <c r="BA67" s="14">
        <v>9.4504999999999981</v>
      </c>
      <c r="BB67" s="59">
        <f>BA67-'[1]Тариф 26 свод без  ПДВ'!AU67</f>
        <v>-5.9000000000022368E-3</v>
      </c>
      <c r="BC67" s="57">
        <v>0</v>
      </c>
      <c r="BD67" s="57">
        <v>0</v>
      </c>
      <c r="BE67" s="57">
        <v>0</v>
      </c>
      <c r="BF67" s="156">
        <v>9.0004999999999988</v>
      </c>
      <c r="BG67" s="59">
        <v>0.45</v>
      </c>
      <c r="BH67" s="59"/>
      <c r="BI67" s="59"/>
      <c r="BJ67" s="14">
        <v>9.4504999999999981</v>
      </c>
      <c r="BK67" s="60"/>
      <c r="BL67" s="60">
        <v>3.9881999999999991</v>
      </c>
      <c r="BM67" s="60">
        <v>0.19939999999999999</v>
      </c>
      <c r="BN67" s="14">
        <v>4.1875999999999989</v>
      </c>
      <c r="BO67" s="14"/>
      <c r="BP67" s="157"/>
      <c r="BQ67" s="158">
        <f>BJ67-'[1]Тариф 26 свод без  ПДВ'!BG67</f>
        <v>-5.9000000000022368E-3</v>
      </c>
      <c r="BR67" s="77">
        <f>'[1]Тариф 26 свод без  ПДВ'!BG67</f>
        <v>9.4564000000000004</v>
      </c>
      <c r="BS67" s="159">
        <f t="shared" si="4"/>
        <v>-5.9000000000022368E-3</v>
      </c>
      <c r="BU67" s="77">
        <f>'[1]Тариф 26 свод без  ПДВ'!AU67</f>
        <v>9.4564000000000004</v>
      </c>
      <c r="BV67" s="159">
        <f t="shared" si="5"/>
        <v>-5.9000000000022368E-3</v>
      </c>
      <c r="BX67" s="95">
        <v>4.3135000000000003</v>
      </c>
      <c r="BY67" s="95">
        <v>5.4619999999999997</v>
      </c>
      <c r="BZ67" s="95"/>
      <c r="CA67" s="182">
        <f t="shared" si="6"/>
        <v>2.190912252231366</v>
      </c>
      <c r="CB67" s="182">
        <f t="shared" si="7"/>
        <v>1.7302270230684729</v>
      </c>
      <c r="CD67" s="160">
        <f>L67-CE67</f>
        <v>3306.3</v>
      </c>
      <c r="CE67" s="160">
        <f>T67</f>
        <v>0</v>
      </c>
      <c r="CF67" s="77">
        <f>CD67*BA67</f>
        <v>31246.188149999994</v>
      </c>
      <c r="CG67" s="77">
        <f>BJ67*CE67</f>
        <v>0</v>
      </c>
      <c r="CI67" s="160">
        <f>'[1]0 СВОД'!AYY82</f>
        <v>31246.28529978107</v>
      </c>
      <c r="CJ67" s="77">
        <f t="shared" si="12"/>
        <v>374955.42359737284</v>
      </c>
      <c r="CM67" s="161">
        <v>62</v>
      </c>
      <c r="CN67" s="162" t="s">
        <v>577</v>
      </c>
      <c r="CO67" s="163">
        <v>5</v>
      </c>
      <c r="CP67" s="163">
        <v>2</v>
      </c>
      <c r="CQ67" s="164" t="s">
        <v>64</v>
      </c>
      <c r="CR67" s="165" t="s">
        <v>65</v>
      </c>
      <c r="CS67" s="166">
        <v>3304.4</v>
      </c>
      <c r="CT67" s="166">
        <v>0</v>
      </c>
      <c r="CU67" s="167">
        <v>195.2</v>
      </c>
      <c r="CV67" s="168">
        <v>3499.6</v>
      </c>
      <c r="CW67" s="166">
        <v>3304.4</v>
      </c>
      <c r="CX67" s="167">
        <v>195.2</v>
      </c>
      <c r="CY67" s="166">
        <v>0</v>
      </c>
      <c r="CZ67" s="166"/>
      <c r="DA67" s="166">
        <v>3499.6</v>
      </c>
      <c r="DB67" s="166"/>
      <c r="DC67" s="166">
        <v>0</v>
      </c>
      <c r="DD67" s="59">
        <v>0.18410000000000001</v>
      </c>
      <c r="DE67" s="59">
        <v>0.1525</v>
      </c>
      <c r="DF67" s="59">
        <v>0.2077</v>
      </c>
      <c r="DG67" s="59">
        <v>4.4999999999999998E-2</v>
      </c>
      <c r="DH67" s="59">
        <v>0</v>
      </c>
      <c r="DI67" s="59">
        <v>0.1225</v>
      </c>
      <c r="DJ67" s="59">
        <v>4.8099999999999997E-2</v>
      </c>
      <c r="DK67" s="59">
        <v>0.3458</v>
      </c>
      <c r="DL67" s="169">
        <v>0</v>
      </c>
      <c r="DM67" s="59">
        <v>0.13059999999999999</v>
      </c>
      <c r="DN67" s="169">
        <v>0</v>
      </c>
      <c r="DO67" s="59">
        <v>0.56089999999999995</v>
      </c>
      <c r="DP67" s="171">
        <f t="shared" si="13"/>
        <v>1.0190999999999999</v>
      </c>
      <c r="DQ67" s="59">
        <v>0.121</v>
      </c>
      <c r="DR67" s="59">
        <v>0.19919999999999999</v>
      </c>
      <c r="DS67" s="59">
        <v>2.2200000000000001E-2</v>
      </c>
      <c r="DT67" s="59">
        <v>5.7700000000000001E-2</v>
      </c>
      <c r="DU67" s="59">
        <v>0</v>
      </c>
      <c r="DV67" s="59">
        <v>2.8899999999999999E-2</v>
      </c>
      <c r="DW67" s="59">
        <v>8.6E-3</v>
      </c>
      <c r="DX67" s="169">
        <v>0</v>
      </c>
      <c r="DY67" s="170">
        <v>1.1718999999999999</v>
      </c>
      <c r="DZ67" s="171">
        <f t="shared" si="14"/>
        <v>2.2590664732485708</v>
      </c>
      <c r="EA67" s="59">
        <v>0.79690000000000005</v>
      </c>
      <c r="EB67" s="171">
        <f t="shared" si="15"/>
        <v>1.7003388128999872</v>
      </c>
      <c r="EC67" s="59">
        <v>0.2427</v>
      </c>
      <c r="ED67" s="171">
        <f t="shared" si="16"/>
        <v>1.9245982694684798</v>
      </c>
      <c r="EE67" s="59">
        <v>4.8399999999999999E-2</v>
      </c>
      <c r="EF67" s="59">
        <v>6.7000000000000002E-3</v>
      </c>
      <c r="EG67" s="59">
        <v>0.56499999999999995</v>
      </c>
      <c r="EH67" s="59">
        <v>0</v>
      </c>
      <c r="EI67" s="208">
        <v>0.12670000000000001</v>
      </c>
      <c r="EJ67" s="172">
        <v>5.1931000000000012</v>
      </c>
      <c r="EK67" s="173"/>
      <c r="EL67" s="169">
        <v>0</v>
      </c>
      <c r="EM67" s="169">
        <v>0</v>
      </c>
      <c r="EN67" s="59"/>
      <c r="EO67" s="172"/>
      <c r="ES67" s="57">
        <f t="shared" si="29"/>
        <v>5.1931000000000012</v>
      </c>
      <c r="ET67" s="57">
        <f t="shared" si="30"/>
        <v>0</v>
      </c>
      <c r="EU67" s="31"/>
      <c r="EV67" s="211">
        <f t="shared" si="17"/>
        <v>1.8198186054572405</v>
      </c>
      <c r="EW67" s="62"/>
      <c r="EX67" s="158">
        <f>ES67*1.305-BA67</f>
        <v>-2.6735044999999973</v>
      </c>
      <c r="EY67" s="77">
        <f t="shared" ref="EY67:EY68" si="76">ES67*1.344</f>
        <v>6.9795264000000019</v>
      </c>
      <c r="EZ67" s="158">
        <f t="shared" si="19"/>
        <v>9.4504999999999981</v>
      </c>
      <c r="FA67" s="158">
        <f t="shared" si="20"/>
        <v>9.4504999999999981</v>
      </c>
      <c r="FH67" s="174">
        <f t="shared" si="33"/>
        <v>31246.188149999994</v>
      </c>
      <c r="FJ67" s="87">
        <v>1.4568562130519338</v>
      </c>
      <c r="FK67" s="176">
        <f t="shared" si="34"/>
        <v>1.249140848049064</v>
      </c>
      <c r="FM67" s="87" t="e">
        <f t="shared" si="35"/>
        <v>#DIV/0!</v>
      </c>
      <c r="FO67" s="88">
        <f t="shared" si="21"/>
        <v>31246.188149999994</v>
      </c>
      <c r="FP67" s="79">
        <f t="shared" si="22"/>
        <v>0</v>
      </c>
      <c r="FS67" s="79">
        <f t="shared" si="23"/>
        <v>17169.946530000005</v>
      </c>
      <c r="FT67" s="79">
        <f t="shared" si="24"/>
        <v>0</v>
      </c>
      <c r="FU67" s="79">
        <f t="shared" si="36"/>
        <v>1.8198186054572405</v>
      </c>
      <c r="FV67" s="79" t="e">
        <f t="shared" si="36"/>
        <v>#DIV/0!</v>
      </c>
      <c r="FY67" s="79">
        <f t="shared" si="37"/>
        <v>31246.188149999994</v>
      </c>
      <c r="FZ67" s="79">
        <f t="shared" si="38"/>
        <v>0</v>
      </c>
      <c r="GB67" s="178">
        <f t="shared" si="39"/>
        <v>3306.3</v>
      </c>
      <c r="GC67" s="178">
        <f t="shared" si="40"/>
        <v>0</v>
      </c>
      <c r="GG67" s="14">
        <v>7.4416999999999982</v>
      </c>
      <c r="GH67" s="175">
        <f t="shared" si="41"/>
        <v>1.2699383205450367</v>
      </c>
      <c r="GI67" s="14">
        <v>7.4416999999999982</v>
      </c>
      <c r="GJ67" s="175">
        <f t="shared" si="42"/>
        <v>1.2699383205450367</v>
      </c>
      <c r="GK67" s="175">
        <f t="shared" si="62"/>
        <v>0</v>
      </c>
      <c r="GN67" s="14">
        <v>9.1792999999999978</v>
      </c>
      <c r="GO67" s="175">
        <f t="shared" si="44"/>
        <v>1.2334950347366864</v>
      </c>
      <c r="GP67" s="179">
        <f t="shared" si="45"/>
        <v>1.0295447365267505</v>
      </c>
      <c r="GQ67" s="14">
        <v>9.1792999999999978</v>
      </c>
      <c r="GR67" s="175">
        <f t="shared" si="46"/>
        <v>1.2334950347366864</v>
      </c>
      <c r="GS67" s="175">
        <f t="shared" si="47"/>
        <v>1.0295447365267505</v>
      </c>
      <c r="GV67" s="32">
        <f t="shared" si="25"/>
        <v>31246.188149999994</v>
      </c>
      <c r="GW67" s="32">
        <f t="shared" si="26"/>
        <v>0</v>
      </c>
      <c r="GX67" s="180">
        <f t="shared" si="48"/>
        <v>31246.188149999994</v>
      </c>
      <c r="GZ67" s="32">
        <f t="shared" si="49"/>
        <v>9.4504999999999981</v>
      </c>
      <c r="HA67" s="32" t="e">
        <f t="shared" si="50"/>
        <v>#DIV/0!</v>
      </c>
      <c r="HB67" s="32">
        <f t="shared" si="51"/>
        <v>9.4504999999999981</v>
      </c>
    </row>
    <row r="68" spans="1:210" ht="19.2" customHeight="1" x14ac:dyDescent="0.3">
      <c r="A68" s="50">
        <v>60</v>
      </c>
      <c r="B68" s="64" t="s">
        <v>578</v>
      </c>
      <c r="C68" s="150" t="s">
        <v>518</v>
      </c>
      <c r="D68" s="52">
        <v>5</v>
      </c>
      <c r="E68" s="52">
        <v>1</v>
      </c>
      <c r="F68" s="63">
        <v>163</v>
      </c>
      <c r="G68" s="54" t="s">
        <v>66</v>
      </c>
      <c r="H68" s="181" t="s">
        <v>65</v>
      </c>
      <c r="I68" s="55">
        <f t="shared" si="27"/>
        <v>3719.83</v>
      </c>
      <c r="J68" s="55">
        <f t="shared" si="0"/>
        <v>0</v>
      </c>
      <c r="K68" s="55">
        <f t="shared" si="1"/>
        <v>500.53</v>
      </c>
      <c r="L68" s="56">
        <v>4220.3599999999997</v>
      </c>
      <c r="M68" s="56">
        <v>3719.83</v>
      </c>
      <c r="N68" s="56">
        <f t="shared" si="28"/>
        <v>3719.83</v>
      </c>
      <c r="O68" s="56">
        <v>500.53</v>
      </c>
      <c r="P68" s="56">
        <v>0</v>
      </c>
      <c r="Q68" s="55"/>
      <c r="R68" s="55">
        <v>4220.3599999999997</v>
      </c>
      <c r="S68" s="55"/>
      <c r="T68" s="55">
        <v>0</v>
      </c>
      <c r="U68" s="152">
        <v>4220.3599999999997</v>
      </c>
      <c r="V68" s="57">
        <v>0.16259999999999999</v>
      </c>
      <c r="W68" s="153">
        <v>8.2699999999999996E-2</v>
      </c>
      <c r="X68" s="57">
        <v>0.4274</v>
      </c>
      <c r="Y68" s="57">
        <v>9.1499999999999998E-2</v>
      </c>
      <c r="Z68" s="153">
        <v>2.8400000000000002E-2</v>
      </c>
      <c r="AA68" s="57">
        <v>0.25569999999999998</v>
      </c>
      <c r="AB68" s="153">
        <v>0</v>
      </c>
      <c r="AC68" s="57">
        <v>0.63149999999999995</v>
      </c>
      <c r="AD68" s="57">
        <v>4.4999999999999998E-2</v>
      </c>
      <c r="AE68" s="57">
        <v>0</v>
      </c>
      <c r="AF68" s="57">
        <v>1.3928</v>
      </c>
      <c r="AG68" s="57">
        <v>0.2326</v>
      </c>
      <c r="AH68" s="57">
        <v>0.28910000000000002</v>
      </c>
      <c r="AI68" s="153">
        <v>0.1197</v>
      </c>
      <c r="AJ68" s="153">
        <v>0.1024</v>
      </c>
      <c r="AK68" s="153">
        <v>5.5199999999999999E-2</v>
      </c>
      <c r="AL68" s="57">
        <v>0.1173</v>
      </c>
      <c r="AM68" s="153">
        <v>3.2500000000000001E-2</v>
      </c>
      <c r="AN68" s="57">
        <v>0</v>
      </c>
      <c r="AO68" s="153">
        <v>1.8311999999999999</v>
      </c>
      <c r="AP68" s="57">
        <v>1.2345999999999999</v>
      </c>
      <c r="AQ68" s="57">
        <v>7.8799999999999995E-2</v>
      </c>
      <c r="AR68" s="153">
        <v>0.43959999999999999</v>
      </c>
      <c r="AS68" s="57">
        <v>2.7E-2</v>
      </c>
      <c r="AT68" s="57">
        <v>4.4000000000000003E-3</v>
      </c>
      <c r="AU68" s="153">
        <v>0.46889999999999998</v>
      </c>
      <c r="AV68" s="153">
        <v>0</v>
      </c>
      <c r="AW68" s="154">
        <v>8.1509</v>
      </c>
      <c r="AX68" s="58">
        <v>0.40749999999999997</v>
      </c>
      <c r="AY68" s="155">
        <f t="shared" si="2"/>
        <v>0.40360000000000001</v>
      </c>
      <c r="AZ68" s="155">
        <f t="shared" si="3"/>
        <v>3.8999999999999591E-3</v>
      </c>
      <c r="BA68" s="14">
        <v>8.5584000000000007</v>
      </c>
      <c r="BB68" s="59">
        <f>BA68-'[1]Тариф 26 свод без  ПДВ'!AU68</f>
        <v>-4.9999999999883471E-4</v>
      </c>
      <c r="BC68" s="57">
        <v>0</v>
      </c>
      <c r="BD68" s="57">
        <v>0</v>
      </c>
      <c r="BE68" s="57">
        <v>0</v>
      </c>
      <c r="BF68" s="156">
        <v>8.1509</v>
      </c>
      <c r="BG68" s="59">
        <v>0.40749999999999997</v>
      </c>
      <c r="BH68" s="59"/>
      <c r="BI68" s="59"/>
      <c r="BJ68" s="19">
        <v>8.5584000000000007</v>
      </c>
      <c r="BK68" s="60"/>
      <c r="BL68" s="60">
        <v>4.1765999999999996</v>
      </c>
      <c r="BM68" s="60">
        <v>0.20880000000000001</v>
      </c>
      <c r="BN68" s="14">
        <v>4.3853999999999997</v>
      </c>
      <c r="BO68" s="19"/>
      <c r="BP68" s="212"/>
      <c r="BQ68" s="158">
        <f>BJ68-'[1]Тариф 26 свод без  ПДВ'!BG68</f>
        <v>-4.9999999999883471E-4</v>
      </c>
      <c r="BR68" s="77">
        <f>'[1]Тариф 26 свод без  ПДВ'!BG68</f>
        <v>8.5588999999999995</v>
      </c>
      <c r="BS68" s="159">
        <f t="shared" si="4"/>
        <v>-4.9999999999883471E-4</v>
      </c>
      <c r="BU68" s="77">
        <f>'[1]Тариф 26 свод без  ПДВ'!AU68</f>
        <v>8.5588999999999995</v>
      </c>
      <c r="BV68" s="159">
        <f t="shared" si="5"/>
        <v>-4.9999999999883471E-4</v>
      </c>
      <c r="BX68" s="95">
        <v>4.9366000000000003</v>
      </c>
      <c r="BY68" s="95">
        <v>6.1508000000000003</v>
      </c>
      <c r="BZ68" s="95"/>
      <c r="CA68" s="182">
        <f t="shared" si="6"/>
        <v>1.7336628448729896</v>
      </c>
      <c r="CB68" s="182">
        <f t="shared" si="7"/>
        <v>1.3914287572348314</v>
      </c>
      <c r="CD68" s="160">
        <f>L68-CE68</f>
        <v>4220.3599999999997</v>
      </c>
      <c r="CE68" s="160">
        <f>T68</f>
        <v>0</v>
      </c>
      <c r="CF68" s="77">
        <f>CD68*BA68</f>
        <v>36119.529024000003</v>
      </c>
      <c r="CG68" s="77">
        <f>BJ68*CE68</f>
        <v>0</v>
      </c>
      <c r="CI68" s="160">
        <f>'[1]0 СВОД'!AYY83</f>
        <v>34031.035872104672</v>
      </c>
      <c r="CJ68" s="77">
        <f t="shared" si="12"/>
        <v>408372.4304652561</v>
      </c>
      <c r="CM68" s="161">
        <v>63</v>
      </c>
      <c r="CN68" s="162" t="s">
        <v>579</v>
      </c>
      <c r="CO68" s="163">
        <v>5</v>
      </c>
      <c r="CP68" s="163">
        <v>1</v>
      </c>
      <c r="CQ68" s="164" t="s">
        <v>66</v>
      </c>
      <c r="CR68" s="165" t="s">
        <v>65</v>
      </c>
      <c r="CS68" s="166">
        <v>3776.93</v>
      </c>
      <c r="CT68" s="166">
        <v>0</v>
      </c>
      <c r="CU68" s="167">
        <v>556.6</v>
      </c>
      <c r="CV68" s="168">
        <v>4333.53</v>
      </c>
      <c r="CW68" s="166">
        <v>3719.7799999999997</v>
      </c>
      <c r="CX68" s="167">
        <v>556.6</v>
      </c>
      <c r="CY68" s="166">
        <v>57.149999999999977</v>
      </c>
      <c r="CZ68" s="166"/>
      <c r="DA68" s="166">
        <v>4333.53</v>
      </c>
      <c r="DB68" s="166"/>
      <c r="DC68" s="166">
        <v>0</v>
      </c>
      <c r="DD68" s="59">
        <v>0.15820000000000001</v>
      </c>
      <c r="DE68" s="59">
        <v>0.129</v>
      </c>
      <c r="DF68" s="59">
        <v>0.2737</v>
      </c>
      <c r="DG68" s="59">
        <v>5.2600000000000001E-2</v>
      </c>
      <c r="DH68" s="59">
        <v>1.04E-2</v>
      </c>
      <c r="DI68" s="59">
        <v>0.11799999999999999</v>
      </c>
      <c r="DJ68" s="59">
        <v>4.8099999999999997E-2</v>
      </c>
      <c r="DK68" s="59">
        <v>0.3458</v>
      </c>
      <c r="DL68" s="169">
        <v>0</v>
      </c>
      <c r="DM68" s="59">
        <v>2.6700000000000002E-2</v>
      </c>
      <c r="DN68" s="169">
        <v>0</v>
      </c>
      <c r="DO68" s="59">
        <v>0.52080000000000004</v>
      </c>
      <c r="DP68" s="171">
        <f t="shared" si="13"/>
        <v>1.3928</v>
      </c>
      <c r="DQ68" s="59">
        <v>0.1089</v>
      </c>
      <c r="DR68" s="59">
        <v>0.16839999999999999</v>
      </c>
      <c r="DS68" s="59">
        <v>3.0599999999999999E-2</v>
      </c>
      <c r="DT68" s="59">
        <v>4.6800000000000001E-2</v>
      </c>
      <c r="DU68" s="59">
        <v>2.2700000000000001E-2</v>
      </c>
      <c r="DV68" s="59">
        <v>4.9099999999999998E-2</v>
      </c>
      <c r="DW68" s="59">
        <v>8.3999999999999995E-3</v>
      </c>
      <c r="DX68" s="169">
        <v>0</v>
      </c>
      <c r="DY68" s="170">
        <v>0.72929999999999995</v>
      </c>
      <c r="DZ68" s="171">
        <f t="shared" si="14"/>
        <v>2.5109008638420405</v>
      </c>
      <c r="EA68" s="59">
        <v>0.72440000000000004</v>
      </c>
      <c r="EB68" s="171">
        <f t="shared" si="15"/>
        <v>1.8130866924351186</v>
      </c>
      <c r="EC68" s="59">
        <v>0.21709999999999999</v>
      </c>
      <c r="ED68" s="171">
        <f t="shared" si="16"/>
        <v>2.0248733302625519</v>
      </c>
      <c r="EE68" s="59">
        <v>2.01E-2</v>
      </c>
      <c r="EF68" s="59">
        <v>2.8E-3</v>
      </c>
      <c r="EG68" s="59">
        <v>0.21249999999999999</v>
      </c>
      <c r="EH68" s="59">
        <v>0</v>
      </c>
      <c r="EI68" s="208">
        <v>0.10059999999999999</v>
      </c>
      <c r="EJ68" s="172">
        <v>4.125</v>
      </c>
      <c r="EK68" s="173"/>
      <c r="EL68" s="169">
        <v>0</v>
      </c>
      <c r="EM68" s="169">
        <v>0</v>
      </c>
      <c r="EN68" s="59"/>
      <c r="EO68" s="172"/>
      <c r="ES68" s="57">
        <f t="shared" si="29"/>
        <v>4.125</v>
      </c>
      <c r="ET68" s="57">
        <f t="shared" si="30"/>
        <v>0</v>
      </c>
      <c r="EU68" s="31"/>
      <c r="EV68" s="213">
        <f t="shared" si="17"/>
        <v>2.0747636363636364</v>
      </c>
      <c r="EW68" s="62"/>
      <c r="EX68" s="158">
        <f>ES68*1.305-BA68</f>
        <v>-3.175275000000001</v>
      </c>
      <c r="EY68" s="159">
        <f t="shared" si="76"/>
        <v>5.5440000000000005</v>
      </c>
      <c r="EZ68" s="214">
        <f t="shared" si="19"/>
        <v>8.5584000000000007</v>
      </c>
      <c r="FA68" s="158">
        <f t="shared" si="20"/>
        <v>8.5584000000000007</v>
      </c>
      <c r="FH68" s="174">
        <f t="shared" si="33"/>
        <v>36119.529024000003</v>
      </c>
      <c r="FJ68" s="87">
        <v>1.5267636363636363</v>
      </c>
      <c r="FK68" s="176">
        <f t="shared" si="34"/>
        <v>1.3589291668651455</v>
      </c>
      <c r="FM68" s="87" t="e">
        <f t="shared" si="35"/>
        <v>#DIV/0!</v>
      </c>
      <c r="FO68" s="88">
        <f t="shared" si="21"/>
        <v>36119.529024000003</v>
      </c>
      <c r="FP68" s="79">
        <f t="shared" si="22"/>
        <v>0</v>
      </c>
      <c r="FS68" s="79">
        <f t="shared" si="23"/>
        <v>17408.984999999997</v>
      </c>
      <c r="FT68" s="79">
        <f t="shared" si="24"/>
        <v>0</v>
      </c>
      <c r="FU68" s="79">
        <f t="shared" si="36"/>
        <v>2.0747636363636368</v>
      </c>
      <c r="FV68" s="79" t="e">
        <f t="shared" si="36"/>
        <v>#DIV/0!</v>
      </c>
      <c r="FY68" s="79">
        <f t="shared" si="37"/>
        <v>36119.529024000003</v>
      </c>
      <c r="FZ68" s="79">
        <f t="shared" si="38"/>
        <v>0</v>
      </c>
      <c r="GB68" s="178">
        <f t="shared" si="39"/>
        <v>4220.3599999999997</v>
      </c>
      <c r="GC68" s="178">
        <f t="shared" si="40"/>
        <v>0</v>
      </c>
      <c r="GG68" s="14">
        <v>6.7392999999999992</v>
      </c>
      <c r="GH68" s="175">
        <f t="shared" si="41"/>
        <v>1.2699241761013758</v>
      </c>
      <c r="GI68" s="14">
        <v>6.7392999999999992</v>
      </c>
      <c r="GJ68" s="175">
        <f t="shared" si="42"/>
        <v>1.2699241761013758</v>
      </c>
      <c r="GK68" s="175">
        <f t="shared" si="62"/>
        <v>0</v>
      </c>
      <c r="GN68" s="14">
        <v>8.5348000000000006</v>
      </c>
      <c r="GO68" s="175">
        <f t="shared" si="44"/>
        <v>1.2664223287285032</v>
      </c>
      <c r="GP68" s="179">
        <f t="shared" si="45"/>
        <v>1.0027651497398884</v>
      </c>
      <c r="GQ68" s="19">
        <v>8.5348000000000006</v>
      </c>
      <c r="GR68" s="175">
        <f t="shared" si="46"/>
        <v>1.2664223287285032</v>
      </c>
      <c r="GS68" s="175">
        <f t="shared" si="47"/>
        <v>1.0027651497398884</v>
      </c>
      <c r="GV68" s="32">
        <f t="shared" si="25"/>
        <v>36119.529024000003</v>
      </c>
      <c r="GW68" s="32">
        <f t="shared" si="26"/>
        <v>0</v>
      </c>
      <c r="GX68" s="180">
        <f t="shared" si="48"/>
        <v>36119.529024000003</v>
      </c>
      <c r="GZ68" s="32">
        <f t="shared" si="49"/>
        <v>8.5584000000000007</v>
      </c>
      <c r="HA68" s="32" t="e">
        <f t="shared" si="50"/>
        <v>#DIV/0!</v>
      </c>
      <c r="HB68" s="32">
        <f t="shared" si="51"/>
        <v>8.5584000000000007</v>
      </c>
    </row>
    <row r="69" spans="1:210" ht="24" customHeight="1" x14ac:dyDescent="0.3">
      <c r="A69" s="50">
        <v>61</v>
      </c>
      <c r="B69" s="51" t="s">
        <v>580</v>
      </c>
      <c r="C69" s="150" t="s">
        <v>581</v>
      </c>
      <c r="D69" s="52">
        <v>9</v>
      </c>
      <c r="E69" s="52">
        <v>3</v>
      </c>
      <c r="F69" s="63">
        <v>108</v>
      </c>
      <c r="G69" s="54" t="s">
        <v>208</v>
      </c>
      <c r="H69" s="181" t="s">
        <v>173</v>
      </c>
      <c r="I69" s="55">
        <f t="shared" si="27"/>
        <v>653.65000000000055</v>
      </c>
      <c r="J69" s="55">
        <f t="shared" si="0"/>
        <v>5331.9</v>
      </c>
      <c r="K69" s="55">
        <f t="shared" si="1"/>
        <v>0</v>
      </c>
      <c r="L69" s="56">
        <v>5985.55</v>
      </c>
      <c r="M69" s="56">
        <v>5985.55</v>
      </c>
      <c r="N69" s="56">
        <f t="shared" si="28"/>
        <v>653.65000000000055</v>
      </c>
      <c r="O69" s="56">
        <v>0</v>
      </c>
      <c r="P69" s="56">
        <v>0</v>
      </c>
      <c r="Q69" s="55"/>
      <c r="R69" s="55">
        <v>5985.55</v>
      </c>
      <c r="S69" s="55"/>
      <c r="T69" s="55">
        <v>5331.9</v>
      </c>
      <c r="U69" s="152">
        <v>653.65000000000055</v>
      </c>
      <c r="V69" s="57">
        <v>0.1908</v>
      </c>
      <c r="W69" s="57">
        <v>9.7799999999999998E-2</v>
      </c>
      <c r="X69" s="153">
        <v>0.28920000000000001</v>
      </c>
      <c r="Y69" s="153">
        <v>7.3499999999999996E-2</v>
      </c>
      <c r="Z69" s="57">
        <v>2.1999999999999999E-2</v>
      </c>
      <c r="AA69" s="57">
        <v>0.21870000000000001</v>
      </c>
      <c r="AB69" s="57">
        <v>0</v>
      </c>
      <c r="AC69" s="153">
        <v>0.63149999999999995</v>
      </c>
      <c r="AD69" s="57">
        <v>0.14269999999999999</v>
      </c>
      <c r="AE69" s="57">
        <v>0</v>
      </c>
      <c r="AF69" s="57">
        <v>1.9191</v>
      </c>
      <c r="AG69" s="57">
        <v>0.25469999999999998</v>
      </c>
      <c r="AH69" s="57">
        <v>0.3508</v>
      </c>
      <c r="AI69" s="57">
        <v>0.1174</v>
      </c>
      <c r="AJ69" s="57">
        <v>0.12470000000000001</v>
      </c>
      <c r="AK69" s="57">
        <v>4.2799999999999998E-2</v>
      </c>
      <c r="AL69" s="57">
        <v>5.5399999999999998E-2</v>
      </c>
      <c r="AM69" s="57">
        <v>2.93E-2</v>
      </c>
      <c r="AN69" s="57">
        <v>0</v>
      </c>
      <c r="AO69" s="57">
        <v>2.0823</v>
      </c>
      <c r="AP69" s="153">
        <v>1.5099</v>
      </c>
      <c r="AQ69" s="153">
        <v>7.51E-2</v>
      </c>
      <c r="AR69" s="57">
        <v>0.30299999999999999</v>
      </c>
      <c r="AS69" s="57">
        <v>3.4299999999999997E-2</v>
      </c>
      <c r="AT69" s="153">
        <v>5.5999999999999999E-3</v>
      </c>
      <c r="AU69" s="153">
        <v>0.28449999999999998</v>
      </c>
      <c r="AV69" s="153">
        <v>0</v>
      </c>
      <c r="AW69" s="154">
        <v>8.8551000000000002</v>
      </c>
      <c r="AX69" s="58">
        <v>0.44280000000000003</v>
      </c>
      <c r="AY69" s="155">
        <f t="shared" si="2"/>
        <v>0.439</v>
      </c>
      <c r="AZ69" s="155">
        <f t="shared" si="3"/>
        <v>3.8000000000000256E-3</v>
      </c>
      <c r="BA69" s="14">
        <v>9.2979000000000003</v>
      </c>
      <c r="BB69" s="59">
        <f>BA69-'[1]Тариф 26 свод без  ПДВ'!AU69</f>
        <v>-1.4000000000002899E-3</v>
      </c>
      <c r="BC69" s="57">
        <v>1.9282999999999999</v>
      </c>
      <c r="BD69" s="57">
        <v>0</v>
      </c>
      <c r="BE69" s="57">
        <v>0.58240000000000003</v>
      </c>
      <c r="BF69" s="156">
        <v>11.3658</v>
      </c>
      <c r="BG69" s="59">
        <v>0.56830000000000003</v>
      </c>
      <c r="BH69" s="59"/>
      <c r="BI69" s="59"/>
      <c r="BJ69" s="14">
        <v>11.934100000000001</v>
      </c>
      <c r="BK69" s="60"/>
      <c r="BL69" s="60">
        <v>4.6753999999999998</v>
      </c>
      <c r="BM69" s="60">
        <v>0.23380000000000001</v>
      </c>
      <c r="BN69" s="14">
        <v>4.9092000000000002</v>
      </c>
      <c r="BO69" s="14"/>
      <c r="BP69" s="157"/>
      <c r="BQ69" s="158">
        <f>BJ69-'[1]Тариф 26 свод без  ПДВ'!BG69</f>
        <v>4.1000000000011028E-3</v>
      </c>
      <c r="BR69" s="77">
        <f>'[1]Тариф 26 свод без  ПДВ'!BG69</f>
        <v>11.93</v>
      </c>
      <c r="BS69" s="159">
        <f t="shared" si="4"/>
        <v>4.1000000000011028E-3</v>
      </c>
      <c r="BU69" s="77">
        <f>'[1]Тариф 26 свод без  ПДВ'!AU69</f>
        <v>9.2993000000000006</v>
      </c>
      <c r="BV69" s="159">
        <f t="shared" si="5"/>
        <v>-1.4000000000002899E-3</v>
      </c>
      <c r="BX69" s="95">
        <v>4.9607000000000001</v>
      </c>
      <c r="BY69" s="95">
        <v>6.0771999999999995</v>
      </c>
      <c r="BZ69" s="95"/>
      <c r="CA69" s="182">
        <f t="shared" si="6"/>
        <v>1.8743120930513839</v>
      </c>
      <c r="CB69" s="182">
        <f t="shared" si="7"/>
        <v>1.963749753175805</v>
      </c>
      <c r="CD69" s="160">
        <f>L69-CE69</f>
        <v>653.65000000000055</v>
      </c>
      <c r="CE69" s="160">
        <f>T69</f>
        <v>5331.9</v>
      </c>
      <c r="CF69" s="77">
        <f>CD69*BA69</f>
        <v>6077.5723350000053</v>
      </c>
      <c r="CG69" s="77">
        <f>BJ69*CE69</f>
        <v>63631.427790000002</v>
      </c>
      <c r="CI69" s="160">
        <f>'[1]0 СВОД'!AYY84</f>
        <v>69709.854305933142</v>
      </c>
      <c r="CJ69" s="77">
        <f t="shared" si="12"/>
        <v>836518.25167119771</v>
      </c>
      <c r="CM69" s="161">
        <v>66</v>
      </c>
      <c r="CN69" s="183" t="s">
        <v>582</v>
      </c>
      <c r="CO69" s="163">
        <v>9</v>
      </c>
      <c r="CP69" s="163">
        <v>3</v>
      </c>
      <c r="CQ69" s="164" t="s">
        <v>208</v>
      </c>
      <c r="CR69" s="165" t="s">
        <v>173</v>
      </c>
      <c r="CS69" s="166">
        <v>643.89000000000033</v>
      </c>
      <c r="CT69" s="166">
        <v>5318.94</v>
      </c>
      <c r="CU69" s="167">
        <v>0</v>
      </c>
      <c r="CV69" s="168">
        <v>5962.83</v>
      </c>
      <c r="CW69" s="166">
        <v>5962.83</v>
      </c>
      <c r="CX69" s="167">
        <v>0</v>
      </c>
      <c r="CY69" s="166">
        <v>0</v>
      </c>
      <c r="CZ69" s="166"/>
      <c r="DA69" s="166">
        <v>5962.83</v>
      </c>
      <c r="DB69" s="166"/>
      <c r="DC69" s="166">
        <v>5318.94</v>
      </c>
      <c r="DD69" s="59">
        <v>0.18590000000000001</v>
      </c>
      <c r="DE69" s="59">
        <v>0.15959999999999999</v>
      </c>
      <c r="DF69" s="59">
        <v>0.19089999999999999</v>
      </c>
      <c r="DG69" s="59">
        <v>4.3499999999999997E-2</v>
      </c>
      <c r="DH69" s="59">
        <v>8.3000000000000001E-3</v>
      </c>
      <c r="DI69" s="59">
        <v>9.4299999999999995E-2</v>
      </c>
      <c r="DJ69" s="59">
        <v>4.8099999999999997E-2</v>
      </c>
      <c r="DK69" s="59">
        <v>0.3458</v>
      </c>
      <c r="DL69" s="59">
        <v>8.1699999999999995E-2</v>
      </c>
      <c r="DM69" s="59">
        <v>8.72E-2</v>
      </c>
      <c r="DN69" s="169">
        <v>0</v>
      </c>
      <c r="DO69" s="184">
        <v>1.2710000000000001</v>
      </c>
      <c r="DP69" s="171">
        <f t="shared" si="13"/>
        <v>1.9191</v>
      </c>
      <c r="DQ69" s="59">
        <v>0.123</v>
      </c>
      <c r="DR69" s="59">
        <v>0.21110000000000001</v>
      </c>
      <c r="DS69" s="59">
        <v>3.04E-2</v>
      </c>
      <c r="DT69" s="59">
        <v>5.91E-2</v>
      </c>
      <c r="DU69" s="59">
        <v>1.8100000000000002E-2</v>
      </c>
      <c r="DV69" s="59">
        <v>1.9400000000000001E-2</v>
      </c>
      <c r="DW69" s="59">
        <v>7.1999999999999998E-3</v>
      </c>
      <c r="DX69" s="169">
        <v>0</v>
      </c>
      <c r="DY69" s="59">
        <v>1.0239</v>
      </c>
      <c r="DZ69" s="171">
        <f t="shared" si="14"/>
        <v>2.0336946967477294</v>
      </c>
      <c r="EA69" s="59">
        <v>0.89419999999999999</v>
      </c>
      <c r="EB69" s="171">
        <f t="shared" si="15"/>
        <v>1.7725341087005144</v>
      </c>
      <c r="EC69" s="59">
        <v>0.15579999999999999</v>
      </c>
      <c r="ED69" s="171">
        <f t="shared" si="16"/>
        <v>1.9448010269576381</v>
      </c>
      <c r="EE69" s="59">
        <v>2.64E-2</v>
      </c>
      <c r="EF69" s="59">
        <v>3.7000000000000002E-3</v>
      </c>
      <c r="EG69" s="59">
        <v>0.19819999999999999</v>
      </c>
      <c r="EH69" s="59">
        <v>0</v>
      </c>
      <c r="EI69" s="155">
        <v>0.13220000000000001</v>
      </c>
      <c r="EJ69" s="172">
        <v>5.4190000000000005</v>
      </c>
      <c r="EK69" s="173"/>
      <c r="EL69" s="59">
        <v>1.1365000000000001</v>
      </c>
      <c r="EM69" s="59">
        <v>0.2616</v>
      </c>
      <c r="EN69" s="59">
        <v>0.1671</v>
      </c>
      <c r="EO69" s="172">
        <v>6.8519999999999994</v>
      </c>
      <c r="ES69" s="57">
        <f t="shared" si="29"/>
        <v>5.4190000000000005</v>
      </c>
      <c r="ET69" s="57">
        <f t="shared" si="30"/>
        <v>6.8519999999999994</v>
      </c>
      <c r="EU69" s="31"/>
      <c r="EV69" s="61">
        <f t="shared" si="17"/>
        <v>1.7157962723749769</v>
      </c>
      <c r="EW69" s="61">
        <f>BJ69/ET69</f>
        <v>1.7416958552247521</v>
      </c>
      <c r="EX69" s="185">
        <v>6.9428000000000001</v>
      </c>
      <c r="EY69" s="174">
        <v>9.6906999999999996</v>
      </c>
      <c r="EZ69" s="158">
        <f t="shared" si="19"/>
        <v>9.2979000000000003</v>
      </c>
      <c r="FA69" s="158">
        <f t="shared" si="20"/>
        <v>11.934100000000001</v>
      </c>
      <c r="FB69" s="158">
        <f>BA69-EX69</f>
        <v>2.3551000000000002</v>
      </c>
      <c r="FC69" s="158">
        <f>BJ69-EY69</f>
        <v>2.2434000000000012</v>
      </c>
      <c r="FD69" s="175">
        <f>FB69/EX69</f>
        <v>0.33921472604712799</v>
      </c>
      <c r="FE69" s="175">
        <f>FC69/FA69</f>
        <v>0.18798233633034758</v>
      </c>
      <c r="FF69" s="158"/>
      <c r="FG69" s="174"/>
      <c r="FH69" s="174">
        <f t="shared" si="33"/>
        <v>55653.045345000006</v>
      </c>
      <c r="FI69" s="174"/>
      <c r="FJ69" s="176">
        <v>1.2811999999999999</v>
      </c>
      <c r="FK69" s="176">
        <f t="shared" si="34"/>
        <v>1.3392103281103473</v>
      </c>
      <c r="FL69" s="87">
        <v>1.4172</v>
      </c>
      <c r="FM69" s="177">
        <f t="shared" si="35"/>
        <v>1.2289696974490207</v>
      </c>
      <c r="FO69" s="88">
        <f t="shared" si="21"/>
        <v>55653.045345000006</v>
      </c>
      <c r="FP69" s="79">
        <f t="shared" si="22"/>
        <v>63631.427790000002</v>
      </c>
      <c r="FS69" s="79">
        <f t="shared" si="23"/>
        <v>32435.695450000003</v>
      </c>
      <c r="FT69" s="79">
        <f t="shared" si="24"/>
        <v>36534.178799999994</v>
      </c>
      <c r="FU69" s="79">
        <f t="shared" si="36"/>
        <v>1.7157962723749769</v>
      </c>
      <c r="FV69" s="79">
        <f t="shared" si="36"/>
        <v>1.7416958552247521</v>
      </c>
      <c r="FY69" s="79">
        <f t="shared" si="37"/>
        <v>6077.5723350000053</v>
      </c>
      <c r="FZ69" s="79">
        <f t="shared" si="38"/>
        <v>63631.427790000002</v>
      </c>
      <c r="GB69" s="178">
        <f t="shared" si="39"/>
        <v>653.65000000000055</v>
      </c>
      <c r="GC69" s="178">
        <f t="shared" si="40"/>
        <v>5331.9</v>
      </c>
      <c r="GG69" s="14">
        <v>7.3215000000000003</v>
      </c>
      <c r="GH69" s="175">
        <f t="shared" si="41"/>
        <v>1.2699446834665027</v>
      </c>
      <c r="GI69" s="14">
        <v>10.245199999999999</v>
      </c>
      <c r="GJ69" s="175">
        <f t="shared" si="42"/>
        <v>1.1648479287861635</v>
      </c>
      <c r="GK69" s="175">
        <f>GH69-GJ69</f>
        <v>0.10509675468033919</v>
      </c>
      <c r="GN69" s="14">
        <v>9.1894999999999989</v>
      </c>
      <c r="GO69" s="175">
        <f t="shared" si="44"/>
        <v>1.2551389742539094</v>
      </c>
      <c r="GP69" s="179">
        <f t="shared" si="45"/>
        <v>1.0117960716034606</v>
      </c>
      <c r="GQ69" s="14">
        <v>11.518899999999999</v>
      </c>
      <c r="GR69" s="175">
        <f t="shared" si="46"/>
        <v>1.1243216335454651</v>
      </c>
      <c r="GS69" s="175">
        <f t="shared" si="47"/>
        <v>1.0360451084738995</v>
      </c>
      <c r="GV69" s="32">
        <f t="shared" si="25"/>
        <v>6077.5723350000053</v>
      </c>
      <c r="GW69" s="32">
        <f t="shared" si="26"/>
        <v>63631.427790000002</v>
      </c>
      <c r="GX69" s="180">
        <f t="shared" si="48"/>
        <v>69709.000125000006</v>
      </c>
      <c r="GZ69" s="32">
        <f t="shared" si="49"/>
        <v>9.2979000000000003</v>
      </c>
      <c r="HA69" s="32">
        <f t="shared" si="50"/>
        <v>11.934100000000001</v>
      </c>
      <c r="HB69" s="32">
        <f t="shared" si="51"/>
        <v>11.64621465445949</v>
      </c>
    </row>
    <row r="70" spans="1:210" ht="24" customHeight="1" x14ac:dyDescent="0.3">
      <c r="A70" s="50">
        <v>62</v>
      </c>
      <c r="B70" s="51" t="s">
        <v>583</v>
      </c>
      <c r="C70" s="150" t="s">
        <v>581</v>
      </c>
      <c r="D70" s="52">
        <v>5</v>
      </c>
      <c r="E70" s="52">
        <v>4</v>
      </c>
      <c r="F70" s="63">
        <v>59</v>
      </c>
      <c r="G70" s="54" t="s">
        <v>67</v>
      </c>
      <c r="H70" s="181" t="s">
        <v>49</v>
      </c>
      <c r="I70" s="55">
        <f t="shared" si="27"/>
        <v>2733.62</v>
      </c>
      <c r="J70" s="55">
        <f t="shared" si="0"/>
        <v>0</v>
      </c>
      <c r="K70" s="55">
        <f t="shared" si="1"/>
        <v>0</v>
      </c>
      <c r="L70" s="56">
        <v>2733.62</v>
      </c>
      <c r="M70" s="56">
        <v>2733.62</v>
      </c>
      <c r="N70" s="56">
        <f t="shared" si="28"/>
        <v>2733.62</v>
      </c>
      <c r="O70" s="56">
        <v>0</v>
      </c>
      <c r="P70" s="56">
        <v>0</v>
      </c>
      <c r="Q70" s="55"/>
      <c r="R70" s="55">
        <v>2733.62</v>
      </c>
      <c r="S70" s="55"/>
      <c r="T70" s="55">
        <v>0</v>
      </c>
      <c r="U70" s="152">
        <v>2733.62</v>
      </c>
      <c r="V70" s="57">
        <v>0.16769999999999999</v>
      </c>
      <c r="W70" s="153">
        <v>9.3100000000000002E-2</v>
      </c>
      <c r="X70" s="57">
        <v>0.3251</v>
      </c>
      <c r="Y70" s="57">
        <v>7.4399999999999994E-2</v>
      </c>
      <c r="Z70" s="153">
        <v>2.92E-2</v>
      </c>
      <c r="AA70" s="57">
        <v>0.50319999999999998</v>
      </c>
      <c r="AB70" s="153">
        <v>0</v>
      </c>
      <c r="AC70" s="57">
        <v>0.63149999999999995</v>
      </c>
      <c r="AD70" s="57">
        <v>0.17069999999999999</v>
      </c>
      <c r="AE70" s="57">
        <v>0</v>
      </c>
      <c r="AF70" s="57">
        <v>2.3382000000000001</v>
      </c>
      <c r="AG70" s="57">
        <v>0.22220000000000001</v>
      </c>
      <c r="AH70" s="57">
        <v>0.33029999999999998</v>
      </c>
      <c r="AI70" s="153">
        <v>8.7900000000000006E-2</v>
      </c>
      <c r="AJ70" s="153">
        <v>0.1062</v>
      </c>
      <c r="AK70" s="153">
        <v>5.6899999999999999E-2</v>
      </c>
      <c r="AL70" s="57">
        <v>0.17349999999999999</v>
      </c>
      <c r="AM70" s="153">
        <v>3.3700000000000001E-2</v>
      </c>
      <c r="AN70" s="57">
        <v>0</v>
      </c>
      <c r="AO70" s="153">
        <v>2.4662999999999999</v>
      </c>
      <c r="AP70" s="57">
        <v>1.2004999999999999</v>
      </c>
      <c r="AQ70" s="57">
        <v>9.3100000000000002E-2</v>
      </c>
      <c r="AR70" s="153">
        <v>0.6401</v>
      </c>
      <c r="AS70" s="57">
        <v>5.8700000000000002E-2</v>
      </c>
      <c r="AT70" s="57">
        <v>9.4999999999999998E-3</v>
      </c>
      <c r="AU70" s="153">
        <v>0.17799999999999999</v>
      </c>
      <c r="AV70" s="153">
        <v>0</v>
      </c>
      <c r="AW70" s="154">
        <v>9.99</v>
      </c>
      <c r="AX70" s="58">
        <v>0.4995</v>
      </c>
      <c r="AY70" s="155">
        <f t="shared" si="2"/>
        <v>0.49480000000000002</v>
      </c>
      <c r="AZ70" s="155">
        <f t="shared" si="3"/>
        <v>4.699999999999982E-3</v>
      </c>
      <c r="BA70" s="14">
        <v>10.4895</v>
      </c>
      <c r="BB70" s="59">
        <f>BA70-'[1]Тариф 26 свод без  ПДВ'!AU70</f>
        <v>-4.5000000000001705E-3</v>
      </c>
      <c r="BC70" s="57">
        <v>0</v>
      </c>
      <c r="BD70" s="57">
        <v>0</v>
      </c>
      <c r="BE70" s="57">
        <v>0</v>
      </c>
      <c r="BF70" s="156">
        <v>9.99</v>
      </c>
      <c r="BG70" s="59">
        <v>0.4995</v>
      </c>
      <c r="BH70" s="59"/>
      <c r="BI70" s="59"/>
      <c r="BJ70" s="14">
        <v>10.4895</v>
      </c>
      <c r="BK70" s="60"/>
      <c r="BL70" s="60">
        <v>5.5050999999999988</v>
      </c>
      <c r="BM70" s="60">
        <v>0.27529999999999999</v>
      </c>
      <c r="BN70" s="14">
        <v>5.7803999999999984</v>
      </c>
      <c r="BO70" s="14"/>
      <c r="BP70" s="157"/>
      <c r="BQ70" s="158">
        <f>BJ70-'[1]Тариф 26 свод без  ПДВ'!BG70</f>
        <v>-4.5000000000001705E-3</v>
      </c>
      <c r="BR70" s="77">
        <f>'[1]Тариф 26 свод без  ПДВ'!BG70</f>
        <v>10.494</v>
      </c>
      <c r="BS70" s="159">
        <f t="shared" si="4"/>
        <v>-4.5000000000001705E-3</v>
      </c>
      <c r="BU70" s="77">
        <f>'[1]Тариф 26 свод без  ПДВ'!AU70</f>
        <v>10.494</v>
      </c>
      <c r="BV70" s="159">
        <f t="shared" si="5"/>
        <v>-4.5000000000001705E-3</v>
      </c>
      <c r="BX70" s="95">
        <v>4.1529999999999996</v>
      </c>
      <c r="BY70" s="95">
        <v>4.1529999999999996</v>
      </c>
      <c r="BZ70" s="95"/>
      <c r="CA70" s="62">
        <f t="shared" si="6"/>
        <v>2.5257645075848787</v>
      </c>
      <c r="CB70" s="62">
        <f t="shared" si="7"/>
        <v>2.5257645075848787</v>
      </c>
      <c r="CI70" s="160">
        <f>'[1]0 СВОД'!AYY85</f>
        <v>28674.663851260346</v>
      </c>
      <c r="CJ70" s="77">
        <f t="shared" si="12"/>
        <v>344095.96621512412</v>
      </c>
      <c r="CM70" s="161">
        <v>67</v>
      </c>
      <c r="CN70" s="162" t="s">
        <v>584</v>
      </c>
      <c r="CO70" s="163">
        <v>5</v>
      </c>
      <c r="CP70" s="163">
        <v>4</v>
      </c>
      <c r="CQ70" s="164" t="s">
        <v>67</v>
      </c>
      <c r="CR70" s="165" t="s">
        <v>49</v>
      </c>
      <c r="CS70" s="166">
        <v>2734.42</v>
      </c>
      <c r="CT70" s="166">
        <v>0</v>
      </c>
      <c r="CU70" s="167">
        <v>0</v>
      </c>
      <c r="CV70" s="168">
        <v>2734.42</v>
      </c>
      <c r="CW70" s="166">
        <v>2734.42</v>
      </c>
      <c r="CX70" s="167">
        <v>0</v>
      </c>
      <c r="CY70" s="166">
        <v>0</v>
      </c>
      <c r="CZ70" s="166"/>
      <c r="DA70" s="166">
        <v>2734.42</v>
      </c>
      <c r="DB70" s="166"/>
      <c r="DC70" s="166">
        <v>0</v>
      </c>
      <c r="DD70" s="59">
        <v>0.16450000000000001</v>
      </c>
      <c r="DE70" s="59">
        <v>0.15129999999999999</v>
      </c>
      <c r="DF70" s="59">
        <v>0.21360000000000001</v>
      </c>
      <c r="DG70" s="59">
        <v>4.3799999999999999E-2</v>
      </c>
      <c r="DH70" s="59">
        <v>1.0999999999999999E-2</v>
      </c>
      <c r="DI70" s="59">
        <v>0.21890000000000001</v>
      </c>
      <c r="DJ70" s="59">
        <v>4.8099999999999997E-2</v>
      </c>
      <c r="DK70" s="59">
        <v>0.3458</v>
      </c>
      <c r="DL70" s="169">
        <v>0</v>
      </c>
      <c r="DM70" s="59">
        <v>0.1038</v>
      </c>
      <c r="DN70" s="169">
        <v>0</v>
      </c>
      <c r="DO70" s="170">
        <v>1.0129999999999999</v>
      </c>
      <c r="DP70" s="171">
        <f t="shared" si="13"/>
        <v>2.3382000000000001</v>
      </c>
      <c r="DQ70" s="59">
        <v>0.1069</v>
      </c>
      <c r="DR70" s="59">
        <v>0.1976</v>
      </c>
      <c r="DS70" s="59">
        <v>2.29E-2</v>
      </c>
      <c r="DT70" s="59">
        <v>0.05</v>
      </c>
      <c r="DU70" s="59">
        <v>2.4E-2</v>
      </c>
      <c r="DV70" s="59">
        <v>6.0400000000000002E-2</v>
      </c>
      <c r="DW70" s="59">
        <v>9.2999999999999992E-3</v>
      </c>
      <c r="DX70" s="169">
        <v>0</v>
      </c>
      <c r="DY70" s="59">
        <v>1.4061999999999999</v>
      </c>
      <c r="DZ70" s="171">
        <f t="shared" si="14"/>
        <v>1.7538756933579862</v>
      </c>
      <c r="EA70" s="59">
        <v>0.72260000000000002</v>
      </c>
      <c r="EB70" s="171">
        <f t="shared" si="15"/>
        <v>1.7902020481594241</v>
      </c>
      <c r="EC70" s="59">
        <v>0.48799999999999999</v>
      </c>
      <c r="ED70" s="171">
        <f t="shared" si="16"/>
        <v>1.3116803278688525</v>
      </c>
      <c r="EE70" s="59">
        <v>4.4900000000000002E-2</v>
      </c>
      <c r="EF70" s="59">
        <v>6.1999999999999998E-3</v>
      </c>
      <c r="EG70" s="59">
        <v>0.20549999999999999</v>
      </c>
      <c r="EH70" s="59">
        <v>0</v>
      </c>
      <c r="EI70" s="208">
        <v>0.14149999999999999</v>
      </c>
      <c r="EJ70" s="172">
        <v>5.7997999999999994</v>
      </c>
      <c r="EK70" s="173"/>
      <c r="EL70" s="169">
        <v>0</v>
      </c>
      <c r="EM70" s="169">
        <v>0</v>
      </c>
      <c r="EN70" s="59"/>
      <c r="EO70" s="172"/>
      <c r="ES70" s="57">
        <f t="shared" si="29"/>
        <v>5.7997999999999994</v>
      </c>
      <c r="ET70" s="57">
        <f t="shared" si="30"/>
        <v>0</v>
      </c>
      <c r="EU70" s="31"/>
      <c r="EV70" s="61">
        <f t="shared" si="17"/>
        <v>1.8085968481671784</v>
      </c>
      <c r="EW70" s="62"/>
      <c r="EX70" s="158">
        <f>ES70*1.305-BA70</f>
        <v>-2.9207610000000006</v>
      </c>
      <c r="EY70" s="77">
        <f t="shared" ref="EY70:EY73" si="77">ES70*1.344</f>
        <v>7.7949311999999997</v>
      </c>
      <c r="EZ70" s="158">
        <f t="shared" si="19"/>
        <v>10.4895</v>
      </c>
      <c r="FA70" s="158">
        <f t="shared" si="20"/>
        <v>10.4895</v>
      </c>
      <c r="FH70" s="174">
        <f t="shared" si="33"/>
        <v>28674.306989999997</v>
      </c>
      <c r="FJ70" s="87">
        <v>1.2829925169833443</v>
      </c>
      <c r="FK70" s="176">
        <f t="shared" si="34"/>
        <v>1.4096706132157881</v>
      </c>
      <c r="FM70" s="87" t="e">
        <f t="shared" si="35"/>
        <v>#DIV/0!</v>
      </c>
      <c r="FO70" s="88">
        <f t="shared" si="21"/>
        <v>28674.306989999997</v>
      </c>
      <c r="FP70" s="79">
        <f t="shared" si="22"/>
        <v>0</v>
      </c>
      <c r="FS70" s="79">
        <f t="shared" si="23"/>
        <v>15854.449275999998</v>
      </c>
      <c r="FT70" s="79">
        <f t="shared" si="24"/>
        <v>0</v>
      </c>
      <c r="FU70" s="79">
        <f t="shared" si="36"/>
        <v>1.8085968481671784</v>
      </c>
      <c r="FV70" s="79" t="e">
        <f t="shared" si="36"/>
        <v>#DIV/0!</v>
      </c>
      <c r="FY70" s="79">
        <f t="shared" si="37"/>
        <v>28674.306989999997</v>
      </c>
      <c r="FZ70" s="79">
        <f t="shared" si="38"/>
        <v>0</v>
      </c>
      <c r="GB70" s="178">
        <f t="shared" si="39"/>
        <v>2733.62</v>
      </c>
      <c r="GC70" s="178">
        <f t="shared" si="40"/>
        <v>0</v>
      </c>
      <c r="GG70" s="14">
        <v>8.2600999999999996</v>
      </c>
      <c r="GH70" s="175">
        <f t="shared" si="41"/>
        <v>1.2698998801467294</v>
      </c>
      <c r="GI70" s="14">
        <v>8.2600999999999996</v>
      </c>
      <c r="GJ70" s="175">
        <f t="shared" si="42"/>
        <v>1.2698998801467294</v>
      </c>
      <c r="GK70" s="175">
        <f t="shared" ref="GK70:GK73" si="78">GH70-GJ70</f>
        <v>0</v>
      </c>
      <c r="GN70" s="14">
        <v>10.719199999999999</v>
      </c>
      <c r="GO70" s="175">
        <f t="shared" si="44"/>
        <v>1.2977082601905545</v>
      </c>
      <c r="GP70" s="179">
        <f t="shared" si="45"/>
        <v>0.97857116202701699</v>
      </c>
      <c r="GQ70" s="14">
        <v>10.719199999999999</v>
      </c>
      <c r="GR70" s="175">
        <f t="shared" si="46"/>
        <v>1.2977082601905545</v>
      </c>
      <c r="GS70" s="175">
        <f t="shared" si="47"/>
        <v>0.97857116202701699</v>
      </c>
      <c r="GV70" s="32">
        <f t="shared" si="25"/>
        <v>28674.306989999997</v>
      </c>
      <c r="GW70" s="32">
        <f t="shared" si="26"/>
        <v>0</v>
      </c>
      <c r="GX70" s="180">
        <f t="shared" si="48"/>
        <v>28674.306989999997</v>
      </c>
      <c r="GZ70" s="32">
        <f t="shared" si="49"/>
        <v>10.4895</v>
      </c>
      <c r="HA70" s="32" t="e">
        <f t="shared" si="50"/>
        <v>#DIV/0!</v>
      </c>
      <c r="HB70" s="32">
        <f t="shared" si="51"/>
        <v>10.4895</v>
      </c>
    </row>
    <row r="71" spans="1:210" ht="19.2" customHeight="1" x14ac:dyDescent="0.3">
      <c r="A71" s="50">
        <v>63</v>
      </c>
      <c r="B71" s="51" t="s">
        <v>585</v>
      </c>
      <c r="C71" s="150" t="s">
        <v>581</v>
      </c>
      <c r="D71" s="52">
        <v>5</v>
      </c>
      <c r="E71" s="52">
        <v>4</v>
      </c>
      <c r="F71" s="63">
        <v>60</v>
      </c>
      <c r="G71" s="54" t="s">
        <v>68</v>
      </c>
      <c r="H71" s="181" t="s">
        <v>49</v>
      </c>
      <c r="I71" s="55">
        <f t="shared" si="27"/>
        <v>2913</v>
      </c>
      <c r="J71" s="55">
        <f t="shared" si="0"/>
        <v>0</v>
      </c>
      <c r="K71" s="55">
        <f t="shared" si="1"/>
        <v>0</v>
      </c>
      <c r="L71" s="56">
        <v>2913</v>
      </c>
      <c r="M71" s="56">
        <v>2913</v>
      </c>
      <c r="N71" s="56">
        <f t="shared" si="28"/>
        <v>2913</v>
      </c>
      <c r="O71" s="56">
        <v>0</v>
      </c>
      <c r="P71" s="56">
        <v>0</v>
      </c>
      <c r="Q71" s="55"/>
      <c r="R71" s="55">
        <v>2913</v>
      </c>
      <c r="S71" s="55"/>
      <c r="T71" s="55">
        <v>0</v>
      </c>
      <c r="U71" s="152">
        <v>2913</v>
      </c>
      <c r="V71" s="57">
        <v>0.1618</v>
      </c>
      <c r="W71" s="153">
        <v>8.7400000000000005E-2</v>
      </c>
      <c r="X71" s="57">
        <v>0.32329999999999998</v>
      </c>
      <c r="Y71" s="57">
        <v>7.51E-2</v>
      </c>
      <c r="Z71" s="153">
        <v>3.09E-2</v>
      </c>
      <c r="AA71" s="57">
        <v>0.46600000000000003</v>
      </c>
      <c r="AB71" s="153">
        <v>0</v>
      </c>
      <c r="AC71" s="57">
        <v>0.63149999999999995</v>
      </c>
      <c r="AD71" s="57">
        <v>0.16289999999999999</v>
      </c>
      <c r="AE71" s="57">
        <v>0</v>
      </c>
      <c r="AF71" s="57">
        <v>1.7262999999999999</v>
      </c>
      <c r="AG71" s="57">
        <v>0.21609999999999999</v>
      </c>
      <c r="AH71" s="57">
        <v>0.31009999999999999</v>
      </c>
      <c r="AI71" s="153">
        <v>8.9800000000000005E-2</v>
      </c>
      <c r="AJ71" s="153">
        <v>0.1096</v>
      </c>
      <c r="AK71" s="153">
        <v>0.06</v>
      </c>
      <c r="AL71" s="57">
        <v>0.1855</v>
      </c>
      <c r="AM71" s="153">
        <v>3.2500000000000001E-2</v>
      </c>
      <c r="AN71" s="57">
        <v>0</v>
      </c>
      <c r="AO71" s="153">
        <v>3.1795</v>
      </c>
      <c r="AP71" s="57">
        <v>1.0945</v>
      </c>
      <c r="AQ71" s="57">
        <v>8.77E-2</v>
      </c>
      <c r="AR71" s="153">
        <v>0.62009999999999998</v>
      </c>
      <c r="AS71" s="57">
        <v>4.7199999999999999E-2</v>
      </c>
      <c r="AT71" s="57">
        <v>7.7000000000000002E-3</v>
      </c>
      <c r="AU71" s="153">
        <v>0.27539999999999998</v>
      </c>
      <c r="AV71" s="153">
        <v>0</v>
      </c>
      <c r="AW71" s="154">
        <v>9.9809000000000001</v>
      </c>
      <c r="AX71" s="58">
        <v>0.499</v>
      </c>
      <c r="AY71" s="155">
        <f t="shared" si="2"/>
        <v>0.49469999999999997</v>
      </c>
      <c r="AZ71" s="155">
        <f t="shared" si="3"/>
        <v>4.300000000000026E-3</v>
      </c>
      <c r="BA71" s="14">
        <v>10.479900000000001</v>
      </c>
      <c r="BB71" s="59">
        <f>BA71-'[1]Тариф 26 свод без  ПДВ'!AU71</f>
        <v>-5.0999999999987722E-3</v>
      </c>
      <c r="BC71" s="57">
        <v>0</v>
      </c>
      <c r="BD71" s="57">
        <v>0</v>
      </c>
      <c r="BE71" s="57">
        <v>0</v>
      </c>
      <c r="BF71" s="156">
        <v>9.9809000000000001</v>
      </c>
      <c r="BG71" s="59">
        <v>0.499</v>
      </c>
      <c r="BH71" s="59"/>
      <c r="BI71" s="59"/>
      <c r="BJ71" s="14">
        <v>10.479900000000001</v>
      </c>
      <c r="BK71" s="60"/>
      <c r="BL71" s="60">
        <v>4.8113999999999999</v>
      </c>
      <c r="BM71" s="60">
        <v>0.24060000000000001</v>
      </c>
      <c r="BN71" s="14">
        <v>5.0519999999999996</v>
      </c>
      <c r="BO71" s="14"/>
      <c r="BP71" s="157"/>
      <c r="BQ71" s="158">
        <f>BJ71-'[1]Тариф 26 свод без  ПДВ'!BG71</f>
        <v>-5.0999999999987722E-3</v>
      </c>
      <c r="BR71" s="77">
        <f>'[1]Тариф 26 свод без  ПДВ'!BG71</f>
        <v>10.484999999999999</v>
      </c>
      <c r="BS71" s="159">
        <f t="shared" si="4"/>
        <v>-5.0999999999987722E-3</v>
      </c>
      <c r="BU71" s="77">
        <f>'[1]Тариф 26 свод без  ПДВ'!AU71</f>
        <v>10.484999999999999</v>
      </c>
      <c r="BV71" s="159">
        <f t="shared" si="5"/>
        <v>-5.0999999999987722E-3</v>
      </c>
      <c r="BX71" s="95">
        <v>3.2988999999999997</v>
      </c>
      <c r="BY71" s="95">
        <v>3.2988999999999997</v>
      </c>
      <c r="BZ71" s="95"/>
      <c r="CA71" s="62">
        <f t="shared" si="6"/>
        <v>3.1767862014610935</v>
      </c>
      <c r="CB71" s="62">
        <f t="shared" si="7"/>
        <v>3.1767862014610935</v>
      </c>
      <c r="CI71" s="160">
        <f>'[1]0 СВОД'!AYY86</f>
        <v>30528.285117182251</v>
      </c>
      <c r="CJ71" s="77">
        <f t="shared" si="12"/>
        <v>366339.421406187</v>
      </c>
      <c r="CM71" s="161">
        <v>68</v>
      </c>
      <c r="CN71" s="162" t="s">
        <v>586</v>
      </c>
      <c r="CO71" s="163">
        <v>5</v>
      </c>
      <c r="CP71" s="163">
        <v>4</v>
      </c>
      <c r="CQ71" s="164" t="s">
        <v>68</v>
      </c>
      <c r="CR71" s="165" t="s">
        <v>49</v>
      </c>
      <c r="CS71" s="166">
        <v>2913.34</v>
      </c>
      <c r="CT71" s="166">
        <v>0</v>
      </c>
      <c r="CU71" s="167">
        <v>0</v>
      </c>
      <c r="CV71" s="168">
        <v>2913.34</v>
      </c>
      <c r="CW71" s="166">
        <v>2913.34</v>
      </c>
      <c r="CX71" s="167">
        <v>0</v>
      </c>
      <c r="CY71" s="166">
        <v>0</v>
      </c>
      <c r="CZ71" s="166"/>
      <c r="DA71" s="166">
        <v>2913.34</v>
      </c>
      <c r="DB71" s="166"/>
      <c r="DC71" s="166">
        <v>0</v>
      </c>
      <c r="DD71" s="59">
        <v>0.16039999999999999</v>
      </c>
      <c r="DE71" s="59">
        <v>0.1421</v>
      </c>
      <c r="DF71" s="59">
        <v>0.21249999999999999</v>
      </c>
      <c r="DG71" s="59">
        <v>4.4200000000000003E-2</v>
      </c>
      <c r="DH71" s="59">
        <v>1.1599999999999999E-2</v>
      </c>
      <c r="DI71" s="59">
        <v>0.21360000000000001</v>
      </c>
      <c r="DJ71" s="59">
        <v>4.8099999999999997E-2</v>
      </c>
      <c r="DK71" s="59">
        <v>0.3458</v>
      </c>
      <c r="DL71" s="169">
        <v>0</v>
      </c>
      <c r="DM71" s="59">
        <v>9.9099999999999994E-2</v>
      </c>
      <c r="DN71" s="169">
        <v>0</v>
      </c>
      <c r="DO71" s="170">
        <v>0.95429999999999993</v>
      </c>
      <c r="DP71" s="171">
        <f t="shared" si="13"/>
        <v>1.7262999999999999</v>
      </c>
      <c r="DQ71" s="59">
        <v>0.104</v>
      </c>
      <c r="DR71" s="59">
        <v>0.1855</v>
      </c>
      <c r="DS71" s="59">
        <v>2.3400000000000001E-2</v>
      </c>
      <c r="DT71" s="59">
        <v>5.16E-2</v>
      </c>
      <c r="DU71" s="59">
        <v>2.53E-2</v>
      </c>
      <c r="DV71" s="59">
        <v>6.4600000000000005E-2</v>
      </c>
      <c r="DW71" s="59">
        <v>8.6999999999999994E-3</v>
      </c>
      <c r="DX71" s="169">
        <v>0</v>
      </c>
      <c r="DY71" s="170">
        <v>1.6919999999999999</v>
      </c>
      <c r="DZ71" s="171">
        <f t="shared" si="14"/>
        <v>1.8791371158392436</v>
      </c>
      <c r="EA71" s="59">
        <v>0.65700000000000003</v>
      </c>
      <c r="EB71" s="171">
        <f t="shared" si="15"/>
        <v>1.7993911719939115</v>
      </c>
      <c r="EC71" s="59">
        <v>0.47960000000000003</v>
      </c>
      <c r="ED71" s="171">
        <f t="shared" si="16"/>
        <v>1.2929524603836529</v>
      </c>
      <c r="EE71" s="59">
        <v>3.61E-2</v>
      </c>
      <c r="EF71" s="59">
        <v>5.0000000000000001E-3</v>
      </c>
      <c r="EG71" s="59">
        <v>0.18429999999999999</v>
      </c>
      <c r="EH71" s="59">
        <v>0</v>
      </c>
      <c r="EI71" s="208">
        <v>0.14369999999999999</v>
      </c>
      <c r="EJ71" s="172">
        <v>5.892500000000001</v>
      </c>
      <c r="EK71" s="173"/>
      <c r="EL71" s="169">
        <v>0</v>
      </c>
      <c r="EM71" s="169">
        <v>0</v>
      </c>
      <c r="EN71" s="59"/>
      <c r="EO71" s="172"/>
      <c r="ES71" s="57">
        <f t="shared" si="29"/>
        <v>5.892500000000001</v>
      </c>
      <c r="ET71" s="57">
        <f t="shared" si="30"/>
        <v>0</v>
      </c>
      <c r="EU71" s="31"/>
      <c r="EV71" s="65">
        <f t="shared" si="17"/>
        <v>1.7785150615188798</v>
      </c>
      <c r="EW71" s="62"/>
      <c r="EX71" s="158">
        <f>ES71*1.305-BA71</f>
        <v>-2.7901875</v>
      </c>
      <c r="EY71" s="77">
        <f t="shared" si="77"/>
        <v>7.9195200000000021</v>
      </c>
      <c r="EZ71" s="158">
        <f t="shared" si="19"/>
        <v>10.479900000000001</v>
      </c>
      <c r="FA71" s="158">
        <f t="shared" si="20"/>
        <v>10.479900000000001</v>
      </c>
      <c r="FH71" s="174">
        <f t="shared" si="33"/>
        <v>30527.948700000001</v>
      </c>
      <c r="FJ71" s="87">
        <v>1.3195248196860414</v>
      </c>
      <c r="FK71" s="176">
        <f t="shared" si="34"/>
        <v>1.3478450992244673</v>
      </c>
      <c r="FM71" s="87" t="e">
        <f t="shared" si="35"/>
        <v>#DIV/0!</v>
      </c>
      <c r="FO71" s="88">
        <f t="shared" si="21"/>
        <v>30527.948700000001</v>
      </c>
      <c r="FP71" s="79">
        <f t="shared" si="22"/>
        <v>0</v>
      </c>
      <c r="FS71" s="79">
        <f t="shared" si="23"/>
        <v>17164.852500000005</v>
      </c>
      <c r="FT71" s="79">
        <f t="shared" si="24"/>
        <v>0</v>
      </c>
      <c r="FU71" s="79">
        <f t="shared" si="36"/>
        <v>1.7785150615188796</v>
      </c>
      <c r="FV71" s="79" t="e">
        <f t="shared" si="36"/>
        <v>#DIV/0!</v>
      </c>
      <c r="FY71" s="79">
        <f t="shared" si="37"/>
        <v>30527.948700000001</v>
      </c>
      <c r="FZ71" s="79">
        <f t="shared" si="38"/>
        <v>0</v>
      </c>
      <c r="GB71" s="178">
        <f t="shared" si="39"/>
        <v>2913</v>
      </c>
      <c r="GC71" s="178">
        <f t="shared" si="40"/>
        <v>0</v>
      </c>
      <c r="GG71" s="14">
        <v>8.2523000000000017</v>
      </c>
      <c r="GH71" s="175">
        <f t="shared" si="41"/>
        <v>1.2699368660858183</v>
      </c>
      <c r="GI71" s="14">
        <v>8.2523000000000017</v>
      </c>
      <c r="GJ71" s="175">
        <f t="shared" si="42"/>
        <v>1.2699368660858183</v>
      </c>
      <c r="GK71" s="175">
        <f t="shared" si="78"/>
        <v>0</v>
      </c>
      <c r="GN71" s="14">
        <v>10.8125</v>
      </c>
      <c r="GO71" s="175">
        <f t="shared" si="44"/>
        <v>1.3102407813579242</v>
      </c>
      <c r="GP71" s="179">
        <f t="shared" si="45"/>
        <v>0.96923930635838151</v>
      </c>
      <c r="GQ71" s="14">
        <v>10.8125</v>
      </c>
      <c r="GR71" s="175">
        <f t="shared" si="46"/>
        <v>1.3102407813579242</v>
      </c>
      <c r="GS71" s="175">
        <f t="shared" si="47"/>
        <v>0.96923930635838151</v>
      </c>
      <c r="GV71" s="32">
        <f t="shared" si="25"/>
        <v>30527.948700000001</v>
      </c>
      <c r="GW71" s="32">
        <f t="shared" si="26"/>
        <v>0</v>
      </c>
      <c r="GX71" s="180">
        <f t="shared" si="48"/>
        <v>30527.948700000001</v>
      </c>
      <c r="GZ71" s="32">
        <f t="shared" si="49"/>
        <v>10.479900000000001</v>
      </c>
      <c r="HA71" s="32" t="e">
        <f t="shared" si="50"/>
        <v>#DIV/0!</v>
      </c>
      <c r="HB71" s="32">
        <f t="shared" si="51"/>
        <v>10.479900000000001</v>
      </c>
    </row>
    <row r="72" spans="1:210" ht="19.2" customHeight="1" x14ac:dyDescent="0.3">
      <c r="A72" s="50">
        <v>64</v>
      </c>
      <c r="B72" s="51" t="s">
        <v>587</v>
      </c>
      <c r="C72" s="150" t="s">
        <v>581</v>
      </c>
      <c r="D72" s="52">
        <v>5</v>
      </c>
      <c r="E72" s="52">
        <v>4</v>
      </c>
      <c r="F72" s="63">
        <v>61</v>
      </c>
      <c r="G72" s="54" t="s">
        <v>69</v>
      </c>
      <c r="H72" s="181" t="s">
        <v>49</v>
      </c>
      <c r="I72" s="55">
        <f t="shared" si="27"/>
        <v>2965.54</v>
      </c>
      <c r="J72" s="55">
        <f t="shared" si="0"/>
        <v>0</v>
      </c>
      <c r="K72" s="55">
        <f t="shared" si="1"/>
        <v>0</v>
      </c>
      <c r="L72" s="56">
        <v>2965.54</v>
      </c>
      <c r="M72" s="56">
        <v>2965.54</v>
      </c>
      <c r="N72" s="56">
        <f t="shared" si="28"/>
        <v>2965.54</v>
      </c>
      <c r="O72" s="56">
        <v>0</v>
      </c>
      <c r="P72" s="56">
        <v>0</v>
      </c>
      <c r="Q72" s="55"/>
      <c r="R72" s="55">
        <v>2965.54</v>
      </c>
      <c r="S72" s="55"/>
      <c r="T72" s="55">
        <v>0</v>
      </c>
      <c r="U72" s="152">
        <v>2965.54</v>
      </c>
      <c r="V72" s="57">
        <v>0.16320000000000001</v>
      </c>
      <c r="W72" s="153">
        <v>8.6599999999999996E-2</v>
      </c>
      <c r="X72" s="57">
        <v>0.32490000000000002</v>
      </c>
      <c r="Y72" s="57">
        <v>7.4999999999999997E-2</v>
      </c>
      <c r="Z72" s="153">
        <v>3.0300000000000001E-2</v>
      </c>
      <c r="AA72" s="57">
        <v>0.48039999999999999</v>
      </c>
      <c r="AB72" s="153">
        <v>0</v>
      </c>
      <c r="AC72" s="57">
        <v>0.63149999999999995</v>
      </c>
      <c r="AD72" s="57">
        <v>0.16270000000000001</v>
      </c>
      <c r="AE72" s="57">
        <v>0</v>
      </c>
      <c r="AF72" s="57">
        <v>1.421</v>
      </c>
      <c r="AG72" s="57">
        <v>0.2102</v>
      </c>
      <c r="AH72" s="57">
        <v>0.30709999999999998</v>
      </c>
      <c r="AI72" s="153">
        <v>9.0200000000000002E-2</v>
      </c>
      <c r="AJ72" s="153">
        <v>0.1091</v>
      </c>
      <c r="AK72" s="153">
        <v>5.8999999999999997E-2</v>
      </c>
      <c r="AL72" s="57">
        <v>0.1822</v>
      </c>
      <c r="AM72" s="153">
        <v>3.2199999999999999E-2</v>
      </c>
      <c r="AN72" s="57">
        <v>0</v>
      </c>
      <c r="AO72" s="153">
        <v>3.3317999999999999</v>
      </c>
      <c r="AP72" s="57">
        <v>1.0779000000000001</v>
      </c>
      <c r="AQ72" s="57">
        <v>8.6099999999999996E-2</v>
      </c>
      <c r="AR72" s="153">
        <v>0.6119</v>
      </c>
      <c r="AS72" s="57">
        <v>5.4399999999999997E-2</v>
      </c>
      <c r="AT72" s="57">
        <v>8.8000000000000005E-3</v>
      </c>
      <c r="AU72" s="153">
        <v>0.2356</v>
      </c>
      <c r="AV72" s="153">
        <v>0</v>
      </c>
      <c r="AW72" s="154">
        <v>9.7721</v>
      </c>
      <c r="AX72" s="58">
        <v>0.48859999999999998</v>
      </c>
      <c r="AY72" s="155">
        <f t="shared" si="2"/>
        <v>0.48430000000000001</v>
      </c>
      <c r="AZ72" s="155">
        <f t="shared" si="3"/>
        <v>4.2999999999999705E-3</v>
      </c>
      <c r="BA72" s="14">
        <v>10.2607</v>
      </c>
      <c r="BB72" s="59">
        <f>BA72-'[1]Тариф 26 свод без  ПДВ'!AU72</f>
        <v>-3.2999999999994145E-3</v>
      </c>
      <c r="BC72" s="57">
        <v>0</v>
      </c>
      <c r="BD72" s="57">
        <v>0</v>
      </c>
      <c r="BE72" s="57">
        <v>0</v>
      </c>
      <c r="BF72" s="156">
        <v>9.7721</v>
      </c>
      <c r="BG72" s="59">
        <v>0.48859999999999998</v>
      </c>
      <c r="BH72" s="59"/>
      <c r="BI72" s="59"/>
      <c r="BJ72" s="14">
        <v>10.2607</v>
      </c>
      <c r="BK72" s="60"/>
      <c r="BL72" s="60">
        <v>4.5149000000000008</v>
      </c>
      <c r="BM72" s="60">
        <v>0.22570000000000001</v>
      </c>
      <c r="BN72" s="14">
        <v>4.7406000000000006</v>
      </c>
      <c r="BO72" s="14"/>
      <c r="BP72" s="157"/>
      <c r="BQ72" s="158">
        <f>BJ72-'[1]Тариф 26 свод без  ПДВ'!BG72</f>
        <v>-3.2999999999994145E-3</v>
      </c>
      <c r="BR72" s="77">
        <f>'[1]Тариф 26 свод без  ПДВ'!BG72</f>
        <v>10.263999999999999</v>
      </c>
      <c r="BS72" s="159">
        <f t="shared" si="4"/>
        <v>-3.2999999999994145E-3</v>
      </c>
      <c r="BU72" s="77">
        <f>'[1]Тариф 26 свод без  ПДВ'!AU72</f>
        <v>10.263999999999999</v>
      </c>
      <c r="BV72" s="159">
        <f t="shared" si="5"/>
        <v>-3.2999999999994145E-3</v>
      </c>
      <c r="BX72" s="95">
        <v>4.6655999999999995</v>
      </c>
      <c r="BY72" s="95">
        <v>5.8638000000000003</v>
      </c>
      <c r="BZ72" s="95"/>
      <c r="CA72" s="62">
        <f t="shared" si="6"/>
        <v>2.1992241083676269</v>
      </c>
      <c r="CB72" s="62">
        <f t="shared" si="7"/>
        <v>1.7498379890173605</v>
      </c>
      <c r="CD72" s="160">
        <f>L72-CE72</f>
        <v>2965.54</v>
      </c>
      <c r="CE72" s="160">
        <f>T72</f>
        <v>0</v>
      </c>
      <c r="CF72" s="77">
        <f>CD72*BA72</f>
        <v>30428.516277999999</v>
      </c>
      <c r="CG72" s="77">
        <f>BJ72*CE72</f>
        <v>0</v>
      </c>
      <c r="CI72" s="160">
        <f>'[1]0 СВОД'!AYY87</f>
        <v>30428.446796064913</v>
      </c>
      <c r="CJ72" s="77">
        <f t="shared" si="12"/>
        <v>365141.36155277898</v>
      </c>
      <c r="CM72" s="161">
        <v>69</v>
      </c>
      <c r="CN72" s="162" t="s">
        <v>588</v>
      </c>
      <c r="CO72" s="163">
        <v>5</v>
      </c>
      <c r="CP72" s="163">
        <v>4</v>
      </c>
      <c r="CQ72" s="164" t="s">
        <v>69</v>
      </c>
      <c r="CR72" s="165" t="s">
        <v>49</v>
      </c>
      <c r="CS72" s="166">
        <v>2963.3</v>
      </c>
      <c r="CT72" s="166">
        <v>0</v>
      </c>
      <c r="CU72" s="167">
        <v>0</v>
      </c>
      <c r="CV72" s="168">
        <v>2963.3</v>
      </c>
      <c r="CW72" s="166">
        <v>2963.3</v>
      </c>
      <c r="CX72" s="167">
        <v>0</v>
      </c>
      <c r="CY72" s="166">
        <v>0</v>
      </c>
      <c r="CZ72" s="166"/>
      <c r="DA72" s="166">
        <v>2963.3</v>
      </c>
      <c r="DB72" s="166"/>
      <c r="DC72" s="166">
        <v>0</v>
      </c>
      <c r="DD72" s="59">
        <v>0.16009999999999999</v>
      </c>
      <c r="DE72" s="59">
        <v>0.14080000000000001</v>
      </c>
      <c r="DF72" s="59">
        <v>0.2137</v>
      </c>
      <c r="DG72" s="59">
        <v>4.4200000000000003E-2</v>
      </c>
      <c r="DH72" s="59">
        <v>1.14E-2</v>
      </c>
      <c r="DI72" s="59">
        <v>0.21</v>
      </c>
      <c r="DJ72" s="59">
        <v>4.8099999999999997E-2</v>
      </c>
      <c r="DK72" s="59">
        <v>0.3458</v>
      </c>
      <c r="DL72" s="169">
        <v>0</v>
      </c>
      <c r="DM72" s="59">
        <v>9.9099999999999994E-2</v>
      </c>
      <c r="DN72" s="169">
        <v>0</v>
      </c>
      <c r="DO72" s="59">
        <v>0.75749999999999995</v>
      </c>
      <c r="DP72" s="171">
        <f t="shared" si="13"/>
        <v>1.421</v>
      </c>
      <c r="DQ72" s="59">
        <v>0.1041</v>
      </c>
      <c r="DR72" s="59">
        <v>0.18390000000000001</v>
      </c>
      <c r="DS72" s="59">
        <v>2.35E-2</v>
      </c>
      <c r="DT72" s="59">
        <v>5.1400000000000001E-2</v>
      </c>
      <c r="DU72" s="59">
        <v>2.4899999999999999E-2</v>
      </c>
      <c r="DV72" s="59">
        <v>6.3500000000000001E-2</v>
      </c>
      <c r="DW72" s="59">
        <v>8.5000000000000006E-3</v>
      </c>
      <c r="DX72" s="169">
        <v>0</v>
      </c>
      <c r="DY72" s="170">
        <v>1.7824</v>
      </c>
      <c r="DZ72" s="171">
        <f t="shared" si="14"/>
        <v>1.8692773788150807</v>
      </c>
      <c r="EA72" s="59">
        <v>0.65080000000000005</v>
      </c>
      <c r="EB72" s="171">
        <f t="shared" si="15"/>
        <v>1.7885679164105717</v>
      </c>
      <c r="EC72" s="59">
        <v>0.47460000000000002</v>
      </c>
      <c r="ED72" s="171">
        <f t="shared" si="16"/>
        <v>1.2892962494732405</v>
      </c>
      <c r="EE72" s="59">
        <v>4.1599999999999998E-2</v>
      </c>
      <c r="EF72" s="59">
        <v>5.7999999999999996E-3</v>
      </c>
      <c r="EG72" s="59">
        <v>0.22670000000000001</v>
      </c>
      <c r="EH72" s="59">
        <v>0</v>
      </c>
      <c r="EI72" s="208">
        <v>0.14180000000000001</v>
      </c>
      <c r="EJ72" s="172">
        <v>5.8141999999999996</v>
      </c>
      <c r="EK72" s="173"/>
      <c r="EL72" s="169">
        <v>0</v>
      </c>
      <c r="EM72" s="169">
        <v>0</v>
      </c>
      <c r="EN72" s="59"/>
      <c r="EO72" s="172"/>
      <c r="ES72" s="57">
        <f t="shared" si="29"/>
        <v>5.8141999999999996</v>
      </c>
      <c r="ET72" s="57">
        <f t="shared" si="30"/>
        <v>0</v>
      </c>
      <c r="EU72" s="31"/>
      <c r="EV72" s="61">
        <f t="shared" si="17"/>
        <v>1.764765573939665</v>
      </c>
      <c r="EW72" s="182"/>
      <c r="EX72" s="158">
        <f>ES72*1.305-BA72</f>
        <v>-2.6731690000000006</v>
      </c>
      <c r="EY72" s="77">
        <f t="shared" si="77"/>
        <v>7.8142848000000003</v>
      </c>
      <c r="EZ72" s="158">
        <f t="shared" si="19"/>
        <v>10.2607</v>
      </c>
      <c r="FA72" s="158">
        <f t="shared" si="20"/>
        <v>10.2607</v>
      </c>
      <c r="FH72" s="174">
        <f t="shared" si="33"/>
        <v>30428.516277999999</v>
      </c>
      <c r="FJ72" s="87">
        <v>1.318444497953287</v>
      </c>
      <c r="FK72" s="176">
        <f t="shared" si="34"/>
        <v>1.338520943945106</v>
      </c>
      <c r="FM72" s="87" t="e">
        <f t="shared" si="35"/>
        <v>#DIV/0!</v>
      </c>
      <c r="FO72" s="88">
        <f t="shared" si="21"/>
        <v>30428.516277999999</v>
      </c>
      <c r="FP72" s="79">
        <f t="shared" si="22"/>
        <v>0</v>
      </c>
      <c r="FS72" s="79">
        <f t="shared" si="23"/>
        <v>17242.242667999999</v>
      </c>
      <c r="FT72" s="79">
        <f t="shared" si="24"/>
        <v>0</v>
      </c>
      <c r="FU72" s="79">
        <f t="shared" si="36"/>
        <v>1.764765573939665</v>
      </c>
      <c r="FV72" s="79" t="e">
        <f t="shared" si="36"/>
        <v>#DIV/0!</v>
      </c>
      <c r="FY72" s="79">
        <f t="shared" si="37"/>
        <v>30428.516277999999</v>
      </c>
      <c r="FZ72" s="79">
        <f t="shared" si="38"/>
        <v>0</v>
      </c>
      <c r="GB72" s="178">
        <f t="shared" si="39"/>
        <v>2965.54</v>
      </c>
      <c r="GC72" s="178">
        <f t="shared" si="40"/>
        <v>0</v>
      </c>
      <c r="GG72" s="14">
        <v>8.0798000000000005</v>
      </c>
      <c r="GH72" s="175">
        <f t="shared" si="41"/>
        <v>1.2699200475259287</v>
      </c>
      <c r="GI72" s="14">
        <v>8.0798000000000005</v>
      </c>
      <c r="GJ72" s="175">
        <f t="shared" si="42"/>
        <v>1.2699200475259287</v>
      </c>
      <c r="GK72" s="175">
        <f t="shared" si="78"/>
        <v>0</v>
      </c>
      <c r="GN72" s="14">
        <v>10.598100000000001</v>
      </c>
      <c r="GO72" s="175">
        <f t="shared" si="44"/>
        <v>1.3116785068937349</v>
      </c>
      <c r="GP72" s="179">
        <f t="shared" si="45"/>
        <v>0.96816410488672489</v>
      </c>
      <c r="GQ72" s="14">
        <v>10.598100000000001</v>
      </c>
      <c r="GR72" s="175">
        <f t="shared" si="46"/>
        <v>1.3116785068937349</v>
      </c>
      <c r="GS72" s="175">
        <f t="shared" si="47"/>
        <v>0.96816410488672489</v>
      </c>
      <c r="GV72" s="32">
        <f t="shared" si="25"/>
        <v>30428.516277999999</v>
      </c>
      <c r="GW72" s="32">
        <f t="shared" si="26"/>
        <v>0</v>
      </c>
      <c r="GX72" s="180">
        <f t="shared" si="48"/>
        <v>30428.516277999999</v>
      </c>
      <c r="GZ72" s="32">
        <f t="shared" si="49"/>
        <v>10.2607</v>
      </c>
      <c r="HA72" s="32" t="e">
        <f t="shared" si="50"/>
        <v>#DIV/0!</v>
      </c>
      <c r="HB72" s="32">
        <f t="shared" si="51"/>
        <v>10.2607</v>
      </c>
    </row>
    <row r="73" spans="1:210" ht="19.2" customHeight="1" x14ac:dyDescent="0.3">
      <c r="A73" s="50">
        <v>65</v>
      </c>
      <c r="B73" s="51" t="s">
        <v>589</v>
      </c>
      <c r="C73" s="150" t="s">
        <v>581</v>
      </c>
      <c r="D73" s="52">
        <v>5</v>
      </c>
      <c r="E73" s="52">
        <v>4</v>
      </c>
      <c r="F73" s="63">
        <v>60</v>
      </c>
      <c r="G73" s="54" t="s">
        <v>70</v>
      </c>
      <c r="H73" s="181" t="s">
        <v>49</v>
      </c>
      <c r="I73" s="55">
        <f t="shared" si="27"/>
        <v>2721.5</v>
      </c>
      <c r="J73" s="55">
        <f t="shared" ref="J73:J136" si="79">T73</f>
        <v>0</v>
      </c>
      <c r="K73" s="55">
        <f t="shared" ref="K73:K136" si="80">O73</f>
        <v>0</v>
      </c>
      <c r="L73" s="56">
        <v>2721.5</v>
      </c>
      <c r="M73" s="56">
        <v>2721.5</v>
      </c>
      <c r="N73" s="56">
        <f t="shared" si="28"/>
        <v>2721.5</v>
      </c>
      <c r="O73" s="56">
        <v>0</v>
      </c>
      <c r="P73" s="56">
        <v>0</v>
      </c>
      <c r="Q73" s="55"/>
      <c r="R73" s="55">
        <v>2721.5</v>
      </c>
      <c r="S73" s="55"/>
      <c r="T73" s="55">
        <v>0</v>
      </c>
      <c r="U73" s="152">
        <v>2721.5</v>
      </c>
      <c r="V73" s="57">
        <v>0.1663</v>
      </c>
      <c r="W73" s="153">
        <v>9.3600000000000003E-2</v>
      </c>
      <c r="X73" s="57">
        <v>0.32350000000000001</v>
      </c>
      <c r="Y73" s="57">
        <v>7.46E-2</v>
      </c>
      <c r="Z73" s="153">
        <v>2.9399999999999999E-2</v>
      </c>
      <c r="AA73" s="57">
        <v>0.50539999999999996</v>
      </c>
      <c r="AB73" s="153">
        <v>0</v>
      </c>
      <c r="AC73" s="57">
        <v>0.63149999999999995</v>
      </c>
      <c r="AD73" s="57">
        <v>0.17430000000000001</v>
      </c>
      <c r="AE73" s="57">
        <v>0</v>
      </c>
      <c r="AF73" s="57">
        <v>2.2246999999999999</v>
      </c>
      <c r="AG73" s="57">
        <v>0.2177</v>
      </c>
      <c r="AH73" s="57">
        <v>0.33179999999999998</v>
      </c>
      <c r="AI73" s="153">
        <v>8.8200000000000001E-2</v>
      </c>
      <c r="AJ73" s="153">
        <v>0.10780000000000001</v>
      </c>
      <c r="AK73" s="153">
        <v>5.7099999999999998E-2</v>
      </c>
      <c r="AL73" s="57">
        <v>0.17419999999999999</v>
      </c>
      <c r="AM73" s="153">
        <v>3.2000000000000001E-2</v>
      </c>
      <c r="AN73" s="57">
        <v>0</v>
      </c>
      <c r="AO73" s="153">
        <v>2.1436999999999999</v>
      </c>
      <c r="AP73" s="57">
        <v>1.1556</v>
      </c>
      <c r="AQ73" s="57">
        <v>9.3700000000000006E-2</v>
      </c>
      <c r="AR73" s="153">
        <v>0.63839999999999997</v>
      </c>
      <c r="AS73" s="57">
        <v>5.91E-2</v>
      </c>
      <c r="AT73" s="57">
        <v>9.5999999999999992E-3</v>
      </c>
      <c r="AU73" s="153">
        <v>6.6600000000000006E-2</v>
      </c>
      <c r="AV73" s="153">
        <v>0</v>
      </c>
      <c r="AW73" s="154">
        <v>9.3988000000000014</v>
      </c>
      <c r="AX73" s="58">
        <v>0.46989999999999998</v>
      </c>
      <c r="AY73" s="155">
        <f t="shared" ref="AY73:AY136" si="81">ROUND((V73+W73+X73+Y73+Z73+AA73+AB73+AC73+AD73+AE73+AF73+AG73+AH73+AI73+AJ73+AK73+AL73+AM73+AN73+AO73+AP73+AR73+AS73+AT73+AU73+AV73)*0.05,4)</f>
        <v>0.46529999999999999</v>
      </c>
      <c r="AZ73" s="155">
        <f t="shared" ref="AZ73:AZ136" si="82">AX73-AY73</f>
        <v>4.599999999999993E-3</v>
      </c>
      <c r="BA73" s="14">
        <v>9.8687000000000005</v>
      </c>
      <c r="BB73" s="59">
        <f>BA73-'[1]Тариф 26 свод без  ПДВ'!AU73</f>
        <v>1.5000000000000568E-3</v>
      </c>
      <c r="BC73" s="57">
        <v>0</v>
      </c>
      <c r="BD73" s="57">
        <v>0</v>
      </c>
      <c r="BE73" s="57">
        <v>0</v>
      </c>
      <c r="BF73" s="156">
        <v>9.3988000000000014</v>
      </c>
      <c r="BG73" s="59">
        <v>0.46989999999999998</v>
      </c>
      <c r="BH73" s="59"/>
      <c r="BI73" s="59"/>
      <c r="BJ73" s="14">
        <v>9.8687000000000005</v>
      </c>
      <c r="BK73" s="60"/>
      <c r="BL73" s="60">
        <v>5.3945000000000016</v>
      </c>
      <c r="BM73" s="60">
        <v>0.2697</v>
      </c>
      <c r="BN73" s="14">
        <v>5.6642000000000019</v>
      </c>
      <c r="BO73" s="14"/>
      <c r="BP73" s="157"/>
      <c r="BQ73" s="158">
        <f>BJ73-'[1]Тариф 26 свод без  ПДВ'!BG73</f>
        <v>1.5000000000000568E-3</v>
      </c>
      <c r="BR73" s="77">
        <f>'[1]Тариф 26 свод без  ПДВ'!BG73</f>
        <v>9.8672000000000004</v>
      </c>
      <c r="BS73" s="159">
        <f t="shared" ref="BS73:BS136" si="83">BJ73-BR73</f>
        <v>1.5000000000000568E-3</v>
      </c>
      <c r="BU73" s="77">
        <f>'[1]Тариф 26 свод без  ПДВ'!AU73</f>
        <v>9.8672000000000004</v>
      </c>
      <c r="BV73" s="159">
        <f t="shared" ref="BV73:BV136" si="84">BA73-BU73</f>
        <v>1.5000000000000568E-3</v>
      </c>
      <c r="BX73" s="95">
        <v>4.4305000000000003</v>
      </c>
      <c r="BY73" s="95">
        <v>5.5396000000000001</v>
      </c>
      <c r="BZ73" s="95"/>
      <c r="CA73" s="215">
        <f t="shared" ref="CA73:CA136" si="85">BA73/BX73</f>
        <v>2.2274461121769553</v>
      </c>
      <c r="CB73" s="215">
        <f t="shared" ref="CB73:CB136" si="86">BJ73/BY73</f>
        <v>1.7814824175030688</v>
      </c>
      <c r="CD73" s="160">
        <f>L73-CE73</f>
        <v>2721.5</v>
      </c>
      <c r="CE73" s="160">
        <f>T73</f>
        <v>0</v>
      </c>
      <c r="CF73" s="77">
        <f>CD73*BA73</f>
        <v>26857.66705</v>
      </c>
      <c r="CG73" s="77">
        <f>BJ73*CE73</f>
        <v>0</v>
      </c>
      <c r="CI73" s="160">
        <f>'[1]0 СВОД'!AYY88</f>
        <v>26857.774823202995</v>
      </c>
      <c r="CJ73" s="77">
        <f t="shared" ref="CJ73:CJ136" si="87">CI73*12</f>
        <v>322293.29787843593</v>
      </c>
      <c r="CM73" s="161">
        <v>70</v>
      </c>
      <c r="CN73" s="183" t="s">
        <v>590</v>
      </c>
      <c r="CO73" s="163">
        <v>5</v>
      </c>
      <c r="CP73" s="163">
        <v>4</v>
      </c>
      <c r="CQ73" s="164" t="s">
        <v>70</v>
      </c>
      <c r="CR73" s="165" t="s">
        <v>49</v>
      </c>
      <c r="CS73" s="166">
        <v>2719.92</v>
      </c>
      <c r="CT73" s="166">
        <v>0</v>
      </c>
      <c r="CU73" s="167">
        <v>0</v>
      </c>
      <c r="CV73" s="168">
        <v>2719.92</v>
      </c>
      <c r="CW73" s="166">
        <v>2719.92</v>
      </c>
      <c r="CX73" s="167">
        <v>0</v>
      </c>
      <c r="CY73" s="166">
        <v>0</v>
      </c>
      <c r="CZ73" s="166"/>
      <c r="DA73" s="166">
        <v>2719.92</v>
      </c>
      <c r="DB73" s="166"/>
      <c r="DC73" s="166">
        <v>0</v>
      </c>
      <c r="DD73" s="59">
        <v>0.1608</v>
      </c>
      <c r="DE73" s="59">
        <v>0.15210000000000001</v>
      </c>
      <c r="DF73" s="59">
        <v>0.2127</v>
      </c>
      <c r="DG73" s="59">
        <v>4.3900000000000002E-2</v>
      </c>
      <c r="DH73" s="59">
        <v>1.0999999999999999E-2</v>
      </c>
      <c r="DI73" s="59">
        <v>0.22</v>
      </c>
      <c r="DJ73" s="59">
        <v>4.8099999999999997E-2</v>
      </c>
      <c r="DK73" s="59">
        <v>0.3458</v>
      </c>
      <c r="DL73" s="169">
        <v>0</v>
      </c>
      <c r="DM73" s="59">
        <v>0.1062</v>
      </c>
      <c r="DN73" s="169">
        <v>0</v>
      </c>
      <c r="DO73" s="184">
        <v>1.216</v>
      </c>
      <c r="DP73" s="171">
        <f t="shared" ref="DP73:DP136" si="88">AF73</f>
        <v>2.2246999999999999</v>
      </c>
      <c r="DQ73" s="59">
        <v>0.10489999999999999</v>
      </c>
      <c r="DR73" s="59">
        <v>0.1986</v>
      </c>
      <c r="DS73" s="59">
        <v>2.3E-2</v>
      </c>
      <c r="DT73" s="59">
        <v>5.0799999999999998E-2</v>
      </c>
      <c r="DU73" s="59">
        <v>2.41E-2</v>
      </c>
      <c r="DV73" s="59">
        <v>6.0699999999999997E-2</v>
      </c>
      <c r="DW73" s="59">
        <v>8.5000000000000006E-3</v>
      </c>
      <c r="DX73" s="169">
        <v>0</v>
      </c>
      <c r="DY73" s="59">
        <v>1.2535000000000001</v>
      </c>
      <c r="DZ73" s="171">
        <f t="shared" ref="DZ73:DZ136" si="89">AO73/DY73</f>
        <v>1.7101715197447147</v>
      </c>
      <c r="EA73" s="59">
        <v>0.69830000000000003</v>
      </c>
      <c r="EB73" s="171">
        <f t="shared" ref="EB73:EB136" si="90">(AP73+AQ73)/EA73</f>
        <v>1.7890591436345407</v>
      </c>
      <c r="EC73" s="59">
        <v>0.4884</v>
      </c>
      <c r="ED73" s="171">
        <f t="shared" ref="ED73:ED136" si="91">AR73/EC73</f>
        <v>1.3071253071253071</v>
      </c>
      <c r="EE73" s="59">
        <v>4.53E-2</v>
      </c>
      <c r="EF73" s="59">
        <v>6.3E-3</v>
      </c>
      <c r="EG73" s="59">
        <v>5.3100000000000001E-2</v>
      </c>
      <c r="EH73" s="59">
        <v>0</v>
      </c>
      <c r="EI73" s="208">
        <v>0.13830000000000001</v>
      </c>
      <c r="EJ73" s="172">
        <v>5.6704000000000008</v>
      </c>
      <c r="EK73" s="173"/>
      <c r="EL73" s="169">
        <v>0</v>
      </c>
      <c r="EM73" s="169">
        <v>0</v>
      </c>
      <c r="EN73" s="59"/>
      <c r="EO73" s="172"/>
      <c r="ES73" s="57">
        <f t="shared" si="29"/>
        <v>5.6704000000000008</v>
      </c>
      <c r="ET73" s="57">
        <f t="shared" si="30"/>
        <v>0</v>
      </c>
      <c r="EU73" s="31"/>
      <c r="EV73" s="61">
        <f t="shared" ref="EV73:EV136" si="92">BA73/ES73</f>
        <v>1.74038868510158</v>
      </c>
      <c r="EW73" s="182"/>
      <c r="EX73" s="158">
        <f>ES73*1.305-BA73</f>
        <v>-2.4688280000000002</v>
      </c>
      <c r="EY73" s="77">
        <f t="shared" si="77"/>
        <v>7.6210176000000018</v>
      </c>
      <c r="EZ73" s="158">
        <f t="shared" ref="EZ73:EZ136" si="93">BA73</f>
        <v>9.8687000000000005</v>
      </c>
      <c r="FA73" s="158">
        <f t="shared" ref="FA73:FA136" si="94">BJ73</f>
        <v>9.8687000000000005</v>
      </c>
      <c r="FH73" s="174">
        <f t="shared" si="33"/>
        <v>26857.66705</v>
      </c>
      <c r="FJ73" s="87">
        <v>1.2811618227990968</v>
      </c>
      <c r="FK73" s="176">
        <f t="shared" si="34"/>
        <v>1.3584456343689348</v>
      </c>
      <c r="FM73" s="87" t="e">
        <f t="shared" si="35"/>
        <v>#DIV/0!</v>
      </c>
      <c r="FO73" s="88">
        <f t="shared" ref="FO73:FO136" si="95">BA73*L73</f>
        <v>26857.66705</v>
      </c>
      <c r="FP73" s="79">
        <f t="shared" ref="FP73:FP136" si="96">T73*BJ73</f>
        <v>0</v>
      </c>
      <c r="FS73" s="79">
        <f t="shared" ref="FS73:FS136" si="97">ES73*L73</f>
        <v>15431.993600000002</v>
      </c>
      <c r="FT73" s="79">
        <f t="shared" ref="FT73:FT136" si="98">ET73*T73</f>
        <v>0</v>
      </c>
      <c r="FU73" s="79">
        <f t="shared" si="36"/>
        <v>1.74038868510158</v>
      </c>
      <c r="FV73" s="79" t="e">
        <f t="shared" si="36"/>
        <v>#DIV/0!</v>
      </c>
      <c r="FY73" s="79">
        <f t="shared" si="37"/>
        <v>26857.66705</v>
      </c>
      <c r="FZ73" s="79">
        <f t="shared" si="38"/>
        <v>0</v>
      </c>
      <c r="GB73" s="178">
        <f t="shared" si="39"/>
        <v>2721.5</v>
      </c>
      <c r="GC73" s="178">
        <f t="shared" si="40"/>
        <v>0</v>
      </c>
      <c r="GG73" s="14">
        <v>7.7712000000000003</v>
      </c>
      <c r="GH73" s="175">
        <f t="shared" si="41"/>
        <v>1.2699068354951617</v>
      </c>
      <c r="GI73" s="14">
        <v>7.7712000000000003</v>
      </c>
      <c r="GJ73" s="175">
        <f t="shared" si="42"/>
        <v>1.2699068354951617</v>
      </c>
      <c r="GK73" s="175">
        <f t="shared" si="78"/>
        <v>0</v>
      </c>
      <c r="GN73" s="14">
        <v>10.329200000000002</v>
      </c>
      <c r="GO73" s="175">
        <f t="shared" si="44"/>
        <v>1.3291640930615609</v>
      </c>
      <c r="GP73" s="179">
        <f t="shared" si="45"/>
        <v>0.95541765093134012</v>
      </c>
      <c r="GQ73" s="14">
        <v>10.329200000000002</v>
      </c>
      <c r="GR73" s="175">
        <f t="shared" si="46"/>
        <v>1.3291640930615609</v>
      </c>
      <c r="GS73" s="175">
        <f t="shared" si="47"/>
        <v>0.95541765093134012</v>
      </c>
      <c r="GV73" s="32">
        <f t="shared" si="25"/>
        <v>26857.66705</v>
      </c>
      <c r="GW73" s="32">
        <f t="shared" si="26"/>
        <v>0</v>
      </c>
      <c r="GX73" s="180">
        <f t="shared" si="48"/>
        <v>26857.66705</v>
      </c>
      <c r="GZ73" s="32">
        <f t="shared" si="49"/>
        <v>9.8687000000000005</v>
      </c>
      <c r="HA73" s="32" t="e">
        <f t="shared" si="50"/>
        <v>#DIV/0!</v>
      </c>
      <c r="HB73" s="32">
        <f t="shared" si="51"/>
        <v>9.8687000000000005</v>
      </c>
    </row>
    <row r="74" spans="1:210" ht="19.2" customHeight="1" x14ac:dyDescent="0.3">
      <c r="A74" s="50">
        <v>66</v>
      </c>
      <c r="B74" s="51" t="s">
        <v>591</v>
      </c>
      <c r="C74" s="150" t="s">
        <v>581</v>
      </c>
      <c r="D74" s="52">
        <v>9</v>
      </c>
      <c r="E74" s="52">
        <v>2</v>
      </c>
      <c r="F74" s="63">
        <v>72</v>
      </c>
      <c r="G74" s="54" t="s">
        <v>209</v>
      </c>
      <c r="H74" s="181" t="s">
        <v>193</v>
      </c>
      <c r="I74" s="55">
        <f t="shared" ref="I74:I137" si="99">L74-J74-K74</f>
        <v>443.15000000000009</v>
      </c>
      <c r="J74" s="55">
        <f t="shared" si="79"/>
        <v>3552.85</v>
      </c>
      <c r="K74" s="55">
        <f t="shared" si="80"/>
        <v>0</v>
      </c>
      <c r="L74" s="56">
        <v>3996</v>
      </c>
      <c r="M74" s="56">
        <v>3996</v>
      </c>
      <c r="N74" s="56">
        <f t="shared" ref="N74:N137" si="100">L74-O74-T74</f>
        <v>443.15000000000009</v>
      </c>
      <c r="O74" s="56">
        <v>0</v>
      </c>
      <c r="P74" s="56">
        <v>0</v>
      </c>
      <c r="Q74" s="55"/>
      <c r="R74" s="55">
        <v>3996</v>
      </c>
      <c r="S74" s="55"/>
      <c r="T74" s="55">
        <v>3552.85</v>
      </c>
      <c r="U74" s="152">
        <v>443.15000000000009</v>
      </c>
      <c r="V74" s="57">
        <v>0.12609999999999999</v>
      </c>
      <c r="W74" s="57">
        <v>6.54E-2</v>
      </c>
      <c r="X74" s="153">
        <v>0.30559999999999998</v>
      </c>
      <c r="Y74" s="153">
        <v>7.0800000000000002E-2</v>
      </c>
      <c r="Z74" s="57">
        <v>6.8000000000000005E-2</v>
      </c>
      <c r="AA74" s="57">
        <v>0.27689999999999998</v>
      </c>
      <c r="AB74" s="57">
        <v>0</v>
      </c>
      <c r="AC74" s="153">
        <v>0.63149999999999995</v>
      </c>
      <c r="AD74" s="57">
        <v>0.14249999999999999</v>
      </c>
      <c r="AE74" s="57">
        <v>0</v>
      </c>
      <c r="AF74" s="57">
        <v>2.0802</v>
      </c>
      <c r="AG74" s="57">
        <v>0.1676</v>
      </c>
      <c r="AH74" s="57">
        <v>0.2356</v>
      </c>
      <c r="AI74" s="57">
        <v>9.35E-2</v>
      </c>
      <c r="AJ74" s="57">
        <v>0.11890000000000001</v>
      </c>
      <c r="AK74" s="57">
        <v>0.13220000000000001</v>
      </c>
      <c r="AL74" s="57">
        <v>8.48E-2</v>
      </c>
      <c r="AM74" s="57">
        <v>2.8000000000000001E-2</v>
      </c>
      <c r="AN74" s="57">
        <v>0</v>
      </c>
      <c r="AO74" s="57">
        <v>1.7381</v>
      </c>
      <c r="AP74" s="153">
        <v>1.7806</v>
      </c>
      <c r="AQ74" s="153">
        <v>8.0399999999999999E-2</v>
      </c>
      <c r="AR74" s="57">
        <v>0.50800000000000001</v>
      </c>
      <c r="AS74" s="57">
        <v>4.0800000000000003E-2</v>
      </c>
      <c r="AT74" s="153">
        <v>6.6E-3</v>
      </c>
      <c r="AU74" s="153">
        <v>0.4365</v>
      </c>
      <c r="AV74" s="153">
        <v>0</v>
      </c>
      <c r="AW74" s="154">
        <v>9.2186000000000021</v>
      </c>
      <c r="AX74" s="58">
        <v>0.46089999999999998</v>
      </c>
      <c r="AY74" s="155">
        <f t="shared" si="81"/>
        <v>0.45689999999999997</v>
      </c>
      <c r="AZ74" s="155">
        <f t="shared" si="82"/>
        <v>4.0000000000000036E-3</v>
      </c>
      <c r="BA74" s="14">
        <v>9.6795000000000027</v>
      </c>
      <c r="BB74" s="59">
        <f>BA74-'[1]Тариф 26 свод без  ПДВ'!AU74</f>
        <v>4.7000000000032571E-3</v>
      </c>
      <c r="BC74" s="57">
        <v>1.9292</v>
      </c>
      <c r="BD74" s="57">
        <v>0</v>
      </c>
      <c r="BE74" s="57">
        <v>0.68469999999999998</v>
      </c>
      <c r="BF74" s="156">
        <v>11.832500000000001</v>
      </c>
      <c r="BG74" s="59">
        <v>0.59160000000000001</v>
      </c>
      <c r="BH74" s="59"/>
      <c r="BI74" s="59"/>
      <c r="BJ74" s="14">
        <v>12.424100000000001</v>
      </c>
      <c r="BK74" s="60"/>
      <c r="BL74" s="60">
        <v>4.7554000000000007</v>
      </c>
      <c r="BM74" s="60">
        <v>0.23780000000000001</v>
      </c>
      <c r="BN74" s="14">
        <v>4.9932000000000007</v>
      </c>
      <c r="BO74" s="14"/>
      <c r="BP74" s="157"/>
      <c r="BQ74" s="158">
        <f>BJ74-'[1]Тариф 26 свод без  ПДВ'!BG74</f>
        <v>3.4000000000009578E-3</v>
      </c>
      <c r="BR74" s="77">
        <f>'[1]Тариф 26 свод без  ПДВ'!BG74</f>
        <v>12.4207</v>
      </c>
      <c r="BS74" s="159">
        <f t="shared" si="83"/>
        <v>3.4000000000009578E-3</v>
      </c>
      <c r="BU74" s="77">
        <f>'[1]Тариф 26 свод без  ПДВ'!AU74</f>
        <v>9.6747999999999994</v>
      </c>
      <c r="BV74" s="159">
        <f t="shared" si="84"/>
        <v>4.7000000000032571E-3</v>
      </c>
      <c r="BX74" s="95">
        <v>4.3680000000000003</v>
      </c>
      <c r="BY74" s="95">
        <v>5.4729000000000001</v>
      </c>
      <c r="BZ74" s="95"/>
      <c r="CA74" s="182">
        <f t="shared" si="85"/>
        <v>2.2160027472527477</v>
      </c>
      <c r="CB74" s="182">
        <f t="shared" si="86"/>
        <v>2.2701127373056336</v>
      </c>
      <c r="CD74" s="160">
        <f>L74-CE74</f>
        <v>443.15000000000009</v>
      </c>
      <c r="CE74" s="160">
        <f>T74</f>
        <v>3552.85</v>
      </c>
      <c r="CF74" s="77">
        <f>CD74*BA74</f>
        <v>4289.4704250000023</v>
      </c>
      <c r="CG74" s="77">
        <f>BJ74*CE74</f>
        <v>44140.963685000002</v>
      </c>
      <c r="CI74" s="160">
        <f>'[1]0 СВОД'!AYY89</f>
        <v>48430.202175969163</v>
      </c>
      <c r="CJ74" s="77">
        <f t="shared" si="87"/>
        <v>581162.42611162993</v>
      </c>
      <c r="CM74" s="161">
        <v>72</v>
      </c>
      <c r="CN74" s="183" t="s">
        <v>592</v>
      </c>
      <c r="CO74" s="163">
        <v>9</v>
      </c>
      <c r="CP74" s="163">
        <v>2</v>
      </c>
      <c r="CQ74" s="164" t="s">
        <v>209</v>
      </c>
      <c r="CR74" s="165" t="s">
        <v>193</v>
      </c>
      <c r="CS74" s="166">
        <v>443.15000000000009</v>
      </c>
      <c r="CT74" s="166">
        <v>3552.0499999999997</v>
      </c>
      <c r="CU74" s="167">
        <v>0</v>
      </c>
      <c r="CV74" s="168">
        <v>3995.2</v>
      </c>
      <c r="CW74" s="166">
        <v>3995.2</v>
      </c>
      <c r="CX74" s="167">
        <v>0</v>
      </c>
      <c r="CY74" s="166">
        <v>0</v>
      </c>
      <c r="CZ74" s="166"/>
      <c r="DA74" s="166">
        <v>3995.2</v>
      </c>
      <c r="DB74" s="166"/>
      <c r="DC74" s="166">
        <v>3552.0499999999997</v>
      </c>
      <c r="DD74" s="59">
        <v>0.1237</v>
      </c>
      <c r="DE74" s="59">
        <v>0.1062</v>
      </c>
      <c r="DF74" s="59">
        <v>0.20100000000000001</v>
      </c>
      <c r="DG74" s="59">
        <v>4.1700000000000001E-2</v>
      </c>
      <c r="DH74" s="59">
        <v>2.5600000000000001E-2</v>
      </c>
      <c r="DI74" s="59">
        <v>0.11700000000000001</v>
      </c>
      <c r="DJ74" s="59">
        <v>4.8099999999999997E-2</v>
      </c>
      <c r="DK74" s="59">
        <v>0.3458</v>
      </c>
      <c r="DL74" s="169">
        <v>0</v>
      </c>
      <c r="DM74" s="59">
        <v>8.6699999999999999E-2</v>
      </c>
      <c r="DN74" s="169">
        <v>0</v>
      </c>
      <c r="DO74" s="184">
        <v>1.3380999999999998</v>
      </c>
      <c r="DP74" s="171">
        <f t="shared" si="88"/>
        <v>2.0802</v>
      </c>
      <c r="DQ74" s="59">
        <v>8.0699999999999994E-2</v>
      </c>
      <c r="DR74" s="59">
        <v>0.1414</v>
      </c>
      <c r="DS74" s="59">
        <v>2.4400000000000002E-2</v>
      </c>
      <c r="DT74" s="59">
        <v>5.6500000000000002E-2</v>
      </c>
      <c r="DU74" s="59">
        <v>5.5800000000000002E-2</v>
      </c>
      <c r="DV74" s="59">
        <v>2.9399999999999999E-2</v>
      </c>
      <c r="DW74" s="59">
        <v>6.4999999999999997E-3</v>
      </c>
      <c r="DX74" s="169">
        <v>0</v>
      </c>
      <c r="DY74" s="59">
        <v>0.93330000000000002</v>
      </c>
      <c r="DZ74" s="171">
        <f t="shared" si="89"/>
        <v>1.862316511303975</v>
      </c>
      <c r="EA74" s="59">
        <v>1.0503</v>
      </c>
      <c r="EB74" s="171">
        <f t="shared" si="90"/>
        <v>1.771874702465962</v>
      </c>
      <c r="EC74" s="59">
        <v>0.2152</v>
      </c>
      <c r="ED74" s="171">
        <f t="shared" si="91"/>
        <v>2.3605947955390336</v>
      </c>
      <c r="EE74" s="59">
        <v>3.1199999999999999E-2</v>
      </c>
      <c r="EF74" s="59">
        <v>4.3E-3</v>
      </c>
      <c r="EG74" s="59">
        <v>0.44419999999999998</v>
      </c>
      <c r="EH74" s="59">
        <v>0</v>
      </c>
      <c r="EI74" s="155">
        <v>0.13769999999999999</v>
      </c>
      <c r="EJ74" s="172">
        <v>5.6448</v>
      </c>
      <c r="EK74" s="173"/>
      <c r="EL74" s="59">
        <v>1.6677999999999999</v>
      </c>
      <c r="EM74" s="59">
        <v>0.57869999999999999</v>
      </c>
      <c r="EN74" s="59">
        <v>0.1938</v>
      </c>
      <c r="EO74" s="172">
        <v>7.9474000000000009</v>
      </c>
      <c r="ES74" s="57">
        <f t="shared" ref="ES74:ES137" si="101">EJ74</f>
        <v>5.6448</v>
      </c>
      <c r="ET74" s="57">
        <f t="shared" ref="ET74:ET137" si="102">EO74</f>
        <v>7.9474000000000009</v>
      </c>
      <c r="EU74" s="31"/>
      <c r="EV74" s="61">
        <f t="shared" si="92"/>
        <v>1.7147640306122454</v>
      </c>
      <c r="EW74" s="61">
        <f>BJ74/ET74</f>
        <v>1.5632911392405062</v>
      </c>
      <c r="EX74" s="185">
        <v>7.2156000000000002</v>
      </c>
      <c r="EY74" s="174">
        <v>10.4472</v>
      </c>
      <c r="EZ74" s="158">
        <f t="shared" si="93"/>
        <v>9.6795000000000027</v>
      </c>
      <c r="FA74" s="174">
        <f t="shared" si="94"/>
        <v>12.424100000000001</v>
      </c>
      <c r="FB74" s="158">
        <f>BA74-EX74</f>
        <v>2.4639000000000024</v>
      </c>
      <c r="FC74" s="158">
        <f>BJ74-EY74</f>
        <v>1.9769000000000005</v>
      </c>
      <c r="FD74" s="175">
        <f>FB74/EX74</f>
        <v>0.3414684849492769</v>
      </c>
      <c r="FE74" s="175">
        <f>FC74/FA74</f>
        <v>0.15911816550092162</v>
      </c>
      <c r="FF74" s="158"/>
      <c r="FG74" s="174"/>
      <c r="FH74" s="174">
        <f t="shared" ref="FH74:FH137" si="103">L74*BA74</f>
        <v>38679.282000000014</v>
      </c>
      <c r="FI74" s="174"/>
      <c r="FJ74" s="87">
        <v>1.3849</v>
      </c>
      <c r="FK74" s="87">
        <f t="shared" ref="FK74:FK137" si="104">EV74/FJ74</f>
        <v>1.2381861727288941</v>
      </c>
      <c r="FL74" s="87">
        <v>1.3979999999999999</v>
      </c>
      <c r="FM74" s="87">
        <f t="shared" ref="FM74:FM137" si="105">EW74/FL74</f>
        <v>1.118234005179189</v>
      </c>
      <c r="FO74" s="88">
        <f t="shared" si="95"/>
        <v>38679.282000000014</v>
      </c>
      <c r="FP74" s="79">
        <f t="shared" si="96"/>
        <v>44140.963685000002</v>
      </c>
      <c r="FS74" s="79">
        <f t="shared" si="97"/>
        <v>22556.620800000001</v>
      </c>
      <c r="FT74" s="79">
        <f t="shared" si="98"/>
        <v>28235.920090000003</v>
      </c>
      <c r="FU74" s="79">
        <f t="shared" ref="FU74:FV137" si="106">FO74/FS74</f>
        <v>1.7147640306122454</v>
      </c>
      <c r="FV74" s="79">
        <f t="shared" si="106"/>
        <v>1.5632911392405062</v>
      </c>
      <c r="FY74" s="79">
        <f t="shared" ref="FY74:FY137" si="107">(L74-T74)*BA74</f>
        <v>4289.4704250000023</v>
      </c>
      <c r="FZ74" s="79">
        <f t="shared" ref="FZ74:FZ137" si="108">T74*BJ74</f>
        <v>44140.963685000002</v>
      </c>
      <c r="GB74" s="178">
        <f t="shared" ref="GB74:GB137" si="109">L74-T74</f>
        <v>443.15000000000009</v>
      </c>
      <c r="GC74" s="178">
        <f t="shared" ref="GC74:GC137" si="110">T74</f>
        <v>3552.85</v>
      </c>
      <c r="GG74" s="14">
        <v>7.6221999999999994</v>
      </c>
      <c r="GH74" s="175">
        <f t="shared" ref="GH74:GH137" si="111">BA74/GG74</f>
        <v>1.2699089501718668</v>
      </c>
      <c r="GI74" s="14">
        <v>10.774699999999999</v>
      </c>
      <c r="GJ74" s="175">
        <f t="shared" ref="GJ74:GJ137" si="112">BJ74/GI74</f>
        <v>1.1530808282365173</v>
      </c>
      <c r="GK74" s="175">
        <f>GH74-GJ74</f>
        <v>0.11682812193534953</v>
      </c>
      <c r="GN74" s="14">
        <v>9.567400000000001</v>
      </c>
      <c r="GO74" s="175">
        <f t="shared" ref="GO74:GO137" si="113">GN74/GG74</f>
        <v>1.255201910209651</v>
      </c>
      <c r="GP74" s="179">
        <f t="shared" ref="GP74:GP137" si="114">BA74/GN74</f>
        <v>1.0117168718774172</v>
      </c>
      <c r="GQ74" s="14">
        <v>12.081400000000002</v>
      </c>
      <c r="GR74" s="175">
        <f t="shared" ref="GR74:GR137" si="115">GQ74/GI74</f>
        <v>1.1212748382785602</v>
      </c>
      <c r="GS74" s="175">
        <f t="shared" ref="GS74:GS137" si="116">BJ74/GQ74</f>
        <v>1.028365917857202</v>
      </c>
      <c r="GV74" s="32">
        <f t="shared" ref="GV74:GV137" si="117">BA74*(L74-T74)</f>
        <v>4289.4704250000023</v>
      </c>
      <c r="GW74" s="32">
        <f t="shared" ref="GW74:GW137" si="118">BJ74*T74</f>
        <v>44140.963685000002</v>
      </c>
      <c r="GX74" s="180">
        <f t="shared" ref="GX74:GX137" si="119">GV74+GW74</f>
        <v>48430.434110000002</v>
      </c>
      <c r="GZ74" s="32">
        <f t="shared" ref="GZ74:GZ137" si="120">GV74/(L74-T74)</f>
        <v>9.6795000000000027</v>
      </c>
      <c r="HA74" s="32">
        <f t="shared" ref="HA74:HA137" si="121">GW74/T74</f>
        <v>12.424100000000001</v>
      </c>
      <c r="HB74" s="32">
        <f t="shared" ref="HB74:HB137" si="122">GX74/L74</f>
        <v>12.119728255755756</v>
      </c>
    </row>
    <row r="75" spans="1:210" ht="19.2" customHeight="1" x14ac:dyDescent="0.3">
      <c r="A75" s="50">
        <v>67</v>
      </c>
      <c r="B75" s="51" t="s">
        <v>593</v>
      </c>
      <c r="C75" s="150" t="s">
        <v>581</v>
      </c>
      <c r="D75" s="52">
        <v>5</v>
      </c>
      <c r="E75" s="52">
        <v>4</v>
      </c>
      <c r="F75" s="63">
        <v>60</v>
      </c>
      <c r="G75" s="54" t="s">
        <v>71</v>
      </c>
      <c r="H75" s="181" t="s">
        <v>49</v>
      </c>
      <c r="I75" s="55">
        <f t="shared" si="99"/>
        <v>2719.22</v>
      </c>
      <c r="J75" s="55">
        <f t="shared" si="79"/>
        <v>0</v>
      </c>
      <c r="K75" s="55">
        <f t="shared" si="80"/>
        <v>0</v>
      </c>
      <c r="L75" s="56">
        <v>2719.22</v>
      </c>
      <c r="M75" s="56">
        <v>2719.22</v>
      </c>
      <c r="N75" s="56">
        <f t="shared" si="100"/>
        <v>2719.22</v>
      </c>
      <c r="O75" s="56">
        <v>0</v>
      </c>
      <c r="P75" s="56">
        <v>0</v>
      </c>
      <c r="Q75" s="55"/>
      <c r="R75" s="55">
        <v>2719.22</v>
      </c>
      <c r="S75" s="55"/>
      <c r="T75" s="55">
        <v>0</v>
      </c>
      <c r="U75" s="152">
        <v>2719.22</v>
      </c>
      <c r="V75" s="57">
        <v>0.16639999999999999</v>
      </c>
      <c r="W75" s="153">
        <v>9.3600000000000003E-2</v>
      </c>
      <c r="X75" s="57">
        <v>0.32269999999999999</v>
      </c>
      <c r="Y75" s="57">
        <v>7.4700000000000003E-2</v>
      </c>
      <c r="Z75" s="153">
        <v>2.9399999999999999E-2</v>
      </c>
      <c r="AA75" s="57">
        <v>0.50590000000000002</v>
      </c>
      <c r="AB75" s="153">
        <v>0</v>
      </c>
      <c r="AC75" s="57">
        <v>0.63149999999999995</v>
      </c>
      <c r="AD75" s="57">
        <v>0.17449999999999999</v>
      </c>
      <c r="AE75" s="57">
        <v>0</v>
      </c>
      <c r="AF75" s="57">
        <v>2.1711999999999998</v>
      </c>
      <c r="AG75" s="57">
        <v>0.2208</v>
      </c>
      <c r="AH75" s="57">
        <v>0.33210000000000001</v>
      </c>
      <c r="AI75" s="153">
        <v>8.7999999999999995E-2</v>
      </c>
      <c r="AJ75" s="153">
        <v>0.1079</v>
      </c>
      <c r="AK75" s="153">
        <v>5.7200000000000001E-2</v>
      </c>
      <c r="AL75" s="57">
        <v>0.1744</v>
      </c>
      <c r="AM75" s="153">
        <v>3.3799999999999997E-2</v>
      </c>
      <c r="AN75" s="57">
        <v>0</v>
      </c>
      <c r="AO75" s="153">
        <v>2.0819999999999999</v>
      </c>
      <c r="AP75" s="57">
        <v>1.2501</v>
      </c>
      <c r="AQ75" s="57">
        <v>8.9499999999999996E-2</v>
      </c>
      <c r="AR75" s="153">
        <v>0.64419999999999999</v>
      </c>
      <c r="AS75" s="57">
        <v>5.91E-2</v>
      </c>
      <c r="AT75" s="57">
        <v>9.5999999999999992E-3</v>
      </c>
      <c r="AU75" s="153">
        <v>0.2455</v>
      </c>
      <c r="AV75" s="153">
        <v>0</v>
      </c>
      <c r="AW75" s="154">
        <v>9.5640999999999998</v>
      </c>
      <c r="AX75" s="58">
        <v>0.47820000000000001</v>
      </c>
      <c r="AY75" s="155">
        <f t="shared" si="81"/>
        <v>0.47370000000000001</v>
      </c>
      <c r="AZ75" s="155">
        <f t="shared" si="82"/>
        <v>4.500000000000004E-3</v>
      </c>
      <c r="BA75" s="14">
        <v>10.042299999999999</v>
      </c>
      <c r="BB75" s="59">
        <f>BA75-'[1]Тариф 26 свод без  ПДВ'!AU75</f>
        <v>-1.5000000000000568E-3</v>
      </c>
      <c r="BC75" s="57">
        <v>0</v>
      </c>
      <c r="BD75" s="57">
        <v>0</v>
      </c>
      <c r="BE75" s="57">
        <v>0</v>
      </c>
      <c r="BF75" s="156">
        <v>9.5640999999999998</v>
      </c>
      <c r="BG75" s="59">
        <v>0.47820000000000001</v>
      </c>
      <c r="BH75" s="59"/>
      <c r="BI75" s="59"/>
      <c r="BJ75" s="14">
        <v>10.042299999999999</v>
      </c>
      <c r="BK75" s="60"/>
      <c r="BL75" s="60">
        <v>5.3423000000000007</v>
      </c>
      <c r="BM75" s="60">
        <v>0.2671</v>
      </c>
      <c r="BN75" s="14">
        <v>5.6094000000000008</v>
      </c>
      <c r="BO75" s="14"/>
      <c r="BP75" s="157"/>
      <c r="BQ75" s="158">
        <f>BJ75-'[1]Тариф 26 свод без  ПДВ'!BG75</f>
        <v>-1.5000000000000568E-3</v>
      </c>
      <c r="BR75" s="77">
        <f>'[1]Тариф 26 свод без  ПДВ'!BG75</f>
        <v>10.043799999999999</v>
      </c>
      <c r="BS75" s="159">
        <f t="shared" si="83"/>
        <v>-1.5000000000000568E-3</v>
      </c>
      <c r="BU75" s="77">
        <f>'[1]Тариф 26 свод без  ПДВ'!AU75</f>
        <v>10.043799999999999</v>
      </c>
      <c r="BV75" s="159">
        <f t="shared" si="84"/>
        <v>-1.5000000000000568E-3</v>
      </c>
      <c r="BX75" s="95">
        <v>4.6387</v>
      </c>
      <c r="BY75" s="95">
        <v>4.6387</v>
      </c>
      <c r="BZ75" s="95"/>
      <c r="CA75" s="62">
        <f t="shared" si="85"/>
        <v>2.1648953370556403</v>
      </c>
      <c r="CB75" s="62">
        <f t="shared" si="86"/>
        <v>2.1648953370556403</v>
      </c>
      <c r="CI75" s="160">
        <f>'[1]0 СВОД'!AYY90</f>
        <v>27307.152761066343</v>
      </c>
      <c r="CJ75" s="77">
        <f t="shared" si="87"/>
        <v>327685.83313279611</v>
      </c>
      <c r="CM75" s="161">
        <v>73</v>
      </c>
      <c r="CN75" s="162" t="s">
        <v>594</v>
      </c>
      <c r="CO75" s="163">
        <v>5</v>
      </c>
      <c r="CP75" s="163">
        <v>4</v>
      </c>
      <c r="CQ75" s="164" t="s">
        <v>71</v>
      </c>
      <c r="CR75" s="165" t="s">
        <v>49</v>
      </c>
      <c r="CS75" s="166">
        <v>2715.98</v>
      </c>
      <c r="CT75" s="166">
        <v>0</v>
      </c>
      <c r="CU75" s="167">
        <v>0</v>
      </c>
      <c r="CV75" s="168">
        <v>2715.98</v>
      </c>
      <c r="CW75" s="166">
        <v>2715.98</v>
      </c>
      <c r="CX75" s="167">
        <v>0</v>
      </c>
      <c r="CY75" s="166">
        <v>0</v>
      </c>
      <c r="CZ75" s="166"/>
      <c r="DA75" s="166">
        <v>2715.98</v>
      </c>
      <c r="DB75" s="166"/>
      <c r="DC75" s="166">
        <v>0</v>
      </c>
      <c r="DD75" s="59">
        <v>0.16339999999999999</v>
      </c>
      <c r="DE75" s="59">
        <v>0.15229999999999999</v>
      </c>
      <c r="DF75" s="59">
        <v>0.21229999999999999</v>
      </c>
      <c r="DG75" s="59">
        <v>4.3999999999999997E-2</v>
      </c>
      <c r="DH75" s="59">
        <v>1.11E-2</v>
      </c>
      <c r="DI75" s="59">
        <v>0.2203</v>
      </c>
      <c r="DJ75" s="59">
        <v>4.8099999999999997E-2</v>
      </c>
      <c r="DK75" s="59">
        <v>0.3458</v>
      </c>
      <c r="DL75" s="169">
        <v>0</v>
      </c>
      <c r="DM75" s="59">
        <v>0.10630000000000001</v>
      </c>
      <c r="DN75" s="169">
        <v>0</v>
      </c>
      <c r="DO75" s="170">
        <v>1.1482999999999999</v>
      </c>
      <c r="DP75" s="171">
        <f t="shared" si="88"/>
        <v>2.1711999999999998</v>
      </c>
      <c r="DQ75" s="59">
        <v>0.1065</v>
      </c>
      <c r="DR75" s="59">
        <v>0.19889999999999999</v>
      </c>
      <c r="DS75" s="59">
        <v>2.29E-2</v>
      </c>
      <c r="DT75" s="59">
        <v>5.0900000000000001E-2</v>
      </c>
      <c r="DU75" s="59">
        <v>2.41E-2</v>
      </c>
      <c r="DV75" s="59">
        <v>6.08E-2</v>
      </c>
      <c r="DW75" s="59">
        <v>9.2999999999999992E-3</v>
      </c>
      <c r="DX75" s="169">
        <v>0</v>
      </c>
      <c r="DY75" s="59">
        <v>1.1244000000000001</v>
      </c>
      <c r="DZ75" s="171">
        <f t="shared" si="89"/>
        <v>1.8516542155816433</v>
      </c>
      <c r="EA75" s="59">
        <v>0.75180000000000002</v>
      </c>
      <c r="EB75" s="171">
        <f t="shared" si="90"/>
        <v>1.7818568768289438</v>
      </c>
      <c r="EC75" s="59">
        <v>0.3987</v>
      </c>
      <c r="ED75" s="171">
        <f t="shared" si="91"/>
        <v>1.6157511913719589</v>
      </c>
      <c r="EE75" s="59">
        <v>4.53E-2</v>
      </c>
      <c r="EF75" s="59">
        <v>6.3E-3</v>
      </c>
      <c r="EG75" s="59">
        <v>0.2339</v>
      </c>
      <c r="EH75" s="59">
        <v>0</v>
      </c>
      <c r="EI75" s="208">
        <v>0.1371</v>
      </c>
      <c r="EJ75" s="172">
        <v>5.6228000000000007</v>
      </c>
      <c r="EK75" s="173"/>
      <c r="EL75" s="169">
        <v>0</v>
      </c>
      <c r="EM75" s="169">
        <v>0</v>
      </c>
      <c r="EN75" s="59"/>
      <c r="EO75" s="172"/>
      <c r="ES75" s="57">
        <f t="shared" si="101"/>
        <v>5.6228000000000007</v>
      </c>
      <c r="ET75" s="57">
        <f t="shared" si="102"/>
        <v>0</v>
      </c>
      <c r="EU75" s="31"/>
      <c r="EV75" s="61">
        <f t="shared" si="92"/>
        <v>1.785996300775414</v>
      </c>
      <c r="EW75" s="62"/>
      <c r="EX75" s="158">
        <f t="shared" ref="EX75:EX80" si="123">ES75*1.305-BA75</f>
        <v>-2.7045459999999988</v>
      </c>
      <c r="EY75" s="77">
        <f t="shared" ref="EY75:EY80" si="124">ES75*1.344</f>
        <v>7.5570432000000016</v>
      </c>
      <c r="EZ75" s="158">
        <f t="shared" si="93"/>
        <v>10.042299999999999</v>
      </c>
      <c r="FA75" s="158">
        <f t="shared" si="94"/>
        <v>10.042299999999999</v>
      </c>
      <c r="FH75" s="174">
        <f t="shared" si="103"/>
        <v>27307.223005999997</v>
      </c>
      <c r="FJ75" s="87">
        <v>1.3418937184320974</v>
      </c>
      <c r="FK75" s="176">
        <f t="shared" si="104"/>
        <v>1.3309521285055401</v>
      </c>
      <c r="FM75" s="87" t="e">
        <f t="shared" si="105"/>
        <v>#DIV/0!</v>
      </c>
      <c r="FO75" s="88">
        <f t="shared" si="95"/>
        <v>27307.223005999997</v>
      </c>
      <c r="FP75" s="79">
        <f t="shared" si="96"/>
        <v>0</v>
      </c>
      <c r="FS75" s="79">
        <f t="shared" si="97"/>
        <v>15289.630216000001</v>
      </c>
      <c r="FT75" s="79">
        <f t="shared" si="98"/>
        <v>0</v>
      </c>
      <c r="FU75" s="79">
        <f t="shared" si="106"/>
        <v>1.785996300775414</v>
      </c>
      <c r="FV75" s="79" t="e">
        <f t="shared" si="106"/>
        <v>#DIV/0!</v>
      </c>
      <c r="FY75" s="79">
        <f t="shared" si="107"/>
        <v>27307.223005999997</v>
      </c>
      <c r="FZ75" s="79">
        <f t="shared" si="108"/>
        <v>0</v>
      </c>
      <c r="GB75" s="178">
        <f t="shared" si="109"/>
        <v>2719.22</v>
      </c>
      <c r="GC75" s="178">
        <f t="shared" si="110"/>
        <v>0</v>
      </c>
      <c r="GG75" s="14">
        <v>7.9077999999999991</v>
      </c>
      <c r="GH75" s="175">
        <f t="shared" si="111"/>
        <v>1.2699233668023977</v>
      </c>
      <c r="GI75" s="14">
        <v>7.9077999999999991</v>
      </c>
      <c r="GJ75" s="175">
        <f t="shared" si="112"/>
        <v>1.2699233668023977</v>
      </c>
      <c r="GK75" s="175">
        <f t="shared" ref="GK75:GK80" si="125">GH75-GJ75</f>
        <v>0</v>
      </c>
      <c r="GN75" s="14">
        <v>10.223500000000001</v>
      </c>
      <c r="GO75" s="175">
        <f t="shared" si="113"/>
        <v>1.2928374516300365</v>
      </c>
      <c r="GP75" s="179">
        <f t="shared" si="114"/>
        <v>0.98227612852741208</v>
      </c>
      <c r="GQ75" s="14">
        <v>10.223500000000001</v>
      </c>
      <c r="GR75" s="175">
        <f t="shared" si="115"/>
        <v>1.2928374516300365</v>
      </c>
      <c r="GS75" s="175">
        <f t="shared" si="116"/>
        <v>0.98227612852741208</v>
      </c>
      <c r="GV75" s="32">
        <f t="shared" si="117"/>
        <v>27307.223005999997</v>
      </c>
      <c r="GW75" s="32">
        <f t="shared" si="118"/>
        <v>0</v>
      </c>
      <c r="GX75" s="180">
        <f t="shared" si="119"/>
        <v>27307.223005999997</v>
      </c>
      <c r="GZ75" s="32">
        <f t="shared" si="120"/>
        <v>10.042299999999999</v>
      </c>
      <c r="HA75" s="32" t="e">
        <f t="shared" si="121"/>
        <v>#DIV/0!</v>
      </c>
      <c r="HB75" s="32">
        <f t="shared" si="122"/>
        <v>10.042299999999999</v>
      </c>
    </row>
    <row r="76" spans="1:210" ht="19.2" customHeight="1" x14ac:dyDescent="0.3">
      <c r="A76" s="50">
        <v>68</v>
      </c>
      <c r="B76" s="51" t="s">
        <v>595</v>
      </c>
      <c r="C76" s="150" t="s">
        <v>581</v>
      </c>
      <c r="D76" s="52">
        <v>5</v>
      </c>
      <c r="E76" s="52">
        <v>6</v>
      </c>
      <c r="F76" s="63">
        <v>93</v>
      </c>
      <c r="G76" s="54" t="s">
        <v>72</v>
      </c>
      <c r="H76" s="181" t="s">
        <v>49</v>
      </c>
      <c r="I76" s="55">
        <f t="shared" si="99"/>
        <v>4605.0600000000004</v>
      </c>
      <c r="J76" s="55">
        <f t="shared" si="79"/>
        <v>0</v>
      </c>
      <c r="K76" s="55">
        <f t="shared" si="80"/>
        <v>0</v>
      </c>
      <c r="L76" s="56">
        <v>4605.0600000000004</v>
      </c>
      <c r="M76" s="56">
        <v>4605.0600000000004</v>
      </c>
      <c r="N76" s="56">
        <f t="shared" si="100"/>
        <v>4605.0600000000004</v>
      </c>
      <c r="O76" s="56">
        <v>0</v>
      </c>
      <c r="P76" s="56">
        <v>0</v>
      </c>
      <c r="Q76" s="55"/>
      <c r="R76" s="55">
        <v>4605.0600000000004</v>
      </c>
      <c r="S76" s="55"/>
      <c r="T76" s="55">
        <v>0</v>
      </c>
      <c r="U76" s="152">
        <v>4605.0600000000004</v>
      </c>
      <c r="V76" s="57">
        <v>0.14929999999999999</v>
      </c>
      <c r="W76" s="153">
        <v>8.2199999999999995E-2</v>
      </c>
      <c r="X76" s="57">
        <v>0.33379999999999999</v>
      </c>
      <c r="Y76" s="57">
        <v>7.3999999999999996E-2</v>
      </c>
      <c r="Z76" s="153">
        <v>3.9100000000000003E-2</v>
      </c>
      <c r="AA76" s="57">
        <v>0.57599999999999996</v>
      </c>
      <c r="AB76" s="153">
        <v>0</v>
      </c>
      <c r="AC76" s="57">
        <v>0.63149999999999995</v>
      </c>
      <c r="AD76" s="57">
        <v>0.1545</v>
      </c>
      <c r="AE76" s="57">
        <v>0</v>
      </c>
      <c r="AF76" s="57">
        <v>2.4925999999999999</v>
      </c>
      <c r="AG76" s="57">
        <v>0.1991</v>
      </c>
      <c r="AH76" s="57">
        <v>0.29160000000000003</v>
      </c>
      <c r="AI76" s="153">
        <v>9.1800000000000007E-2</v>
      </c>
      <c r="AJ76" s="153">
        <v>9.2600000000000002E-2</v>
      </c>
      <c r="AK76" s="153">
        <v>7.5899999999999995E-2</v>
      </c>
      <c r="AL76" s="57">
        <v>0.21429999999999999</v>
      </c>
      <c r="AM76" s="153">
        <v>3.1699999999999999E-2</v>
      </c>
      <c r="AN76" s="57">
        <v>0</v>
      </c>
      <c r="AO76" s="153">
        <v>1.5170999999999999</v>
      </c>
      <c r="AP76" s="57">
        <v>1.0330999999999999</v>
      </c>
      <c r="AQ76" s="57">
        <v>9.1999999999999998E-2</v>
      </c>
      <c r="AR76" s="153">
        <v>0.60129999999999995</v>
      </c>
      <c r="AS76" s="57">
        <v>5.67E-2</v>
      </c>
      <c r="AT76" s="57">
        <v>9.1999999999999998E-3</v>
      </c>
      <c r="AU76" s="153">
        <v>0.2203</v>
      </c>
      <c r="AV76" s="153">
        <v>0</v>
      </c>
      <c r="AW76" s="154">
        <v>9.0596999999999976</v>
      </c>
      <c r="AX76" s="58">
        <v>0.45300000000000001</v>
      </c>
      <c r="AY76" s="155">
        <f t="shared" si="81"/>
        <v>0.44840000000000002</v>
      </c>
      <c r="AZ76" s="155">
        <f t="shared" si="82"/>
        <v>4.599999999999993E-3</v>
      </c>
      <c r="BA76" s="14">
        <v>9.512699999999997</v>
      </c>
      <c r="BB76" s="59">
        <f>BA76-'[1]Тариф 26 свод без  ПДВ'!AU76</f>
        <v>-3.1000000000034333E-3</v>
      </c>
      <c r="BC76" s="57">
        <v>0</v>
      </c>
      <c r="BD76" s="57">
        <v>0</v>
      </c>
      <c r="BE76" s="57">
        <v>0</v>
      </c>
      <c r="BF76" s="156">
        <v>9.0596999999999976</v>
      </c>
      <c r="BG76" s="59">
        <v>0.45300000000000001</v>
      </c>
      <c r="BH76" s="59"/>
      <c r="BI76" s="59"/>
      <c r="BJ76" s="14">
        <v>9.512699999999997</v>
      </c>
      <c r="BK76" s="60"/>
      <c r="BL76" s="60">
        <v>5.6878999999999973</v>
      </c>
      <c r="BM76" s="60">
        <v>0.28439999999999999</v>
      </c>
      <c r="BN76" s="14">
        <v>5.9722999999999971</v>
      </c>
      <c r="BO76" s="14"/>
      <c r="BP76" s="157"/>
      <c r="BQ76" s="158">
        <f>BJ76-'[1]Тариф 26 свод без  ПДВ'!BG76</f>
        <v>-3.1000000000034333E-3</v>
      </c>
      <c r="BR76" s="77">
        <f>'[1]Тариф 26 свод без  ПДВ'!BG76</f>
        <v>9.5158000000000005</v>
      </c>
      <c r="BS76" s="159">
        <f t="shared" si="83"/>
        <v>-3.1000000000034333E-3</v>
      </c>
      <c r="BU76" s="77">
        <f>'[1]Тариф 26 свод без  ПДВ'!AU76</f>
        <v>9.5158000000000005</v>
      </c>
      <c r="BV76" s="159">
        <f t="shared" si="84"/>
        <v>-3.1000000000034333E-3</v>
      </c>
      <c r="BX76" s="95">
        <v>4.7124000000000006</v>
      </c>
      <c r="BY76" s="95">
        <v>4.7124000000000006</v>
      </c>
      <c r="BZ76" s="95"/>
      <c r="CA76" s="62">
        <f t="shared" si="85"/>
        <v>2.0186529157117383</v>
      </c>
      <c r="CB76" s="62">
        <f t="shared" si="86"/>
        <v>2.0186529157117383</v>
      </c>
      <c r="CI76" s="160">
        <f>'[1]0 СВОД'!AYY91</f>
        <v>43806.444492073264</v>
      </c>
      <c r="CJ76" s="77">
        <f t="shared" si="87"/>
        <v>525677.33390487917</v>
      </c>
      <c r="CM76" s="161">
        <v>74</v>
      </c>
      <c r="CN76" s="162" t="s">
        <v>596</v>
      </c>
      <c r="CO76" s="163">
        <v>5</v>
      </c>
      <c r="CP76" s="163">
        <v>6</v>
      </c>
      <c r="CQ76" s="164" t="s">
        <v>72</v>
      </c>
      <c r="CR76" s="165" t="s">
        <v>49</v>
      </c>
      <c r="CS76" s="166">
        <v>4609.7299999999996</v>
      </c>
      <c r="CT76" s="166">
        <v>0</v>
      </c>
      <c r="CU76" s="167">
        <v>0</v>
      </c>
      <c r="CV76" s="168">
        <v>4609.7299999999996</v>
      </c>
      <c r="CW76" s="166">
        <v>4609.7299999999996</v>
      </c>
      <c r="CX76" s="167">
        <v>0</v>
      </c>
      <c r="CY76" s="166">
        <v>0</v>
      </c>
      <c r="CZ76" s="166"/>
      <c r="DA76" s="166">
        <v>4609.7299999999996</v>
      </c>
      <c r="DB76" s="166"/>
      <c r="DC76" s="166">
        <v>0</v>
      </c>
      <c r="DD76" s="59">
        <v>0.14599999999999999</v>
      </c>
      <c r="DE76" s="59">
        <v>0.13370000000000001</v>
      </c>
      <c r="DF76" s="59">
        <v>0.21929999999999999</v>
      </c>
      <c r="DG76" s="59">
        <v>4.3400000000000001E-2</v>
      </c>
      <c r="DH76" s="59">
        <v>1.47E-2</v>
      </c>
      <c r="DI76" s="59">
        <v>0.25330000000000003</v>
      </c>
      <c r="DJ76" s="59">
        <v>4.8099999999999997E-2</v>
      </c>
      <c r="DK76" s="59">
        <v>0.3458</v>
      </c>
      <c r="DL76" s="169">
        <v>0</v>
      </c>
      <c r="DM76" s="59">
        <v>9.4E-2</v>
      </c>
      <c r="DN76" s="169">
        <v>0</v>
      </c>
      <c r="DO76" s="170">
        <v>1.4073</v>
      </c>
      <c r="DP76" s="171">
        <f t="shared" si="88"/>
        <v>2.4925999999999999</v>
      </c>
      <c r="DQ76" s="59">
        <v>9.4700000000000006E-2</v>
      </c>
      <c r="DR76" s="59">
        <v>0.17460000000000001</v>
      </c>
      <c r="DS76" s="59">
        <v>2.3900000000000001E-2</v>
      </c>
      <c r="DT76" s="59">
        <v>4.36E-2</v>
      </c>
      <c r="DU76" s="59">
        <v>3.2000000000000001E-2</v>
      </c>
      <c r="DV76" s="59">
        <v>7.4800000000000005E-2</v>
      </c>
      <c r="DW76" s="59">
        <v>8.3000000000000001E-3</v>
      </c>
      <c r="DX76" s="169">
        <v>0</v>
      </c>
      <c r="DY76" s="59">
        <v>0.83940000000000003</v>
      </c>
      <c r="DZ76" s="171">
        <f t="shared" si="89"/>
        <v>1.8073624017155108</v>
      </c>
      <c r="EA76" s="59">
        <v>0.62770000000000004</v>
      </c>
      <c r="EB76" s="171">
        <f t="shared" si="90"/>
        <v>1.7924167595985343</v>
      </c>
      <c r="EC76" s="59">
        <v>0.37519999999999998</v>
      </c>
      <c r="ED76" s="171">
        <f t="shared" si="91"/>
        <v>1.6026119402985075</v>
      </c>
      <c r="EE76" s="59">
        <v>4.3299999999999998E-2</v>
      </c>
      <c r="EF76" s="59">
        <v>6.0000000000000001E-3</v>
      </c>
      <c r="EG76" s="59">
        <v>0.1641</v>
      </c>
      <c r="EH76" s="59">
        <v>0</v>
      </c>
      <c r="EI76" s="208">
        <v>0.1303</v>
      </c>
      <c r="EJ76" s="172">
        <v>5.3435000000000015</v>
      </c>
      <c r="EK76" s="173"/>
      <c r="EL76" s="169">
        <v>0</v>
      </c>
      <c r="EM76" s="169">
        <v>0</v>
      </c>
      <c r="EN76" s="59"/>
      <c r="EO76" s="172"/>
      <c r="ES76" s="57">
        <f t="shared" si="101"/>
        <v>5.3435000000000015</v>
      </c>
      <c r="ET76" s="57">
        <f t="shared" si="102"/>
        <v>0</v>
      </c>
      <c r="EU76" s="31"/>
      <c r="EV76" s="61">
        <f t="shared" si="92"/>
        <v>1.7802376719378674</v>
      </c>
      <c r="EW76" s="62"/>
      <c r="EX76" s="158">
        <f t="shared" si="123"/>
        <v>-2.5394324999999958</v>
      </c>
      <c r="EY76" s="77">
        <f t="shared" si="124"/>
        <v>7.1816640000000023</v>
      </c>
      <c r="EZ76" s="158">
        <f t="shared" si="93"/>
        <v>9.512699999999997</v>
      </c>
      <c r="FA76" s="158">
        <f t="shared" si="94"/>
        <v>9.512699999999997</v>
      </c>
      <c r="FH76" s="174">
        <f t="shared" si="103"/>
        <v>43806.554261999991</v>
      </c>
      <c r="FJ76" s="87">
        <v>1.3465144568166927</v>
      </c>
      <c r="FK76" s="176">
        <f t="shared" si="104"/>
        <v>1.3221081013467495</v>
      </c>
      <c r="FM76" s="87" t="e">
        <f t="shared" si="105"/>
        <v>#DIV/0!</v>
      </c>
      <c r="FO76" s="88">
        <f t="shared" si="95"/>
        <v>43806.554261999991</v>
      </c>
      <c r="FP76" s="79">
        <f t="shared" si="96"/>
        <v>0</v>
      </c>
      <c r="FS76" s="79">
        <f t="shared" si="97"/>
        <v>24607.138110000007</v>
      </c>
      <c r="FT76" s="79">
        <f t="shared" si="98"/>
        <v>0</v>
      </c>
      <c r="FU76" s="79">
        <f t="shared" si="106"/>
        <v>1.7802376719378676</v>
      </c>
      <c r="FV76" s="79" t="e">
        <f t="shared" si="106"/>
        <v>#DIV/0!</v>
      </c>
      <c r="FY76" s="79">
        <f t="shared" si="107"/>
        <v>43806.554261999991</v>
      </c>
      <c r="FZ76" s="79">
        <f t="shared" si="108"/>
        <v>0</v>
      </c>
      <c r="GB76" s="178">
        <f t="shared" si="109"/>
        <v>4605.0600000000004</v>
      </c>
      <c r="GC76" s="178">
        <f t="shared" si="110"/>
        <v>0</v>
      </c>
      <c r="GG76" s="14">
        <v>7.4907000000000004</v>
      </c>
      <c r="GH76" s="175">
        <f t="shared" si="111"/>
        <v>1.2699347190516235</v>
      </c>
      <c r="GI76" s="14">
        <v>7.4907000000000004</v>
      </c>
      <c r="GJ76" s="175">
        <f t="shared" si="112"/>
        <v>1.2699347190516235</v>
      </c>
      <c r="GK76" s="175">
        <f t="shared" si="125"/>
        <v>0</v>
      </c>
      <c r="GN76" s="14">
        <v>9.7603000000000009</v>
      </c>
      <c r="GO76" s="175">
        <f t="shared" si="113"/>
        <v>1.3029890397426143</v>
      </c>
      <c r="GP76" s="179">
        <f t="shared" si="114"/>
        <v>0.97463192729731629</v>
      </c>
      <c r="GQ76" s="14">
        <v>9.7603000000000009</v>
      </c>
      <c r="GR76" s="175">
        <f t="shared" si="115"/>
        <v>1.3029890397426143</v>
      </c>
      <c r="GS76" s="175">
        <f t="shared" si="116"/>
        <v>0.97463192729731629</v>
      </c>
      <c r="GV76" s="32">
        <f t="shared" si="117"/>
        <v>43806.554261999991</v>
      </c>
      <c r="GW76" s="32">
        <f t="shared" si="118"/>
        <v>0</v>
      </c>
      <c r="GX76" s="180">
        <f t="shared" si="119"/>
        <v>43806.554261999991</v>
      </c>
      <c r="GZ76" s="32">
        <f t="shared" si="120"/>
        <v>9.512699999999997</v>
      </c>
      <c r="HA76" s="32" t="e">
        <f t="shared" si="121"/>
        <v>#DIV/0!</v>
      </c>
      <c r="HB76" s="32">
        <f t="shared" si="122"/>
        <v>9.512699999999997</v>
      </c>
    </row>
    <row r="77" spans="1:210" ht="19.2" customHeight="1" x14ac:dyDescent="0.3">
      <c r="A77" s="50">
        <v>69</v>
      </c>
      <c r="B77" s="51" t="s">
        <v>597</v>
      </c>
      <c r="C77" s="150" t="s">
        <v>581</v>
      </c>
      <c r="D77" s="52">
        <v>5</v>
      </c>
      <c r="E77" s="52">
        <v>4</v>
      </c>
      <c r="F77" s="63">
        <v>60</v>
      </c>
      <c r="G77" s="54" t="s">
        <v>73</v>
      </c>
      <c r="H77" s="181" t="s">
        <v>49</v>
      </c>
      <c r="I77" s="55">
        <f t="shared" si="99"/>
        <v>2889.8</v>
      </c>
      <c r="J77" s="55">
        <f t="shared" si="79"/>
        <v>0</v>
      </c>
      <c r="K77" s="55">
        <f t="shared" si="80"/>
        <v>0</v>
      </c>
      <c r="L77" s="56">
        <v>2889.8</v>
      </c>
      <c r="M77" s="56">
        <v>2889.8</v>
      </c>
      <c r="N77" s="56">
        <f t="shared" si="100"/>
        <v>2889.8</v>
      </c>
      <c r="O77" s="56">
        <v>0</v>
      </c>
      <c r="P77" s="56">
        <v>0</v>
      </c>
      <c r="Q77" s="55"/>
      <c r="R77" s="55">
        <v>2889.8</v>
      </c>
      <c r="S77" s="55"/>
      <c r="T77" s="55">
        <v>0</v>
      </c>
      <c r="U77" s="152">
        <v>2889.8</v>
      </c>
      <c r="V77" s="57">
        <v>0.159</v>
      </c>
      <c r="W77" s="153">
        <v>8.8200000000000001E-2</v>
      </c>
      <c r="X77" s="57">
        <v>0.32469999999999999</v>
      </c>
      <c r="Y77" s="57">
        <v>7.5300000000000006E-2</v>
      </c>
      <c r="Z77" s="153">
        <v>2.7699999999999999E-2</v>
      </c>
      <c r="AA77" s="57">
        <v>0.47599999999999998</v>
      </c>
      <c r="AB77" s="153">
        <v>0</v>
      </c>
      <c r="AC77" s="57">
        <v>0.63149999999999995</v>
      </c>
      <c r="AD77" s="57">
        <v>0.16420000000000001</v>
      </c>
      <c r="AE77" s="57">
        <v>0</v>
      </c>
      <c r="AF77" s="57">
        <v>1.4706999999999999</v>
      </c>
      <c r="AG77" s="57">
        <v>0.21079999999999999</v>
      </c>
      <c r="AH77" s="57">
        <v>0.31259999999999999</v>
      </c>
      <c r="AI77" s="153">
        <v>0.09</v>
      </c>
      <c r="AJ77" s="153">
        <v>0.1104</v>
      </c>
      <c r="AK77" s="153">
        <v>5.3800000000000001E-2</v>
      </c>
      <c r="AL77" s="57">
        <v>0.1641</v>
      </c>
      <c r="AM77" s="153">
        <v>3.27E-2</v>
      </c>
      <c r="AN77" s="57">
        <v>0</v>
      </c>
      <c r="AO77" s="153">
        <v>2.9523000000000001</v>
      </c>
      <c r="AP77" s="57">
        <v>1.1763999999999999</v>
      </c>
      <c r="AQ77" s="57">
        <v>9.1800000000000007E-2</v>
      </c>
      <c r="AR77" s="153">
        <v>0.61409999999999998</v>
      </c>
      <c r="AS77" s="57">
        <v>4.82E-2</v>
      </c>
      <c r="AT77" s="57">
        <v>7.7999999999999996E-3</v>
      </c>
      <c r="AU77" s="153">
        <v>0.24</v>
      </c>
      <c r="AV77" s="153">
        <v>0</v>
      </c>
      <c r="AW77" s="154">
        <v>9.5222999999999995</v>
      </c>
      <c r="AX77" s="58">
        <v>0.47610000000000002</v>
      </c>
      <c r="AY77" s="155">
        <f t="shared" si="81"/>
        <v>0.47149999999999997</v>
      </c>
      <c r="AZ77" s="155">
        <f t="shared" si="82"/>
        <v>4.6000000000000485E-3</v>
      </c>
      <c r="BA77" s="14">
        <v>9.9984000000000002</v>
      </c>
      <c r="BB77" s="59">
        <f>BA77-'[1]Тариф 26 свод без  ПДВ'!AU77</f>
        <v>-3.8000000000000256E-3</v>
      </c>
      <c r="BC77" s="57">
        <v>0</v>
      </c>
      <c r="BD77" s="57">
        <v>0</v>
      </c>
      <c r="BE77" s="57">
        <v>0</v>
      </c>
      <c r="BF77" s="156">
        <v>9.5222999999999995</v>
      </c>
      <c r="BG77" s="59">
        <v>0.47610000000000002</v>
      </c>
      <c r="BH77" s="59"/>
      <c r="BI77" s="59"/>
      <c r="BJ77" s="14">
        <v>9.9984000000000002</v>
      </c>
      <c r="BK77" s="60"/>
      <c r="BL77" s="60">
        <v>4.5394999999999985</v>
      </c>
      <c r="BM77" s="60">
        <v>0.22700000000000001</v>
      </c>
      <c r="BN77" s="14">
        <v>4.7664999999999988</v>
      </c>
      <c r="BO77" s="14"/>
      <c r="BP77" s="157"/>
      <c r="BQ77" s="158">
        <f>BJ77-'[1]Тариф 26 свод без  ПДВ'!BG77</f>
        <v>-3.8000000000000256E-3</v>
      </c>
      <c r="BR77" s="77">
        <f>'[1]Тариф 26 свод без  ПДВ'!BG77</f>
        <v>10.0022</v>
      </c>
      <c r="BS77" s="159">
        <f t="shared" si="83"/>
        <v>-3.8000000000000256E-3</v>
      </c>
      <c r="BU77" s="77">
        <f>'[1]Тариф 26 свод без  ПДВ'!AU77</f>
        <v>10.0022</v>
      </c>
      <c r="BV77" s="159">
        <f t="shared" si="84"/>
        <v>-3.8000000000000256E-3</v>
      </c>
      <c r="BX77" s="95">
        <v>4.6503000000000005</v>
      </c>
      <c r="BY77" s="95">
        <v>4.6503000000000005</v>
      </c>
      <c r="BZ77" s="95"/>
      <c r="CA77" s="62">
        <f t="shared" si="85"/>
        <v>2.150054835171924</v>
      </c>
      <c r="CB77" s="62">
        <f t="shared" si="86"/>
        <v>2.150054835171924</v>
      </c>
      <c r="CI77" s="160">
        <f>'[1]0 СВОД'!AYY92</f>
        <v>28893.146001410634</v>
      </c>
      <c r="CJ77" s="77">
        <f t="shared" si="87"/>
        <v>346717.75201692758</v>
      </c>
      <c r="CM77" s="161">
        <v>75</v>
      </c>
      <c r="CN77" s="162" t="s">
        <v>598</v>
      </c>
      <c r="CO77" s="163">
        <v>5</v>
      </c>
      <c r="CP77" s="163">
        <v>4</v>
      </c>
      <c r="CQ77" s="164" t="s">
        <v>73</v>
      </c>
      <c r="CR77" s="165" t="s">
        <v>49</v>
      </c>
      <c r="CS77" s="166">
        <v>2885.2</v>
      </c>
      <c r="CT77" s="166">
        <v>0</v>
      </c>
      <c r="CU77" s="167">
        <v>0</v>
      </c>
      <c r="CV77" s="168">
        <v>2885.2</v>
      </c>
      <c r="CW77" s="166">
        <v>2885.2</v>
      </c>
      <c r="CX77" s="167">
        <v>0</v>
      </c>
      <c r="CY77" s="166">
        <v>0</v>
      </c>
      <c r="CZ77" s="166"/>
      <c r="DA77" s="166">
        <v>2885.2</v>
      </c>
      <c r="DB77" s="166"/>
      <c r="DC77" s="166">
        <v>0</v>
      </c>
      <c r="DD77" s="59">
        <v>0.15629999999999999</v>
      </c>
      <c r="DE77" s="59">
        <v>0.1434</v>
      </c>
      <c r="DF77" s="59">
        <v>0.21379999999999999</v>
      </c>
      <c r="DG77" s="59">
        <v>4.4400000000000002E-2</v>
      </c>
      <c r="DH77" s="59">
        <v>1.04E-2</v>
      </c>
      <c r="DI77" s="59">
        <v>0.2074</v>
      </c>
      <c r="DJ77" s="59">
        <v>4.8099999999999997E-2</v>
      </c>
      <c r="DK77" s="59">
        <v>0.3458</v>
      </c>
      <c r="DL77" s="169">
        <v>0</v>
      </c>
      <c r="DM77" s="59">
        <v>0.10009999999999999</v>
      </c>
      <c r="DN77" s="169">
        <v>0</v>
      </c>
      <c r="DO77" s="170">
        <v>0.90300000000000002</v>
      </c>
      <c r="DP77" s="171">
        <f t="shared" si="88"/>
        <v>1.4706999999999999</v>
      </c>
      <c r="DQ77" s="59">
        <v>0.1017</v>
      </c>
      <c r="DR77" s="59">
        <v>0.18729999999999999</v>
      </c>
      <c r="DS77" s="59">
        <v>2.3400000000000001E-2</v>
      </c>
      <c r="DT77" s="59">
        <v>5.1999999999999998E-2</v>
      </c>
      <c r="DU77" s="59">
        <v>2.2700000000000001E-2</v>
      </c>
      <c r="DV77" s="59">
        <v>5.7200000000000001E-2</v>
      </c>
      <c r="DW77" s="59">
        <v>8.8000000000000005E-3</v>
      </c>
      <c r="DX77" s="169">
        <v>0</v>
      </c>
      <c r="DY77" s="170">
        <v>1.5732999999999999</v>
      </c>
      <c r="DZ77" s="171">
        <f t="shared" si="89"/>
        <v>1.8765016207970511</v>
      </c>
      <c r="EA77" s="59">
        <v>0.70650000000000002</v>
      </c>
      <c r="EB77" s="171">
        <f t="shared" si="90"/>
        <v>1.7950460014154281</v>
      </c>
      <c r="EC77" s="59">
        <v>0.38269999999999998</v>
      </c>
      <c r="ED77" s="171">
        <f t="shared" si="91"/>
        <v>1.6046511627906976</v>
      </c>
      <c r="EE77" s="59">
        <v>3.6999999999999998E-2</v>
      </c>
      <c r="EF77" s="59">
        <v>5.1000000000000004E-3</v>
      </c>
      <c r="EG77" s="59">
        <v>0.12139999999999999</v>
      </c>
      <c r="EH77" s="59">
        <v>0</v>
      </c>
      <c r="EI77" s="208">
        <v>0.1363</v>
      </c>
      <c r="EJ77" s="172">
        <v>5.5880999999999998</v>
      </c>
      <c r="EK77" s="173"/>
      <c r="EL77" s="169">
        <v>0</v>
      </c>
      <c r="EM77" s="169">
        <v>0</v>
      </c>
      <c r="EN77" s="59"/>
      <c r="EO77" s="172"/>
      <c r="ES77" s="57">
        <f t="shared" si="101"/>
        <v>5.5880999999999998</v>
      </c>
      <c r="ET77" s="57">
        <f t="shared" si="102"/>
        <v>0</v>
      </c>
      <c r="EU77" s="31"/>
      <c r="EV77" s="61">
        <f t="shared" si="92"/>
        <v>1.7892306866376766</v>
      </c>
      <c r="EW77" s="182"/>
      <c r="EX77" s="158">
        <f t="shared" si="123"/>
        <v>-2.7059295000000008</v>
      </c>
      <c r="EY77" s="77">
        <f t="shared" si="124"/>
        <v>7.5104063999999999</v>
      </c>
      <c r="EZ77" s="158">
        <f t="shared" si="93"/>
        <v>9.9984000000000002</v>
      </c>
      <c r="FA77" s="158">
        <f t="shared" si="94"/>
        <v>9.9984000000000002</v>
      </c>
      <c r="FH77" s="174">
        <f t="shared" si="103"/>
        <v>28893.376320000003</v>
      </c>
      <c r="FJ77" s="87">
        <v>1.3703942305971617</v>
      </c>
      <c r="FK77" s="176">
        <f t="shared" si="104"/>
        <v>1.3056320923490776</v>
      </c>
      <c r="FM77" s="87" t="e">
        <f t="shared" si="105"/>
        <v>#DIV/0!</v>
      </c>
      <c r="FO77" s="88">
        <f t="shared" si="95"/>
        <v>28893.376320000003</v>
      </c>
      <c r="FP77" s="79">
        <f t="shared" si="96"/>
        <v>0</v>
      </c>
      <c r="FS77" s="79">
        <f t="shared" si="97"/>
        <v>16148.491380000001</v>
      </c>
      <c r="FT77" s="79">
        <f t="shared" si="98"/>
        <v>0</v>
      </c>
      <c r="FU77" s="79">
        <f t="shared" si="106"/>
        <v>1.7892306866376766</v>
      </c>
      <c r="FV77" s="79" t="e">
        <f t="shared" si="106"/>
        <v>#DIV/0!</v>
      </c>
      <c r="FY77" s="79">
        <f t="shared" si="107"/>
        <v>28893.376320000003</v>
      </c>
      <c r="FZ77" s="79">
        <f t="shared" si="108"/>
        <v>0</v>
      </c>
      <c r="GB77" s="178">
        <f t="shared" si="109"/>
        <v>2889.8</v>
      </c>
      <c r="GC77" s="178">
        <f t="shared" si="110"/>
        <v>0</v>
      </c>
      <c r="GG77" s="14">
        <v>7.8732000000000015</v>
      </c>
      <c r="GH77" s="175">
        <f t="shared" si="111"/>
        <v>1.2699283645785702</v>
      </c>
      <c r="GI77" s="14">
        <v>7.8732000000000015</v>
      </c>
      <c r="GJ77" s="175">
        <f t="shared" si="112"/>
        <v>1.2699283645785702</v>
      </c>
      <c r="GK77" s="175">
        <f t="shared" si="125"/>
        <v>0</v>
      </c>
      <c r="GN77" s="14">
        <v>10.401599999999998</v>
      </c>
      <c r="GO77" s="175">
        <f t="shared" si="113"/>
        <v>1.321140070111263</v>
      </c>
      <c r="GP77" s="179">
        <f t="shared" si="114"/>
        <v>0.96123673281033706</v>
      </c>
      <c r="GQ77" s="14">
        <v>10.401599999999998</v>
      </c>
      <c r="GR77" s="175">
        <f t="shared" si="115"/>
        <v>1.321140070111263</v>
      </c>
      <c r="GS77" s="175">
        <f t="shared" si="116"/>
        <v>0.96123673281033706</v>
      </c>
      <c r="GV77" s="32">
        <f t="shared" si="117"/>
        <v>28893.376320000003</v>
      </c>
      <c r="GW77" s="32">
        <f t="shared" si="118"/>
        <v>0</v>
      </c>
      <c r="GX77" s="180">
        <f t="shared" si="119"/>
        <v>28893.376320000003</v>
      </c>
      <c r="GZ77" s="32">
        <f t="shared" si="120"/>
        <v>9.9984000000000002</v>
      </c>
      <c r="HA77" s="32" t="e">
        <f t="shared" si="121"/>
        <v>#DIV/0!</v>
      </c>
      <c r="HB77" s="32">
        <f t="shared" si="122"/>
        <v>9.9984000000000002</v>
      </c>
    </row>
    <row r="78" spans="1:210" ht="19.2" customHeight="1" x14ac:dyDescent="0.3">
      <c r="A78" s="50">
        <v>70</v>
      </c>
      <c r="B78" s="51" t="s">
        <v>599</v>
      </c>
      <c r="C78" s="150" t="s">
        <v>581</v>
      </c>
      <c r="D78" s="52">
        <v>5</v>
      </c>
      <c r="E78" s="52">
        <v>4</v>
      </c>
      <c r="F78" s="63">
        <v>66</v>
      </c>
      <c r="G78" s="54" t="s">
        <v>74</v>
      </c>
      <c r="H78" s="181" t="s">
        <v>49</v>
      </c>
      <c r="I78" s="55">
        <f t="shared" si="99"/>
        <v>2898.5</v>
      </c>
      <c r="J78" s="55">
        <f t="shared" si="79"/>
        <v>0</v>
      </c>
      <c r="K78" s="55">
        <f t="shared" si="80"/>
        <v>0</v>
      </c>
      <c r="L78" s="56">
        <v>2898.5</v>
      </c>
      <c r="M78" s="56">
        <v>2898.5</v>
      </c>
      <c r="N78" s="56">
        <f t="shared" si="100"/>
        <v>2898.5</v>
      </c>
      <c r="O78" s="56">
        <v>0</v>
      </c>
      <c r="P78" s="56">
        <v>0</v>
      </c>
      <c r="Q78" s="55"/>
      <c r="R78" s="55">
        <v>2898.5</v>
      </c>
      <c r="S78" s="55"/>
      <c r="T78" s="55">
        <v>0</v>
      </c>
      <c r="U78" s="152">
        <v>2898.5</v>
      </c>
      <c r="V78" s="57">
        <v>0.1585</v>
      </c>
      <c r="W78" s="153">
        <v>8.7900000000000006E-2</v>
      </c>
      <c r="X78" s="57">
        <v>0.32590000000000002</v>
      </c>
      <c r="Y78" s="57">
        <v>7.4099999999999999E-2</v>
      </c>
      <c r="Z78" s="153">
        <v>2.9600000000000001E-2</v>
      </c>
      <c r="AA78" s="57">
        <v>0.47460000000000002</v>
      </c>
      <c r="AB78" s="153">
        <v>0</v>
      </c>
      <c r="AC78" s="57">
        <v>0.63149999999999995</v>
      </c>
      <c r="AD78" s="57">
        <v>0.16370000000000001</v>
      </c>
      <c r="AE78" s="57">
        <v>0</v>
      </c>
      <c r="AF78" s="57">
        <v>2.0192999999999999</v>
      </c>
      <c r="AG78" s="57">
        <v>0.21010000000000001</v>
      </c>
      <c r="AH78" s="57">
        <v>0.31169999999999998</v>
      </c>
      <c r="AI78" s="153">
        <v>8.8900000000000007E-2</v>
      </c>
      <c r="AJ78" s="153">
        <v>0.1019</v>
      </c>
      <c r="AK78" s="153">
        <v>5.7599999999999998E-2</v>
      </c>
      <c r="AL78" s="57">
        <v>0.1636</v>
      </c>
      <c r="AM78" s="153">
        <v>3.2599999999999997E-2</v>
      </c>
      <c r="AN78" s="57">
        <v>0</v>
      </c>
      <c r="AO78" s="153">
        <v>2.2987000000000002</v>
      </c>
      <c r="AP78" s="57">
        <v>1.0528</v>
      </c>
      <c r="AQ78" s="57">
        <v>9.0899999999999995E-2</v>
      </c>
      <c r="AR78" s="153">
        <v>0.59019999999999995</v>
      </c>
      <c r="AS78" s="57">
        <v>5.5199999999999999E-2</v>
      </c>
      <c r="AT78" s="57">
        <v>8.9999999999999993E-3</v>
      </c>
      <c r="AU78" s="153">
        <v>0.1</v>
      </c>
      <c r="AV78" s="153">
        <v>0</v>
      </c>
      <c r="AW78" s="154">
        <v>9.1282999999999976</v>
      </c>
      <c r="AX78" s="58">
        <v>0.45639999999999997</v>
      </c>
      <c r="AY78" s="155">
        <f t="shared" si="81"/>
        <v>0.45190000000000002</v>
      </c>
      <c r="AZ78" s="155">
        <f t="shared" si="82"/>
        <v>4.4999999999999485E-3</v>
      </c>
      <c r="BA78" s="14">
        <v>9.584699999999998</v>
      </c>
      <c r="BB78" s="59">
        <f>BA78-'[1]Тариф 26 свод без  ПДВ'!AU78</f>
        <v>9.9999999997990585E-5</v>
      </c>
      <c r="BC78" s="57">
        <v>0</v>
      </c>
      <c r="BD78" s="57">
        <v>0</v>
      </c>
      <c r="BE78" s="57">
        <v>0</v>
      </c>
      <c r="BF78" s="156">
        <v>9.1282999999999976</v>
      </c>
      <c r="BG78" s="59">
        <v>0.45639999999999997</v>
      </c>
      <c r="BH78" s="59"/>
      <c r="BI78" s="59"/>
      <c r="BJ78" s="14">
        <v>9.584699999999998</v>
      </c>
      <c r="BK78" s="60"/>
      <c r="BL78" s="60">
        <v>5.0865999999999989</v>
      </c>
      <c r="BM78" s="60">
        <v>0.25430000000000003</v>
      </c>
      <c r="BN78" s="14">
        <v>5.3408999999999986</v>
      </c>
      <c r="BO78" s="14"/>
      <c r="BP78" s="157"/>
      <c r="BQ78" s="158">
        <f>BJ78-'[1]Тариф 26 свод без  ПДВ'!BG78</f>
        <v>9.9999999997990585E-5</v>
      </c>
      <c r="BR78" s="77">
        <f>'[1]Тариф 26 свод без  ПДВ'!BG78</f>
        <v>9.5846</v>
      </c>
      <c r="BS78" s="159">
        <f t="shared" si="83"/>
        <v>9.9999999997990585E-5</v>
      </c>
      <c r="BU78" s="77">
        <f>'[1]Тариф 26 свод без  ПДВ'!AU78</f>
        <v>9.5846</v>
      </c>
      <c r="BV78" s="159">
        <f t="shared" si="84"/>
        <v>9.9999999997990585E-5</v>
      </c>
      <c r="BX78" s="95">
        <v>4.5362</v>
      </c>
      <c r="BY78" s="95">
        <v>4.5362</v>
      </c>
      <c r="BZ78" s="95"/>
      <c r="CA78" s="182">
        <f t="shared" si="85"/>
        <v>2.1129359375688899</v>
      </c>
      <c r="CB78" s="182">
        <f t="shared" si="86"/>
        <v>2.1129359375688899</v>
      </c>
      <c r="CI78" s="160">
        <f>'[1]0 СВОД'!AYY93</f>
        <v>27782.216730227105</v>
      </c>
      <c r="CJ78" s="77">
        <f t="shared" si="87"/>
        <v>333386.60076272523</v>
      </c>
      <c r="CM78" s="161">
        <v>76</v>
      </c>
      <c r="CN78" s="162" t="s">
        <v>600</v>
      </c>
      <c r="CO78" s="163">
        <v>5</v>
      </c>
      <c r="CP78" s="163">
        <v>4</v>
      </c>
      <c r="CQ78" s="164" t="s">
        <v>74</v>
      </c>
      <c r="CR78" s="165" t="s">
        <v>49</v>
      </c>
      <c r="CS78" s="166">
        <v>2895.4</v>
      </c>
      <c r="CT78" s="166">
        <v>0</v>
      </c>
      <c r="CU78" s="167">
        <v>0</v>
      </c>
      <c r="CV78" s="168">
        <v>2895.4</v>
      </c>
      <c r="CW78" s="166">
        <v>2895.4</v>
      </c>
      <c r="CX78" s="167">
        <v>0</v>
      </c>
      <c r="CY78" s="166">
        <v>0</v>
      </c>
      <c r="CZ78" s="166"/>
      <c r="DA78" s="166">
        <v>2895.4</v>
      </c>
      <c r="DB78" s="166"/>
      <c r="DC78" s="166">
        <v>0</v>
      </c>
      <c r="DD78" s="59">
        <v>0.15570000000000001</v>
      </c>
      <c r="DE78" s="59">
        <v>0.1429</v>
      </c>
      <c r="DF78" s="59">
        <v>0.2145</v>
      </c>
      <c r="DG78" s="59">
        <v>4.3700000000000003E-2</v>
      </c>
      <c r="DH78" s="59">
        <v>1.11E-2</v>
      </c>
      <c r="DI78" s="59">
        <v>0.20669999999999999</v>
      </c>
      <c r="DJ78" s="59">
        <v>4.8099999999999997E-2</v>
      </c>
      <c r="DK78" s="59">
        <v>0.3458</v>
      </c>
      <c r="DL78" s="169">
        <v>0</v>
      </c>
      <c r="DM78" s="59">
        <v>9.9699999999999997E-2</v>
      </c>
      <c r="DN78" s="169">
        <v>0</v>
      </c>
      <c r="DO78" s="170">
        <v>1.2727999999999999</v>
      </c>
      <c r="DP78" s="171">
        <f t="shared" si="88"/>
        <v>2.0192999999999999</v>
      </c>
      <c r="DQ78" s="59">
        <v>0.1013</v>
      </c>
      <c r="DR78" s="59">
        <v>0.1867</v>
      </c>
      <c r="DS78" s="59">
        <v>2.3199999999999998E-2</v>
      </c>
      <c r="DT78" s="59">
        <v>4.8000000000000001E-2</v>
      </c>
      <c r="DU78" s="59">
        <v>2.4299999999999999E-2</v>
      </c>
      <c r="DV78" s="59">
        <v>5.7000000000000002E-2</v>
      </c>
      <c r="DW78" s="59">
        <v>8.6999999999999994E-3</v>
      </c>
      <c r="DX78" s="169">
        <v>0</v>
      </c>
      <c r="DY78" s="59">
        <v>1.1708000000000001</v>
      </c>
      <c r="DZ78" s="171">
        <f t="shared" si="89"/>
        <v>1.9633583874274001</v>
      </c>
      <c r="EA78" s="59">
        <v>0.63949999999999996</v>
      </c>
      <c r="EB78" s="171">
        <f t="shared" si="90"/>
        <v>1.7884284597341673</v>
      </c>
      <c r="EC78" s="59">
        <v>0.30969999999999998</v>
      </c>
      <c r="ED78" s="171">
        <f t="shared" si="91"/>
        <v>1.905715208266064</v>
      </c>
      <c r="EE78" s="59">
        <v>4.2299999999999997E-2</v>
      </c>
      <c r="EF78" s="59">
        <v>5.8999999999999999E-3</v>
      </c>
      <c r="EG78" s="59">
        <v>0.1137</v>
      </c>
      <c r="EH78" s="59">
        <v>0</v>
      </c>
      <c r="EI78" s="208">
        <v>0.1318</v>
      </c>
      <c r="EJ78" s="172">
        <v>5.4039000000000001</v>
      </c>
      <c r="EK78" s="173"/>
      <c r="EL78" s="169">
        <v>0</v>
      </c>
      <c r="EM78" s="169">
        <v>0</v>
      </c>
      <c r="EN78" s="59"/>
      <c r="EO78" s="172"/>
      <c r="ES78" s="57">
        <f t="shared" si="101"/>
        <v>5.4039000000000001</v>
      </c>
      <c r="ET78" s="57">
        <f t="shared" si="102"/>
        <v>0</v>
      </c>
      <c r="EU78" s="31"/>
      <c r="EV78" s="61">
        <f t="shared" si="92"/>
        <v>1.7736634652750787</v>
      </c>
      <c r="EW78" s="61"/>
      <c r="EX78" s="158">
        <f t="shared" si="123"/>
        <v>-2.5326104999999979</v>
      </c>
      <c r="EY78" s="77">
        <f t="shared" si="124"/>
        <v>7.2628416000000007</v>
      </c>
      <c r="EZ78" s="158">
        <f t="shared" si="93"/>
        <v>9.584699999999998</v>
      </c>
      <c r="FA78" s="158">
        <f t="shared" si="94"/>
        <v>9.584699999999998</v>
      </c>
      <c r="FH78" s="174">
        <f t="shared" si="103"/>
        <v>27781.252949999995</v>
      </c>
      <c r="FJ78" s="87">
        <v>1.3933825570421363</v>
      </c>
      <c r="FK78" s="176">
        <f t="shared" si="104"/>
        <v>1.2729192398103506</v>
      </c>
      <c r="FM78" s="87" t="e">
        <f t="shared" si="105"/>
        <v>#DIV/0!</v>
      </c>
      <c r="FO78" s="88">
        <f t="shared" si="95"/>
        <v>27781.252949999995</v>
      </c>
      <c r="FP78" s="79">
        <f t="shared" si="96"/>
        <v>0</v>
      </c>
      <c r="FS78" s="79">
        <f t="shared" si="97"/>
        <v>15663.20415</v>
      </c>
      <c r="FT78" s="79">
        <f t="shared" si="98"/>
        <v>0</v>
      </c>
      <c r="FU78" s="79">
        <f t="shared" si="106"/>
        <v>1.7736634652750789</v>
      </c>
      <c r="FV78" s="79" t="e">
        <f t="shared" si="106"/>
        <v>#DIV/0!</v>
      </c>
      <c r="FY78" s="79">
        <f t="shared" si="107"/>
        <v>27781.252949999995</v>
      </c>
      <c r="FZ78" s="79">
        <f t="shared" si="108"/>
        <v>0</v>
      </c>
      <c r="GB78" s="178">
        <f t="shared" si="109"/>
        <v>2898.5</v>
      </c>
      <c r="GC78" s="178">
        <f t="shared" si="110"/>
        <v>0</v>
      </c>
      <c r="GG78" s="14">
        <v>7.5473999999999979</v>
      </c>
      <c r="GH78" s="175">
        <f t="shared" si="111"/>
        <v>1.2699340170124813</v>
      </c>
      <c r="GI78" s="14">
        <v>7.5473999999999979</v>
      </c>
      <c r="GJ78" s="175">
        <f t="shared" si="112"/>
        <v>1.2699340170124813</v>
      </c>
      <c r="GK78" s="175">
        <f t="shared" si="125"/>
        <v>0</v>
      </c>
      <c r="GN78" s="14">
        <v>9.9199000000000002</v>
      </c>
      <c r="GO78" s="175">
        <f t="shared" si="113"/>
        <v>1.3143466624267963</v>
      </c>
      <c r="GP78" s="179">
        <f t="shared" si="114"/>
        <v>0.96620933678766896</v>
      </c>
      <c r="GQ78" s="14">
        <v>9.9199000000000002</v>
      </c>
      <c r="GR78" s="175">
        <f t="shared" si="115"/>
        <v>1.3143466624267963</v>
      </c>
      <c r="GS78" s="175">
        <f t="shared" si="116"/>
        <v>0.96620933678766896</v>
      </c>
      <c r="GV78" s="32">
        <f t="shared" si="117"/>
        <v>27781.252949999995</v>
      </c>
      <c r="GW78" s="32">
        <f t="shared" si="118"/>
        <v>0</v>
      </c>
      <c r="GX78" s="180">
        <f t="shared" si="119"/>
        <v>27781.252949999995</v>
      </c>
      <c r="GZ78" s="32">
        <f t="shared" si="120"/>
        <v>9.584699999999998</v>
      </c>
      <c r="HA78" s="32" t="e">
        <f t="shared" si="121"/>
        <v>#DIV/0!</v>
      </c>
      <c r="HB78" s="32">
        <f t="shared" si="122"/>
        <v>9.584699999999998</v>
      </c>
    </row>
    <row r="79" spans="1:210" ht="19.2" customHeight="1" x14ac:dyDescent="0.3">
      <c r="A79" s="50">
        <v>71</v>
      </c>
      <c r="B79" s="51" t="s">
        <v>601</v>
      </c>
      <c r="C79" s="150" t="s">
        <v>581</v>
      </c>
      <c r="D79" s="52">
        <v>5</v>
      </c>
      <c r="E79" s="52">
        <v>4</v>
      </c>
      <c r="F79" s="63">
        <v>63</v>
      </c>
      <c r="G79" s="54" t="s">
        <v>75</v>
      </c>
      <c r="H79" s="181" t="s">
        <v>49</v>
      </c>
      <c r="I79" s="55">
        <f t="shared" si="99"/>
        <v>3055.3</v>
      </c>
      <c r="J79" s="55">
        <f t="shared" si="79"/>
        <v>0</v>
      </c>
      <c r="K79" s="55">
        <f t="shared" si="80"/>
        <v>0</v>
      </c>
      <c r="L79" s="56">
        <v>3055.3</v>
      </c>
      <c r="M79" s="56">
        <v>3055.3</v>
      </c>
      <c r="N79" s="56">
        <f t="shared" si="100"/>
        <v>3055.3</v>
      </c>
      <c r="O79" s="56">
        <v>0</v>
      </c>
      <c r="P79" s="56">
        <v>0</v>
      </c>
      <c r="Q79" s="55"/>
      <c r="R79" s="55">
        <v>3055.3</v>
      </c>
      <c r="S79" s="55"/>
      <c r="T79" s="55">
        <v>0</v>
      </c>
      <c r="U79" s="152">
        <v>3055.3</v>
      </c>
      <c r="V79" s="57">
        <v>0.1613</v>
      </c>
      <c r="W79" s="153">
        <v>8.4099999999999994E-2</v>
      </c>
      <c r="X79" s="57">
        <v>0.32590000000000002</v>
      </c>
      <c r="Y79" s="57">
        <v>7.4200000000000002E-2</v>
      </c>
      <c r="Z79" s="153">
        <v>2.81E-2</v>
      </c>
      <c r="AA79" s="57">
        <v>0.45019999999999999</v>
      </c>
      <c r="AB79" s="153">
        <v>0</v>
      </c>
      <c r="AC79" s="57">
        <v>0.63149999999999995</v>
      </c>
      <c r="AD79" s="57">
        <v>0.15529999999999999</v>
      </c>
      <c r="AE79" s="57">
        <v>0</v>
      </c>
      <c r="AF79" s="57">
        <v>2.2795000000000001</v>
      </c>
      <c r="AG79" s="57">
        <v>0.21299999999999999</v>
      </c>
      <c r="AH79" s="57">
        <v>0.29809999999999998</v>
      </c>
      <c r="AI79" s="153">
        <v>9.0200000000000002E-2</v>
      </c>
      <c r="AJ79" s="153">
        <v>0.10489999999999999</v>
      </c>
      <c r="AK79" s="153">
        <v>5.4699999999999999E-2</v>
      </c>
      <c r="AL79" s="57">
        <v>0.1552</v>
      </c>
      <c r="AM79" s="153">
        <v>3.1699999999999999E-2</v>
      </c>
      <c r="AN79" s="57">
        <v>0</v>
      </c>
      <c r="AO79" s="153">
        <v>1.7230000000000001</v>
      </c>
      <c r="AP79" s="57">
        <v>1.0073000000000001</v>
      </c>
      <c r="AQ79" s="57">
        <v>8.5300000000000001E-2</v>
      </c>
      <c r="AR79" s="153">
        <v>0.56169999999999998</v>
      </c>
      <c r="AS79" s="57">
        <v>5.2499999999999998E-2</v>
      </c>
      <c r="AT79" s="57">
        <v>8.5000000000000006E-3</v>
      </c>
      <c r="AU79" s="153">
        <v>7.4499999999999997E-2</v>
      </c>
      <c r="AV79" s="153">
        <v>0</v>
      </c>
      <c r="AW79" s="154">
        <v>8.6507000000000005</v>
      </c>
      <c r="AX79" s="58">
        <v>0.4325</v>
      </c>
      <c r="AY79" s="155">
        <f t="shared" si="81"/>
        <v>0.42830000000000001</v>
      </c>
      <c r="AZ79" s="155">
        <f t="shared" si="82"/>
        <v>4.1999999999999815E-3</v>
      </c>
      <c r="BA79" s="14">
        <v>9.0831999999999997</v>
      </c>
      <c r="BB79" s="59">
        <f>BA79-'[1]Тариф 26 свод без  ПДВ'!AU79</f>
        <v>6.0000000000037801E-4</v>
      </c>
      <c r="BC79" s="57">
        <v>0</v>
      </c>
      <c r="BD79" s="57">
        <v>0</v>
      </c>
      <c r="BE79" s="57">
        <v>0</v>
      </c>
      <c r="BF79" s="156">
        <v>8.6507000000000005</v>
      </c>
      <c r="BG79" s="59">
        <v>0.4325</v>
      </c>
      <c r="BH79" s="59"/>
      <c r="BI79" s="59"/>
      <c r="BJ79" s="14">
        <v>9.0831999999999997</v>
      </c>
      <c r="BK79" s="60"/>
      <c r="BL79" s="60">
        <v>5.2842000000000002</v>
      </c>
      <c r="BM79" s="60">
        <v>0.26419999999999999</v>
      </c>
      <c r="BN79" s="14">
        <v>5.5484</v>
      </c>
      <c r="BO79" s="14"/>
      <c r="BP79" s="157"/>
      <c r="BQ79" s="158">
        <f>BJ79-'[1]Тариф 26 свод без  ПДВ'!BG79</f>
        <v>6.0000000000037801E-4</v>
      </c>
      <c r="BR79" s="77">
        <f>'[1]Тариф 26 свод без  ПДВ'!BG79</f>
        <v>9.0825999999999993</v>
      </c>
      <c r="BS79" s="159">
        <f t="shared" si="83"/>
        <v>6.0000000000037801E-4</v>
      </c>
      <c r="BU79" s="77">
        <f>'[1]Тариф 26 свод без  ПДВ'!AU79</f>
        <v>9.0825999999999993</v>
      </c>
      <c r="BV79" s="159">
        <f t="shared" si="84"/>
        <v>6.0000000000037801E-4</v>
      </c>
      <c r="BX79" s="95">
        <v>4.5008999999999997</v>
      </c>
      <c r="BY79" s="95">
        <v>4.5008999999999997</v>
      </c>
      <c r="BZ79" s="95"/>
      <c r="CA79" s="182">
        <f t="shared" si="85"/>
        <v>2.0180852718345221</v>
      </c>
      <c r="CB79" s="182">
        <f t="shared" si="86"/>
        <v>2.0180852718345221</v>
      </c>
      <c r="CI79" s="160">
        <f>'[1]0 СВОД'!AYY94</f>
        <v>27751.994414819052</v>
      </c>
      <c r="CJ79" s="77">
        <f t="shared" si="87"/>
        <v>333023.9329778286</v>
      </c>
      <c r="CM79" s="161">
        <v>77</v>
      </c>
      <c r="CN79" s="162" t="s">
        <v>602</v>
      </c>
      <c r="CO79" s="163">
        <v>5</v>
      </c>
      <c r="CP79" s="163">
        <v>4</v>
      </c>
      <c r="CQ79" s="164" t="s">
        <v>75</v>
      </c>
      <c r="CR79" s="165" t="s">
        <v>49</v>
      </c>
      <c r="CS79" s="166">
        <v>3052.4</v>
      </c>
      <c r="CT79" s="166">
        <v>0</v>
      </c>
      <c r="CU79" s="167">
        <v>0</v>
      </c>
      <c r="CV79" s="168">
        <v>3052.4</v>
      </c>
      <c r="CW79" s="166">
        <v>3052.4</v>
      </c>
      <c r="CX79" s="167">
        <v>0</v>
      </c>
      <c r="CY79" s="166">
        <v>0</v>
      </c>
      <c r="CZ79" s="166"/>
      <c r="DA79" s="166">
        <v>3052.4</v>
      </c>
      <c r="DB79" s="166"/>
      <c r="DC79" s="166">
        <v>0</v>
      </c>
      <c r="DD79" s="59">
        <v>0.1585</v>
      </c>
      <c r="DE79" s="59">
        <v>0.13669999999999999</v>
      </c>
      <c r="DF79" s="59">
        <v>0.21440000000000001</v>
      </c>
      <c r="DG79" s="59">
        <v>4.3700000000000003E-2</v>
      </c>
      <c r="DH79" s="59">
        <v>1.06E-2</v>
      </c>
      <c r="DI79" s="59">
        <v>0.1961</v>
      </c>
      <c r="DJ79" s="59">
        <v>4.8099999999999997E-2</v>
      </c>
      <c r="DK79" s="59">
        <v>0.3458</v>
      </c>
      <c r="DL79" s="169">
        <v>0</v>
      </c>
      <c r="DM79" s="59">
        <v>9.4600000000000004E-2</v>
      </c>
      <c r="DN79" s="169">
        <v>0</v>
      </c>
      <c r="DO79" s="170">
        <v>1.3114000000000001</v>
      </c>
      <c r="DP79" s="171">
        <f t="shared" si="88"/>
        <v>2.2795000000000001</v>
      </c>
      <c r="DQ79" s="59">
        <v>0.1026</v>
      </c>
      <c r="DR79" s="59">
        <v>0.17849999999999999</v>
      </c>
      <c r="DS79" s="59">
        <v>2.35E-2</v>
      </c>
      <c r="DT79" s="59">
        <v>4.9399999999999999E-2</v>
      </c>
      <c r="DU79" s="59">
        <v>2.3099999999999999E-2</v>
      </c>
      <c r="DV79" s="59">
        <v>5.4100000000000002E-2</v>
      </c>
      <c r="DW79" s="59">
        <v>8.3000000000000001E-3</v>
      </c>
      <c r="DX79" s="169">
        <v>0</v>
      </c>
      <c r="DY79" s="59">
        <v>0.86419999999999997</v>
      </c>
      <c r="DZ79" s="171">
        <f t="shared" si="89"/>
        <v>1.993751446424439</v>
      </c>
      <c r="EA79" s="59">
        <v>0.61319999999999997</v>
      </c>
      <c r="EB79" s="171">
        <f t="shared" si="90"/>
        <v>1.7818003913894327</v>
      </c>
      <c r="EC79" s="59">
        <v>0.29470000000000002</v>
      </c>
      <c r="ED79" s="171">
        <f t="shared" si="91"/>
        <v>1.9060061079063453</v>
      </c>
      <c r="EE79" s="59">
        <v>4.02E-2</v>
      </c>
      <c r="EF79" s="59">
        <v>5.5999999999999999E-3</v>
      </c>
      <c r="EG79" s="59">
        <v>5.9299999999999999E-2</v>
      </c>
      <c r="EH79" s="59">
        <v>0</v>
      </c>
      <c r="EI79" s="208">
        <v>0.12189999999999999</v>
      </c>
      <c r="EJ79" s="172">
        <v>4.9984999999999999</v>
      </c>
      <c r="EK79" s="173"/>
      <c r="EL79" s="169">
        <v>0</v>
      </c>
      <c r="EM79" s="169">
        <v>0</v>
      </c>
      <c r="EN79" s="59"/>
      <c r="EO79" s="172"/>
      <c r="ES79" s="57">
        <f t="shared" si="101"/>
        <v>4.9984999999999999</v>
      </c>
      <c r="ET79" s="57">
        <f t="shared" si="102"/>
        <v>0</v>
      </c>
      <c r="EU79" s="31"/>
      <c r="EV79" s="61">
        <f t="shared" si="92"/>
        <v>1.817185155546664</v>
      </c>
      <c r="EW79" s="61"/>
      <c r="EX79" s="158">
        <f t="shared" si="123"/>
        <v>-2.5601574999999999</v>
      </c>
      <c r="EY79" s="77">
        <f t="shared" si="124"/>
        <v>6.7179840000000004</v>
      </c>
      <c r="EZ79" s="158">
        <f t="shared" si="93"/>
        <v>9.0831999999999997</v>
      </c>
      <c r="FA79" s="158">
        <f t="shared" si="94"/>
        <v>9.0831999999999997</v>
      </c>
      <c r="FH79" s="174">
        <f t="shared" si="103"/>
        <v>27751.900959999999</v>
      </c>
      <c r="FJ79" s="87">
        <v>1.3892967890367114</v>
      </c>
      <c r="FK79" s="176">
        <f t="shared" si="104"/>
        <v>1.307989171130695</v>
      </c>
      <c r="FM79" s="87" t="e">
        <f t="shared" si="105"/>
        <v>#DIV/0!</v>
      </c>
      <c r="FO79" s="88">
        <f t="shared" si="95"/>
        <v>27751.900959999999</v>
      </c>
      <c r="FP79" s="79">
        <f t="shared" si="96"/>
        <v>0</v>
      </c>
      <c r="FS79" s="79">
        <f t="shared" si="97"/>
        <v>15271.91705</v>
      </c>
      <c r="FT79" s="79">
        <f t="shared" si="98"/>
        <v>0</v>
      </c>
      <c r="FU79" s="79">
        <f t="shared" si="106"/>
        <v>1.817185155546664</v>
      </c>
      <c r="FV79" s="79" t="e">
        <f t="shared" si="106"/>
        <v>#DIV/0!</v>
      </c>
      <c r="FY79" s="79">
        <f t="shared" si="107"/>
        <v>27751.900959999999</v>
      </c>
      <c r="FZ79" s="79">
        <f t="shared" si="108"/>
        <v>0</v>
      </c>
      <c r="GB79" s="178">
        <f t="shared" si="109"/>
        <v>3055.3</v>
      </c>
      <c r="GC79" s="178">
        <f t="shared" si="110"/>
        <v>0</v>
      </c>
      <c r="GG79" s="14">
        <v>7.1525000000000007</v>
      </c>
      <c r="GH79" s="175">
        <f t="shared" si="111"/>
        <v>1.269933589653967</v>
      </c>
      <c r="GI79" s="14">
        <v>7.1525000000000007</v>
      </c>
      <c r="GJ79" s="175">
        <f t="shared" si="112"/>
        <v>1.269933589653967</v>
      </c>
      <c r="GK79" s="175">
        <f t="shared" si="125"/>
        <v>0</v>
      </c>
      <c r="GN79" s="14">
        <v>9.4346999999999994</v>
      </c>
      <c r="GO79" s="175">
        <f t="shared" si="113"/>
        <v>1.31907724571828</v>
      </c>
      <c r="GP79" s="179">
        <f t="shared" si="114"/>
        <v>0.9627439134259701</v>
      </c>
      <c r="GQ79" s="14">
        <v>9.4346999999999994</v>
      </c>
      <c r="GR79" s="175">
        <f t="shared" si="115"/>
        <v>1.31907724571828</v>
      </c>
      <c r="GS79" s="175">
        <f t="shared" si="116"/>
        <v>0.9627439134259701</v>
      </c>
      <c r="GV79" s="32">
        <f t="shared" si="117"/>
        <v>27751.900959999999</v>
      </c>
      <c r="GW79" s="32">
        <f t="shared" si="118"/>
        <v>0</v>
      </c>
      <c r="GX79" s="180">
        <f t="shared" si="119"/>
        <v>27751.900959999999</v>
      </c>
      <c r="GZ79" s="32">
        <f t="shared" si="120"/>
        <v>9.0831999999999997</v>
      </c>
      <c r="HA79" s="32" t="e">
        <f t="shared" si="121"/>
        <v>#DIV/0!</v>
      </c>
      <c r="HB79" s="32">
        <f t="shared" si="122"/>
        <v>9.0831999999999997</v>
      </c>
    </row>
    <row r="80" spans="1:210" ht="19.2" customHeight="1" x14ac:dyDescent="0.3">
      <c r="A80" s="50">
        <v>72</v>
      </c>
      <c r="B80" s="51" t="s">
        <v>603</v>
      </c>
      <c r="C80" s="150" t="s">
        <v>581</v>
      </c>
      <c r="D80" s="52">
        <v>5</v>
      </c>
      <c r="E80" s="52">
        <v>4</v>
      </c>
      <c r="F80" s="63">
        <v>60</v>
      </c>
      <c r="G80" s="54" t="s">
        <v>76</v>
      </c>
      <c r="H80" s="181" t="s">
        <v>49</v>
      </c>
      <c r="I80" s="55">
        <f t="shared" si="99"/>
        <v>2902.5</v>
      </c>
      <c r="J80" s="55">
        <f t="shared" si="79"/>
        <v>0</v>
      </c>
      <c r="K80" s="55">
        <f t="shared" si="80"/>
        <v>0</v>
      </c>
      <c r="L80" s="56">
        <v>2902.5</v>
      </c>
      <c r="M80" s="56">
        <v>2902.5</v>
      </c>
      <c r="N80" s="56">
        <f t="shared" si="100"/>
        <v>2902.5</v>
      </c>
      <c r="O80" s="56">
        <v>0</v>
      </c>
      <c r="P80" s="56">
        <v>0</v>
      </c>
      <c r="Q80" s="55"/>
      <c r="R80" s="55">
        <v>2902.5</v>
      </c>
      <c r="S80" s="55"/>
      <c r="T80" s="55">
        <v>0</v>
      </c>
      <c r="U80" s="152">
        <v>2902.5</v>
      </c>
      <c r="V80" s="57">
        <v>0.1623</v>
      </c>
      <c r="W80" s="153">
        <v>8.7800000000000003E-2</v>
      </c>
      <c r="X80" s="57">
        <v>0.3236</v>
      </c>
      <c r="Y80" s="57">
        <v>7.4999999999999997E-2</v>
      </c>
      <c r="Z80" s="153">
        <v>2.75E-2</v>
      </c>
      <c r="AA80" s="57">
        <v>0.47389999999999999</v>
      </c>
      <c r="AB80" s="153">
        <v>0</v>
      </c>
      <c r="AC80" s="57">
        <v>0.63149999999999995</v>
      </c>
      <c r="AD80" s="57">
        <v>0.16350000000000001</v>
      </c>
      <c r="AE80" s="57">
        <v>0</v>
      </c>
      <c r="AF80" s="57">
        <v>1.7972999999999999</v>
      </c>
      <c r="AG80" s="57">
        <v>0.2099</v>
      </c>
      <c r="AH80" s="57">
        <v>0.31119999999999998</v>
      </c>
      <c r="AI80" s="153">
        <v>8.9700000000000002E-2</v>
      </c>
      <c r="AJ80" s="153">
        <v>0.1099</v>
      </c>
      <c r="AK80" s="153">
        <v>5.3499999999999999E-2</v>
      </c>
      <c r="AL80" s="57">
        <v>0.16339999999999999</v>
      </c>
      <c r="AM80" s="153">
        <v>3.2599999999999997E-2</v>
      </c>
      <c r="AN80" s="57">
        <v>0</v>
      </c>
      <c r="AO80" s="153">
        <v>2.1261999999999999</v>
      </c>
      <c r="AP80" s="57">
        <v>1.0604</v>
      </c>
      <c r="AQ80" s="57">
        <v>8.8700000000000001E-2</v>
      </c>
      <c r="AR80" s="153">
        <v>0.59040000000000004</v>
      </c>
      <c r="AS80" s="57">
        <v>5.5300000000000002E-2</v>
      </c>
      <c r="AT80" s="57">
        <v>8.9999999999999993E-3</v>
      </c>
      <c r="AU80" s="153">
        <v>0.189</v>
      </c>
      <c r="AV80" s="153">
        <v>0</v>
      </c>
      <c r="AW80" s="154">
        <v>8.8316000000000017</v>
      </c>
      <c r="AX80" s="58">
        <v>0.44159999999999999</v>
      </c>
      <c r="AY80" s="155">
        <f t="shared" si="81"/>
        <v>0.43709999999999999</v>
      </c>
      <c r="AZ80" s="155">
        <f t="shared" si="82"/>
        <v>4.500000000000004E-3</v>
      </c>
      <c r="BA80" s="14">
        <v>9.273200000000001</v>
      </c>
      <c r="BB80" s="59">
        <f>BA80-'[1]Тариф 26 свод без  ПДВ'!AU80</f>
        <v>-2.1999999999984254E-3</v>
      </c>
      <c r="BC80" s="57">
        <v>0</v>
      </c>
      <c r="BD80" s="57">
        <v>0</v>
      </c>
      <c r="BE80" s="57">
        <v>0</v>
      </c>
      <c r="BF80" s="156">
        <v>8.8316000000000017</v>
      </c>
      <c r="BG80" s="59">
        <v>0.44159999999999999</v>
      </c>
      <c r="BH80" s="59"/>
      <c r="BI80" s="59"/>
      <c r="BJ80" s="14">
        <v>9.273200000000001</v>
      </c>
      <c r="BK80" s="60"/>
      <c r="BL80" s="60">
        <v>4.8656000000000015</v>
      </c>
      <c r="BM80" s="60">
        <v>0.24329999999999999</v>
      </c>
      <c r="BN80" s="14">
        <v>5.1089000000000011</v>
      </c>
      <c r="BO80" s="14"/>
      <c r="BP80" s="157"/>
      <c r="BQ80" s="158">
        <f>BJ80-'[1]Тариф 26 свод без  ПДВ'!BG80</f>
        <v>-2.1999999999984254E-3</v>
      </c>
      <c r="BR80" s="77">
        <f>'[1]Тариф 26 свод без  ПДВ'!BG80</f>
        <v>9.2753999999999994</v>
      </c>
      <c r="BS80" s="159">
        <f t="shared" si="83"/>
        <v>-2.1999999999984254E-3</v>
      </c>
      <c r="BU80" s="77">
        <f>'[1]Тариф 26 свод без  ПДВ'!AU80</f>
        <v>9.2753999999999994</v>
      </c>
      <c r="BV80" s="159">
        <f t="shared" si="84"/>
        <v>-2.1999999999984254E-3</v>
      </c>
      <c r="BX80" s="95">
        <v>4.9871999999999996</v>
      </c>
      <c r="BY80" s="95">
        <v>6.3479000000000001</v>
      </c>
      <c r="BZ80" s="95"/>
      <c r="CA80" s="182">
        <f t="shared" si="85"/>
        <v>1.8594000641642607</v>
      </c>
      <c r="CB80" s="182">
        <f t="shared" si="86"/>
        <v>1.4608295656831394</v>
      </c>
      <c r="CD80" s="160">
        <f>L80-CE80</f>
        <v>2902.5</v>
      </c>
      <c r="CE80" s="160">
        <f>T80</f>
        <v>0</v>
      </c>
      <c r="CF80" s="77">
        <f>CD80*BA80</f>
        <v>26915.463000000003</v>
      </c>
      <c r="CG80" s="77">
        <f>BJ80*CE80</f>
        <v>0</v>
      </c>
      <c r="CI80" s="160">
        <f>'[1]0 СВОД'!AYY95</f>
        <v>26915.148541599912</v>
      </c>
      <c r="CJ80" s="77">
        <f t="shared" si="87"/>
        <v>322981.78249919892</v>
      </c>
      <c r="CM80" s="161">
        <v>78</v>
      </c>
      <c r="CN80" s="162" t="s">
        <v>604</v>
      </c>
      <c r="CO80" s="163">
        <v>5</v>
      </c>
      <c r="CP80" s="163">
        <v>4</v>
      </c>
      <c r="CQ80" s="164" t="s">
        <v>76</v>
      </c>
      <c r="CR80" s="165" t="s">
        <v>49</v>
      </c>
      <c r="CS80" s="166">
        <v>2899.1</v>
      </c>
      <c r="CT80" s="166">
        <v>0</v>
      </c>
      <c r="CU80" s="167">
        <v>0</v>
      </c>
      <c r="CV80" s="168">
        <v>2899.1</v>
      </c>
      <c r="CW80" s="166">
        <v>2899.1</v>
      </c>
      <c r="CX80" s="167">
        <v>0</v>
      </c>
      <c r="CY80" s="166">
        <v>0</v>
      </c>
      <c r="CZ80" s="166"/>
      <c r="DA80" s="166">
        <v>2899.1</v>
      </c>
      <c r="DB80" s="166"/>
      <c r="DC80" s="166">
        <v>0</v>
      </c>
      <c r="DD80" s="59">
        <v>0.1555</v>
      </c>
      <c r="DE80" s="59">
        <v>0.14280000000000001</v>
      </c>
      <c r="DF80" s="59">
        <v>0.21299999999999999</v>
      </c>
      <c r="DG80" s="59">
        <v>4.4200000000000003E-2</v>
      </c>
      <c r="DH80" s="59">
        <v>1.04E-2</v>
      </c>
      <c r="DI80" s="59">
        <v>0.2064</v>
      </c>
      <c r="DJ80" s="59">
        <v>4.8099999999999997E-2</v>
      </c>
      <c r="DK80" s="59">
        <v>0.3458</v>
      </c>
      <c r="DL80" s="169">
        <v>0</v>
      </c>
      <c r="DM80" s="59">
        <v>9.9599999999999994E-2</v>
      </c>
      <c r="DN80" s="169">
        <v>0</v>
      </c>
      <c r="DO80" s="170">
        <v>1.1352</v>
      </c>
      <c r="DP80" s="171">
        <f t="shared" si="88"/>
        <v>1.7972999999999999</v>
      </c>
      <c r="DQ80" s="59">
        <v>0.1012</v>
      </c>
      <c r="DR80" s="59">
        <v>0.18640000000000001</v>
      </c>
      <c r="DS80" s="59">
        <v>2.3400000000000001E-2</v>
      </c>
      <c r="DT80" s="59">
        <v>5.1799999999999999E-2</v>
      </c>
      <c r="DU80" s="59">
        <v>2.2599999999999999E-2</v>
      </c>
      <c r="DV80" s="59">
        <v>5.7000000000000002E-2</v>
      </c>
      <c r="DW80" s="59">
        <v>8.6999999999999994E-3</v>
      </c>
      <c r="DX80" s="169">
        <v>0</v>
      </c>
      <c r="DY80" s="59">
        <v>1.0825</v>
      </c>
      <c r="DZ80" s="171">
        <f t="shared" si="89"/>
        <v>1.9641570438799074</v>
      </c>
      <c r="EA80" s="59">
        <v>0.64270000000000005</v>
      </c>
      <c r="EB80" s="171">
        <f t="shared" si="90"/>
        <v>1.787925937451377</v>
      </c>
      <c r="EC80" s="59">
        <v>0.30990000000000001</v>
      </c>
      <c r="ED80" s="171">
        <f t="shared" si="91"/>
        <v>1.9051306873184899</v>
      </c>
      <c r="EE80" s="59">
        <v>4.24E-2</v>
      </c>
      <c r="EF80" s="59">
        <v>5.8999999999999999E-3</v>
      </c>
      <c r="EG80" s="59">
        <v>8.5599999999999996E-2</v>
      </c>
      <c r="EH80" s="59">
        <v>0</v>
      </c>
      <c r="EI80" s="208">
        <v>0.1255</v>
      </c>
      <c r="EJ80" s="172">
        <v>5.1465999999999994</v>
      </c>
      <c r="EK80" s="173"/>
      <c r="EL80" s="169">
        <v>0</v>
      </c>
      <c r="EM80" s="169">
        <v>0</v>
      </c>
      <c r="EN80" s="59"/>
      <c r="EO80" s="172"/>
      <c r="ES80" s="57">
        <f t="shared" si="101"/>
        <v>5.1465999999999994</v>
      </c>
      <c r="ET80" s="57">
        <f t="shared" si="102"/>
        <v>0</v>
      </c>
      <c r="EU80" s="31"/>
      <c r="EV80" s="61">
        <f t="shared" si="92"/>
        <v>1.8018109042863253</v>
      </c>
      <c r="EW80" s="65"/>
      <c r="EX80" s="158">
        <f t="shared" si="123"/>
        <v>-2.5568870000000024</v>
      </c>
      <c r="EY80" s="77">
        <f t="shared" si="124"/>
        <v>6.9170303999999998</v>
      </c>
      <c r="EZ80" s="158">
        <f t="shared" si="93"/>
        <v>9.273200000000001</v>
      </c>
      <c r="FA80" s="158">
        <f t="shared" si="94"/>
        <v>9.273200000000001</v>
      </c>
      <c r="FH80" s="174">
        <f t="shared" si="103"/>
        <v>26915.463000000003</v>
      </c>
      <c r="FJ80" s="87">
        <v>1.3846034275055379</v>
      </c>
      <c r="FK80" s="176">
        <f t="shared" si="104"/>
        <v>1.3013191131069324</v>
      </c>
      <c r="FM80" s="87" t="e">
        <f t="shared" si="105"/>
        <v>#DIV/0!</v>
      </c>
      <c r="FO80" s="88">
        <f t="shared" si="95"/>
        <v>26915.463000000003</v>
      </c>
      <c r="FP80" s="79">
        <f t="shared" si="96"/>
        <v>0</v>
      </c>
      <c r="FS80" s="79">
        <f t="shared" si="97"/>
        <v>14938.006499999998</v>
      </c>
      <c r="FT80" s="79">
        <f t="shared" si="98"/>
        <v>0</v>
      </c>
      <c r="FU80" s="79">
        <f t="shared" si="106"/>
        <v>1.8018109042863255</v>
      </c>
      <c r="FV80" s="79" t="e">
        <f t="shared" si="106"/>
        <v>#DIV/0!</v>
      </c>
      <c r="FY80" s="79">
        <f t="shared" si="107"/>
        <v>26915.463000000003</v>
      </c>
      <c r="FZ80" s="79">
        <f t="shared" si="108"/>
        <v>0</v>
      </c>
      <c r="GB80" s="178">
        <f t="shared" si="109"/>
        <v>2902.5</v>
      </c>
      <c r="GC80" s="178">
        <f t="shared" si="110"/>
        <v>0</v>
      </c>
      <c r="GG80" s="14">
        <v>7.3021000000000003</v>
      </c>
      <c r="GH80" s="175">
        <f t="shared" si="111"/>
        <v>1.2699360457950453</v>
      </c>
      <c r="GI80" s="14">
        <v>7.3021000000000003</v>
      </c>
      <c r="GJ80" s="175">
        <f t="shared" si="112"/>
        <v>1.2699360457950453</v>
      </c>
      <c r="GK80" s="175">
        <f t="shared" si="125"/>
        <v>0</v>
      </c>
      <c r="GN80" s="14">
        <v>9.6341000000000019</v>
      </c>
      <c r="GO80" s="175">
        <f t="shared" si="113"/>
        <v>1.3193601840566413</v>
      </c>
      <c r="GP80" s="179">
        <f t="shared" si="114"/>
        <v>0.96253931348024202</v>
      </c>
      <c r="GQ80" s="14">
        <v>9.6341000000000019</v>
      </c>
      <c r="GR80" s="175">
        <f t="shared" si="115"/>
        <v>1.3193601840566413</v>
      </c>
      <c r="GS80" s="175">
        <f t="shared" si="116"/>
        <v>0.96253931348024202</v>
      </c>
      <c r="GV80" s="32">
        <f t="shared" si="117"/>
        <v>26915.463000000003</v>
      </c>
      <c r="GW80" s="32">
        <f t="shared" si="118"/>
        <v>0</v>
      </c>
      <c r="GX80" s="180">
        <f t="shared" si="119"/>
        <v>26915.463000000003</v>
      </c>
      <c r="GZ80" s="32">
        <f t="shared" si="120"/>
        <v>9.273200000000001</v>
      </c>
      <c r="HA80" s="32" t="e">
        <f t="shared" si="121"/>
        <v>#DIV/0!</v>
      </c>
      <c r="HB80" s="32">
        <f t="shared" si="122"/>
        <v>9.273200000000001</v>
      </c>
    </row>
    <row r="81" spans="1:210" ht="19.2" customHeight="1" x14ac:dyDescent="0.3">
      <c r="A81" s="50">
        <v>73</v>
      </c>
      <c r="B81" s="51" t="s">
        <v>605</v>
      </c>
      <c r="C81" s="150" t="s">
        <v>581</v>
      </c>
      <c r="D81" s="52">
        <v>9</v>
      </c>
      <c r="E81" s="52">
        <v>4</v>
      </c>
      <c r="F81" s="63">
        <v>166</v>
      </c>
      <c r="G81" s="54" t="s">
        <v>210</v>
      </c>
      <c r="H81" s="181" t="s">
        <v>193</v>
      </c>
      <c r="I81" s="55">
        <f t="shared" si="99"/>
        <v>1160.8000000000004</v>
      </c>
      <c r="J81" s="55">
        <f t="shared" si="79"/>
        <v>8937.9</v>
      </c>
      <c r="K81" s="55">
        <f t="shared" si="80"/>
        <v>52.8</v>
      </c>
      <c r="L81" s="56">
        <v>10151.5</v>
      </c>
      <c r="M81" s="56">
        <v>10098.700000000001</v>
      </c>
      <c r="N81" s="56">
        <f t="shared" si="100"/>
        <v>1160.8000000000011</v>
      </c>
      <c r="O81" s="56">
        <v>52.8</v>
      </c>
      <c r="P81" s="56">
        <v>0</v>
      </c>
      <c r="Q81" s="55"/>
      <c r="R81" s="55">
        <v>10151.5</v>
      </c>
      <c r="S81" s="55"/>
      <c r="T81" s="55">
        <v>8937.9</v>
      </c>
      <c r="U81" s="152">
        <v>1213.6000000000004</v>
      </c>
      <c r="V81" s="57">
        <v>0.1222</v>
      </c>
      <c r="W81" s="57">
        <v>5.5599999999999997E-2</v>
      </c>
      <c r="X81" s="153">
        <v>0.29899999999999999</v>
      </c>
      <c r="Y81" s="153">
        <v>6.7000000000000004E-2</v>
      </c>
      <c r="Z81" s="57">
        <v>5.1200000000000002E-2</v>
      </c>
      <c r="AA81" s="57">
        <v>0.35820000000000002</v>
      </c>
      <c r="AB81" s="57">
        <v>0</v>
      </c>
      <c r="AC81" s="153">
        <v>0.63149999999999995</v>
      </c>
      <c r="AD81" s="57">
        <v>0.1293</v>
      </c>
      <c r="AE81" s="57">
        <v>0</v>
      </c>
      <c r="AF81" s="57">
        <v>3.1017000000000001</v>
      </c>
      <c r="AG81" s="57">
        <v>0.16869999999999999</v>
      </c>
      <c r="AH81" s="57">
        <v>0.20019999999999999</v>
      </c>
      <c r="AI81" s="57">
        <v>0.1123</v>
      </c>
      <c r="AJ81" s="57">
        <v>7.9100000000000004E-2</v>
      </c>
      <c r="AK81" s="57">
        <v>9.9500000000000005E-2</v>
      </c>
      <c r="AL81" s="57">
        <v>0.16200000000000001</v>
      </c>
      <c r="AM81" s="57">
        <v>2.8799999999999999E-2</v>
      </c>
      <c r="AN81" s="57">
        <v>0</v>
      </c>
      <c r="AO81" s="57">
        <v>0.97260000000000002</v>
      </c>
      <c r="AP81" s="153">
        <v>1.2715000000000001</v>
      </c>
      <c r="AQ81" s="153">
        <v>6.9000000000000006E-2</v>
      </c>
      <c r="AR81" s="57">
        <v>0.3659</v>
      </c>
      <c r="AS81" s="57">
        <v>3.6799999999999999E-2</v>
      </c>
      <c r="AT81" s="153">
        <v>6.0000000000000001E-3</v>
      </c>
      <c r="AU81" s="153">
        <v>0.40179999999999999</v>
      </c>
      <c r="AV81" s="153">
        <v>0</v>
      </c>
      <c r="AW81" s="154">
        <v>8.7899000000000012</v>
      </c>
      <c r="AX81" s="58">
        <v>0.4395</v>
      </c>
      <c r="AY81" s="155">
        <f t="shared" si="81"/>
        <v>0.436</v>
      </c>
      <c r="AZ81" s="155">
        <f t="shared" si="82"/>
        <v>3.5000000000000031E-3</v>
      </c>
      <c r="BA81" s="14">
        <v>9.2294000000000018</v>
      </c>
      <c r="BB81" s="59">
        <f>BA81-'[1]Тариф 26 свод без  ПДВ'!AU81</f>
        <v>-4.5999999999981611E-3</v>
      </c>
      <c r="BC81" s="57">
        <v>1.4121999999999999</v>
      </c>
      <c r="BD81" s="57">
        <v>2.01E-2</v>
      </c>
      <c r="BE81" s="57">
        <v>0.5907</v>
      </c>
      <c r="BF81" s="156">
        <v>10.812900000000001</v>
      </c>
      <c r="BG81" s="59">
        <v>0.54059999999999997</v>
      </c>
      <c r="BH81" s="59"/>
      <c r="BI81" s="59"/>
      <c r="BJ81" s="14">
        <v>11.3535</v>
      </c>
      <c r="BK81" s="60"/>
      <c r="BL81" s="60">
        <v>5.778100000000002</v>
      </c>
      <c r="BM81" s="60">
        <v>0.28889999999999999</v>
      </c>
      <c r="BN81" s="14">
        <v>6.0670000000000019</v>
      </c>
      <c r="BO81" s="14"/>
      <c r="BP81" s="157"/>
      <c r="BQ81" s="158">
        <f>BJ81-'[1]Тариф 26 свод без  ПДВ'!BG81</f>
        <v>4.0000000000084412E-4</v>
      </c>
      <c r="BR81" s="77">
        <f>'[1]Тариф 26 свод без  ПДВ'!BG81</f>
        <v>11.3531</v>
      </c>
      <c r="BS81" s="159">
        <f t="shared" si="83"/>
        <v>4.0000000000084412E-4</v>
      </c>
      <c r="BU81" s="77">
        <f>'[1]Тариф 26 свод без  ПДВ'!AU81</f>
        <v>9.234</v>
      </c>
      <c r="BV81" s="159">
        <f t="shared" si="84"/>
        <v>-4.5999999999981611E-3</v>
      </c>
      <c r="BX81" s="95">
        <v>4.4967999999999995</v>
      </c>
      <c r="BY81" s="95">
        <v>4.4967999999999995</v>
      </c>
      <c r="BZ81" s="95"/>
      <c r="CA81" s="62">
        <f t="shared" si="85"/>
        <v>2.052437288738659</v>
      </c>
      <c r="CB81" s="62">
        <f t="shared" si="86"/>
        <v>2.524795410069383</v>
      </c>
      <c r="CI81" s="160">
        <f>'[1]0 СВОД'!AYY96</f>
        <v>112512.89682667852</v>
      </c>
      <c r="CJ81" s="77">
        <f t="shared" si="87"/>
        <v>1350154.7619201422</v>
      </c>
      <c r="CM81" s="161">
        <v>79</v>
      </c>
      <c r="CN81" s="183" t="s">
        <v>606</v>
      </c>
      <c r="CO81" s="163">
        <v>9</v>
      </c>
      <c r="CP81" s="163">
        <v>4</v>
      </c>
      <c r="CQ81" s="164" t="s">
        <v>210</v>
      </c>
      <c r="CR81" s="165" t="s">
        <v>193</v>
      </c>
      <c r="CS81" s="166">
        <v>1160.9000000000008</v>
      </c>
      <c r="CT81" s="166">
        <v>8929.5999999999985</v>
      </c>
      <c r="CU81" s="167">
        <v>52.8</v>
      </c>
      <c r="CV81" s="168">
        <v>10143.299999999999</v>
      </c>
      <c r="CW81" s="166">
        <v>10090.5</v>
      </c>
      <c r="CX81" s="167">
        <v>52.8</v>
      </c>
      <c r="CY81" s="166">
        <v>-7.2475359047530219E-13</v>
      </c>
      <c r="CZ81" s="166"/>
      <c r="DA81" s="166">
        <v>10143.299999999999</v>
      </c>
      <c r="DB81" s="166"/>
      <c r="DC81" s="166">
        <v>8929.5999999999985</v>
      </c>
      <c r="DD81" s="59">
        <v>0.11799999999999999</v>
      </c>
      <c r="DE81" s="59">
        <v>9.0399999999999994E-2</v>
      </c>
      <c r="DF81" s="59">
        <v>0.19689999999999999</v>
      </c>
      <c r="DG81" s="59">
        <v>3.95E-2</v>
      </c>
      <c r="DH81" s="59">
        <v>1.9199999999999998E-2</v>
      </c>
      <c r="DI81" s="59">
        <v>0.1578</v>
      </c>
      <c r="DJ81" s="59">
        <v>4.8099999999999997E-2</v>
      </c>
      <c r="DK81" s="59">
        <v>0.3458</v>
      </c>
      <c r="DL81" s="59">
        <v>6.4000000000000001E-2</v>
      </c>
      <c r="DM81" s="59">
        <v>7.8799999999999995E-2</v>
      </c>
      <c r="DN81" s="169">
        <v>0</v>
      </c>
      <c r="DO81" s="184">
        <v>2.109</v>
      </c>
      <c r="DP81" s="171">
        <f t="shared" si="88"/>
        <v>3.1017000000000001</v>
      </c>
      <c r="DQ81" s="59">
        <v>8.1299999999999997E-2</v>
      </c>
      <c r="DR81" s="59">
        <v>0.1202</v>
      </c>
      <c r="DS81" s="59">
        <v>2.9100000000000001E-2</v>
      </c>
      <c r="DT81" s="59">
        <v>3.7400000000000003E-2</v>
      </c>
      <c r="DU81" s="59">
        <v>4.2000000000000003E-2</v>
      </c>
      <c r="DV81" s="59">
        <v>5.6300000000000003E-2</v>
      </c>
      <c r="DW81" s="59">
        <v>6.8999999999999999E-3</v>
      </c>
      <c r="DX81" s="169">
        <v>0</v>
      </c>
      <c r="DY81" s="59">
        <v>0.48670000000000002</v>
      </c>
      <c r="DZ81" s="171">
        <f t="shared" si="89"/>
        <v>1.9983562769673309</v>
      </c>
      <c r="EA81" s="59">
        <v>0.76229999999999998</v>
      </c>
      <c r="EB81" s="171">
        <f t="shared" si="90"/>
        <v>1.758494031221304</v>
      </c>
      <c r="EC81" s="59">
        <v>0.1888</v>
      </c>
      <c r="ED81" s="171">
        <f t="shared" si="91"/>
        <v>1.9380296610169492</v>
      </c>
      <c r="EE81" s="59">
        <v>2.8199999999999999E-2</v>
      </c>
      <c r="EF81" s="59">
        <v>3.8999999999999998E-3</v>
      </c>
      <c r="EG81" s="59">
        <v>0.24970000000000001</v>
      </c>
      <c r="EH81" s="59">
        <v>0</v>
      </c>
      <c r="EI81" s="155">
        <v>0.13400000000000001</v>
      </c>
      <c r="EJ81" s="172">
        <v>5.4942999999999991</v>
      </c>
      <c r="EK81" s="173"/>
      <c r="EL81" s="59">
        <v>0.89359999999999995</v>
      </c>
      <c r="EM81" s="59">
        <v>0.34489999999999998</v>
      </c>
      <c r="EN81" s="59">
        <v>0.16500000000000001</v>
      </c>
      <c r="EO81" s="172">
        <v>6.7637999999999989</v>
      </c>
      <c r="ES81" s="57">
        <f t="shared" si="101"/>
        <v>5.4942999999999991</v>
      </c>
      <c r="ET81" s="57">
        <f t="shared" si="102"/>
        <v>6.7637999999999989</v>
      </c>
      <c r="EU81" s="31"/>
      <c r="EV81" s="61">
        <f t="shared" si="92"/>
        <v>1.6798136250295768</v>
      </c>
      <c r="EW81" s="61">
        <f>BJ81/ET81</f>
        <v>1.678568260445312</v>
      </c>
      <c r="EX81" s="185">
        <v>6.9535</v>
      </c>
      <c r="EY81" s="174">
        <v>9.2370000000000001</v>
      </c>
      <c r="EZ81" s="158">
        <f t="shared" si="93"/>
        <v>9.2294000000000018</v>
      </c>
      <c r="FA81" s="158">
        <f t="shared" si="94"/>
        <v>11.3535</v>
      </c>
      <c r="FB81" s="158">
        <f>BA81-EX81</f>
        <v>2.2759000000000018</v>
      </c>
      <c r="FC81" s="158">
        <f>BJ81-EY81</f>
        <v>2.1165000000000003</v>
      </c>
      <c r="FD81" s="175">
        <f>FB81/EX81</f>
        <v>0.32730279715251337</v>
      </c>
      <c r="FE81" s="175">
        <f>FC81/FA81</f>
        <v>0.18641828511031841</v>
      </c>
      <c r="FF81" s="158"/>
      <c r="FG81" s="174"/>
      <c r="FH81" s="174">
        <f t="shared" si="103"/>
        <v>93692.25410000002</v>
      </c>
      <c r="FI81" s="174"/>
      <c r="FJ81" s="176">
        <v>1.2656000000000001</v>
      </c>
      <c r="FK81" s="176">
        <f t="shared" si="104"/>
        <v>1.3272863661738121</v>
      </c>
      <c r="FL81" s="87">
        <v>1.3656999999999999</v>
      </c>
      <c r="FM81" s="177">
        <f t="shared" si="105"/>
        <v>1.2290900347406548</v>
      </c>
      <c r="FO81" s="88">
        <f t="shared" si="95"/>
        <v>93692.25410000002</v>
      </c>
      <c r="FP81" s="79">
        <f t="shared" si="96"/>
        <v>101476.44765</v>
      </c>
      <c r="FS81" s="79">
        <f t="shared" si="97"/>
        <v>55775.386449999991</v>
      </c>
      <c r="FT81" s="79">
        <f t="shared" si="98"/>
        <v>60454.16801999999</v>
      </c>
      <c r="FU81" s="79">
        <f t="shared" si="106"/>
        <v>1.6798136250295768</v>
      </c>
      <c r="FV81" s="79">
        <f t="shared" si="106"/>
        <v>1.678568260445312</v>
      </c>
      <c r="FY81" s="79">
        <f t="shared" si="107"/>
        <v>11200.799840000005</v>
      </c>
      <c r="FZ81" s="79">
        <f t="shared" si="108"/>
        <v>101476.44765</v>
      </c>
      <c r="GB81" s="178">
        <f t="shared" si="109"/>
        <v>1213.6000000000004</v>
      </c>
      <c r="GC81" s="178">
        <f t="shared" si="110"/>
        <v>8937.9</v>
      </c>
      <c r="GG81" s="14">
        <v>7.2678000000000003</v>
      </c>
      <c r="GH81" s="175">
        <f t="shared" si="111"/>
        <v>1.2699028591870996</v>
      </c>
      <c r="GI81" s="14">
        <v>9.6828000000000003</v>
      </c>
      <c r="GJ81" s="175">
        <f t="shared" si="112"/>
        <v>1.1725430660552734</v>
      </c>
      <c r="GK81" s="175">
        <f>GH81-GJ81</f>
        <v>9.7359793131826189E-2</v>
      </c>
      <c r="GN81" s="14">
        <v>9.2151000000000014</v>
      </c>
      <c r="GO81" s="175">
        <f t="shared" si="113"/>
        <v>1.2679352761495915</v>
      </c>
      <c r="GP81" s="179">
        <f t="shared" si="114"/>
        <v>1.0015518008486073</v>
      </c>
      <c r="GQ81" s="14">
        <v>11.145799999999999</v>
      </c>
      <c r="GR81" s="175">
        <f t="shared" si="115"/>
        <v>1.1510926591481803</v>
      </c>
      <c r="GS81" s="175">
        <f t="shared" si="116"/>
        <v>1.0186348220854493</v>
      </c>
      <c r="GV81" s="32">
        <f t="shared" si="117"/>
        <v>11200.799840000005</v>
      </c>
      <c r="GW81" s="32">
        <f t="shared" si="118"/>
        <v>101476.44765</v>
      </c>
      <c r="GX81" s="180">
        <f t="shared" si="119"/>
        <v>112677.24749000001</v>
      </c>
      <c r="GZ81" s="32">
        <f t="shared" si="120"/>
        <v>9.2294000000000018</v>
      </c>
      <c r="HA81" s="32">
        <f t="shared" si="121"/>
        <v>11.3535</v>
      </c>
      <c r="HB81" s="32">
        <f t="shared" si="122"/>
        <v>11.099566319263165</v>
      </c>
    </row>
    <row r="82" spans="1:210" ht="19.2" customHeight="1" x14ac:dyDescent="0.3">
      <c r="A82" s="50">
        <v>74</v>
      </c>
      <c r="B82" s="51" t="s">
        <v>607</v>
      </c>
      <c r="C82" s="150" t="s">
        <v>581</v>
      </c>
      <c r="D82" s="52">
        <v>5</v>
      </c>
      <c r="E82" s="52">
        <v>4</v>
      </c>
      <c r="F82" s="63">
        <v>60</v>
      </c>
      <c r="G82" s="54" t="s">
        <v>77</v>
      </c>
      <c r="H82" s="181" t="s">
        <v>49</v>
      </c>
      <c r="I82" s="55">
        <f t="shared" si="99"/>
        <v>2765.2</v>
      </c>
      <c r="J82" s="55">
        <f t="shared" si="79"/>
        <v>0</v>
      </c>
      <c r="K82" s="55">
        <f t="shared" si="80"/>
        <v>0</v>
      </c>
      <c r="L82" s="56">
        <v>2765.2</v>
      </c>
      <c r="M82" s="56">
        <v>2765.2</v>
      </c>
      <c r="N82" s="56">
        <f t="shared" si="100"/>
        <v>2765.2</v>
      </c>
      <c r="O82" s="56">
        <v>0</v>
      </c>
      <c r="P82" s="56">
        <v>0</v>
      </c>
      <c r="Q82" s="55"/>
      <c r="R82" s="55">
        <v>2765.2</v>
      </c>
      <c r="S82" s="55"/>
      <c r="T82" s="55">
        <v>0</v>
      </c>
      <c r="U82" s="152">
        <v>2765.2</v>
      </c>
      <c r="V82" s="57">
        <v>0.16619999999999999</v>
      </c>
      <c r="W82" s="153">
        <v>9.2100000000000001E-2</v>
      </c>
      <c r="X82" s="57">
        <v>0.32650000000000001</v>
      </c>
      <c r="Y82" s="57">
        <v>7.4200000000000002E-2</v>
      </c>
      <c r="Z82" s="153">
        <v>3.1099999999999999E-2</v>
      </c>
      <c r="AA82" s="57">
        <v>0.49740000000000001</v>
      </c>
      <c r="AB82" s="153">
        <v>0</v>
      </c>
      <c r="AC82" s="57">
        <v>0.63149999999999995</v>
      </c>
      <c r="AD82" s="57">
        <v>0.16869999999999999</v>
      </c>
      <c r="AE82" s="57">
        <v>0</v>
      </c>
      <c r="AF82" s="57">
        <v>2.3511000000000002</v>
      </c>
      <c r="AG82" s="57">
        <v>0.2203</v>
      </c>
      <c r="AH82" s="57">
        <v>0.32669999999999999</v>
      </c>
      <c r="AI82" s="153">
        <v>8.8400000000000006E-2</v>
      </c>
      <c r="AJ82" s="153">
        <v>0.1045</v>
      </c>
      <c r="AK82" s="153">
        <v>6.0400000000000002E-2</v>
      </c>
      <c r="AL82" s="57">
        <v>0.17150000000000001</v>
      </c>
      <c r="AM82" s="153">
        <v>3.3500000000000002E-2</v>
      </c>
      <c r="AN82" s="57">
        <v>0</v>
      </c>
      <c r="AO82" s="153">
        <v>1.5254000000000001</v>
      </c>
      <c r="AP82" s="57">
        <v>1.1980999999999999</v>
      </c>
      <c r="AQ82" s="57">
        <v>9.1999999999999998E-2</v>
      </c>
      <c r="AR82" s="153">
        <v>0.48039999999999999</v>
      </c>
      <c r="AS82" s="57">
        <v>5.8099999999999999E-2</v>
      </c>
      <c r="AT82" s="57">
        <v>9.4000000000000004E-3</v>
      </c>
      <c r="AU82" s="153">
        <v>0.19650000000000001</v>
      </c>
      <c r="AV82" s="153">
        <v>0</v>
      </c>
      <c r="AW82" s="154">
        <v>8.9039999999999981</v>
      </c>
      <c r="AX82" s="58">
        <v>0.44519999999999998</v>
      </c>
      <c r="AY82" s="155">
        <f t="shared" si="81"/>
        <v>0.44059999999999999</v>
      </c>
      <c r="AZ82" s="155">
        <f t="shared" si="82"/>
        <v>4.599999999999993E-3</v>
      </c>
      <c r="BA82" s="14">
        <v>9.349199999999998</v>
      </c>
      <c r="BB82" s="59">
        <f>BA82-'[1]Тариф 26 свод без  ПДВ'!AU82</f>
        <v>1.1999999999972033E-3</v>
      </c>
      <c r="BC82" s="57">
        <v>0</v>
      </c>
      <c r="BD82" s="57">
        <v>0</v>
      </c>
      <c r="BE82" s="57">
        <v>0</v>
      </c>
      <c r="BF82" s="156">
        <v>8.9039999999999981</v>
      </c>
      <c r="BG82" s="59">
        <v>0.44519999999999998</v>
      </c>
      <c r="BH82" s="59"/>
      <c r="BI82" s="59"/>
      <c r="BJ82" s="14">
        <v>9.349199999999998</v>
      </c>
      <c r="BK82" s="60"/>
      <c r="BL82" s="60">
        <v>5.5035999999999978</v>
      </c>
      <c r="BM82" s="60">
        <v>0.2752</v>
      </c>
      <c r="BN82" s="14">
        <v>5.7787999999999977</v>
      </c>
      <c r="BO82" s="14"/>
      <c r="BP82" s="157"/>
      <c r="BQ82" s="158">
        <f>BJ82-'[1]Тариф 26 свод без  ПДВ'!BG82</f>
        <v>1.1999999999972033E-3</v>
      </c>
      <c r="BR82" s="77">
        <f>'[1]Тариф 26 свод без  ПДВ'!BG82</f>
        <v>9.3480000000000008</v>
      </c>
      <c r="BS82" s="159">
        <f t="shared" si="83"/>
        <v>1.1999999999972033E-3</v>
      </c>
      <c r="BU82" s="77">
        <f>'[1]Тариф 26 свод без  ПДВ'!AU82</f>
        <v>9.3480000000000008</v>
      </c>
      <c r="BV82" s="159">
        <f t="shared" si="84"/>
        <v>1.1999999999972033E-3</v>
      </c>
      <c r="BX82" s="95">
        <v>4.2737999999999996</v>
      </c>
      <c r="BY82" s="95">
        <v>4.2737999999999996</v>
      </c>
      <c r="BZ82" s="95"/>
      <c r="CA82" s="62">
        <f t="shared" si="85"/>
        <v>2.1875614207496836</v>
      </c>
      <c r="CB82" s="62">
        <f t="shared" si="86"/>
        <v>2.1875614207496836</v>
      </c>
      <c r="CI82" s="160">
        <f>'[1]0 СВОД'!AYY97</f>
        <v>25852.24328899397</v>
      </c>
      <c r="CJ82" s="77">
        <f t="shared" si="87"/>
        <v>310226.91946792766</v>
      </c>
      <c r="CM82" s="161">
        <v>80</v>
      </c>
      <c r="CN82" s="183" t="s">
        <v>608</v>
      </c>
      <c r="CO82" s="163">
        <v>5</v>
      </c>
      <c r="CP82" s="163">
        <v>4</v>
      </c>
      <c r="CQ82" s="164" t="s">
        <v>77</v>
      </c>
      <c r="CR82" s="165" t="s">
        <v>49</v>
      </c>
      <c r="CS82" s="166">
        <v>2765.4</v>
      </c>
      <c r="CT82" s="166">
        <v>0</v>
      </c>
      <c r="CU82" s="167">
        <v>0</v>
      </c>
      <c r="CV82" s="168">
        <v>2765.4</v>
      </c>
      <c r="CW82" s="166">
        <v>2765.4</v>
      </c>
      <c r="CX82" s="167">
        <v>0</v>
      </c>
      <c r="CY82" s="166">
        <v>0</v>
      </c>
      <c r="CZ82" s="166"/>
      <c r="DA82" s="166">
        <v>2765.4</v>
      </c>
      <c r="DB82" s="166"/>
      <c r="DC82" s="166">
        <v>0</v>
      </c>
      <c r="DD82" s="59">
        <v>0.16300000000000001</v>
      </c>
      <c r="DE82" s="59">
        <v>0.1497</v>
      </c>
      <c r="DF82" s="59">
        <v>0.21460000000000001</v>
      </c>
      <c r="DG82" s="59">
        <v>4.36E-2</v>
      </c>
      <c r="DH82" s="59">
        <v>1.17E-2</v>
      </c>
      <c r="DI82" s="59">
        <v>0.21640000000000001</v>
      </c>
      <c r="DJ82" s="59">
        <v>4.8099999999999997E-2</v>
      </c>
      <c r="DK82" s="59">
        <v>0.3458</v>
      </c>
      <c r="DL82" s="169">
        <v>0</v>
      </c>
      <c r="DM82" s="59">
        <v>0.1027</v>
      </c>
      <c r="DN82" s="169">
        <v>0</v>
      </c>
      <c r="DO82" s="184">
        <v>1.3935</v>
      </c>
      <c r="DP82" s="171">
        <f t="shared" si="88"/>
        <v>2.3511000000000002</v>
      </c>
      <c r="DQ82" s="59">
        <v>0.1061</v>
      </c>
      <c r="DR82" s="59">
        <v>0.19539999999999999</v>
      </c>
      <c r="DS82" s="59">
        <v>2.3E-2</v>
      </c>
      <c r="DT82" s="59">
        <v>4.9200000000000001E-2</v>
      </c>
      <c r="DU82" s="59">
        <v>2.5499999999999998E-2</v>
      </c>
      <c r="DV82" s="59">
        <v>5.9700000000000003E-2</v>
      </c>
      <c r="DW82" s="59">
        <v>9.1999999999999998E-3</v>
      </c>
      <c r="DX82" s="169">
        <v>0</v>
      </c>
      <c r="DY82" s="59">
        <v>0.75990000000000002</v>
      </c>
      <c r="DZ82" s="171">
        <f t="shared" si="89"/>
        <v>2.0073693907093038</v>
      </c>
      <c r="EA82" s="59">
        <v>0.7208</v>
      </c>
      <c r="EB82" s="171">
        <f t="shared" si="90"/>
        <v>1.7898168701442843</v>
      </c>
      <c r="EC82" s="59">
        <v>0.252</v>
      </c>
      <c r="ED82" s="171">
        <f t="shared" si="91"/>
        <v>1.9063492063492062</v>
      </c>
      <c r="EE82" s="59">
        <v>4.4400000000000002E-2</v>
      </c>
      <c r="EF82" s="59">
        <v>6.1999999999999998E-3</v>
      </c>
      <c r="EG82" s="59">
        <v>0.12180000000000001</v>
      </c>
      <c r="EH82" s="59">
        <v>0</v>
      </c>
      <c r="EI82" s="208">
        <v>0.12659999999999999</v>
      </c>
      <c r="EJ82" s="172">
        <v>5.1888999999999994</v>
      </c>
      <c r="EK82" s="173"/>
      <c r="EL82" s="169">
        <v>0</v>
      </c>
      <c r="EM82" s="169">
        <v>0</v>
      </c>
      <c r="EN82" s="59"/>
      <c r="EO82" s="172"/>
      <c r="ES82" s="57">
        <f t="shared" si="101"/>
        <v>5.1888999999999994</v>
      </c>
      <c r="ET82" s="57">
        <f t="shared" si="102"/>
        <v>0</v>
      </c>
      <c r="EU82" s="31"/>
      <c r="EV82" s="61">
        <f t="shared" si="92"/>
        <v>1.8017691610938733</v>
      </c>
      <c r="EW82" s="62"/>
      <c r="EX82" s="158">
        <f>ES82*1.305-BA82</f>
        <v>-2.5776854999999994</v>
      </c>
      <c r="EY82" s="77">
        <f t="shared" ref="EY82:EY84" si="126">ES82*1.344</f>
        <v>6.9738815999999995</v>
      </c>
      <c r="EZ82" s="158">
        <f t="shared" si="93"/>
        <v>9.349199999999998</v>
      </c>
      <c r="FA82" s="158">
        <f t="shared" si="94"/>
        <v>9.349199999999998</v>
      </c>
      <c r="FH82" s="174">
        <f t="shared" si="103"/>
        <v>25852.407839999993</v>
      </c>
      <c r="FJ82" s="87">
        <v>1.3704638748096898</v>
      </c>
      <c r="FK82" s="176">
        <f t="shared" si="104"/>
        <v>1.3147148160647992</v>
      </c>
      <c r="FM82" s="87" t="e">
        <f t="shared" si="105"/>
        <v>#DIV/0!</v>
      </c>
      <c r="FO82" s="88">
        <f t="shared" si="95"/>
        <v>25852.407839999993</v>
      </c>
      <c r="FP82" s="79">
        <f t="shared" si="96"/>
        <v>0</v>
      </c>
      <c r="FS82" s="79">
        <f t="shared" si="97"/>
        <v>14348.346279999998</v>
      </c>
      <c r="FT82" s="79">
        <f t="shared" si="98"/>
        <v>0</v>
      </c>
      <c r="FU82" s="79">
        <f t="shared" si="106"/>
        <v>1.8017691610938733</v>
      </c>
      <c r="FV82" s="79" t="e">
        <f t="shared" si="106"/>
        <v>#DIV/0!</v>
      </c>
      <c r="FY82" s="79">
        <f t="shared" si="107"/>
        <v>25852.407839999993</v>
      </c>
      <c r="FZ82" s="79">
        <f t="shared" si="108"/>
        <v>0</v>
      </c>
      <c r="GB82" s="178">
        <f t="shared" si="109"/>
        <v>2765.2</v>
      </c>
      <c r="GC82" s="178">
        <f t="shared" si="110"/>
        <v>0</v>
      </c>
      <c r="GG82" s="14">
        <v>7.3620000000000001</v>
      </c>
      <c r="GH82" s="175">
        <f t="shared" si="111"/>
        <v>1.2699266503667479</v>
      </c>
      <c r="GI82" s="14">
        <v>7.3620000000000001</v>
      </c>
      <c r="GJ82" s="175">
        <f t="shared" si="112"/>
        <v>1.2699266503667479</v>
      </c>
      <c r="GK82" s="175">
        <f t="shared" ref="GK82:GK84" si="127">GH82-GJ82</f>
        <v>0</v>
      </c>
      <c r="GN82" s="14">
        <v>9.5886999999999993</v>
      </c>
      <c r="GO82" s="175">
        <f t="shared" si="113"/>
        <v>1.3024585710404781</v>
      </c>
      <c r="GP82" s="179">
        <f t="shared" si="114"/>
        <v>0.97502268294972194</v>
      </c>
      <c r="GQ82" s="14">
        <v>9.5886999999999993</v>
      </c>
      <c r="GR82" s="175">
        <f t="shared" si="115"/>
        <v>1.3024585710404781</v>
      </c>
      <c r="GS82" s="175">
        <f t="shared" si="116"/>
        <v>0.97502268294972194</v>
      </c>
      <c r="GV82" s="32">
        <f t="shared" si="117"/>
        <v>25852.407839999993</v>
      </c>
      <c r="GW82" s="32">
        <f t="shared" si="118"/>
        <v>0</v>
      </c>
      <c r="GX82" s="180">
        <f t="shared" si="119"/>
        <v>25852.407839999993</v>
      </c>
      <c r="GZ82" s="32">
        <f t="shared" si="120"/>
        <v>9.349199999999998</v>
      </c>
      <c r="HA82" s="32" t="e">
        <f t="shared" si="121"/>
        <v>#DIV/0!</v>
      </c>
      <c r="HB82" s="32">
        <f t="shared" si="122"/>
        <v>9.349199999999998</v>
      </c>
    </row>
    <row r="83" spans="1:210" ht="19.2" customHeight="1" x14ac:dyDescent="0.3">
      <c r="A83" s="50">
        <v>75</v>
      </c>
      <c r="B83" s="51" t="s">
        <v>609</v>
      </c>
      <c r="C83" s="150" t="s">
        <v>581</v>
      </c>
      <c r="D83" s="52">
        <v>5</v>
      </c>
      <c r="E83" s="52">
        <v>4</v>
      </c>
      <c r="F83" s="63">
        <v>60</v>
      </c>
      <c r="G83" s="54" t="s">
        <v>78</v>
      </c>
      <c r="H83" s="181" t="s">
        <v>49</v>
      </c>
      <c r="I83" s="55">
        <f t="shared" si="99"/>
        <v>2754.9</v>
      </c>
      <c r="J83" s="55">
        <f t="shared" si="79"/>
        <v>0</v>
      </c>
      <c r="K83" s="55">
        <f t="shared" si="80"/>
        <v>0</v>
      </c>
      <c r="L83" s="56">
        <v>2754.9</v>
      </c>
      <c r="M83" s="56">
        <v>2754.9</v>
      </c>
      <c r="N83" s="56">
        <f t="shared" si="100"/>
        <v>2754.9</v>
      </c>
      <c r="O83" s="56">
        <v>0</v>
      </c>
      <c r="P83" s="56">
        <v>0</v>
      </c>
      <c r="Q83" s="55"/>
      <c r="R83" s="55">
        <v>2754.9</v>
      </c>
      <c r="S83" s="55"/>
      <c r="T83" s="55">
        <v>0</v>
      </c>
      <c r="U83" s="152">
        <v>2754.9</v>
      </c>
      <c r="V83" s="57">
        <v>0.1668</v>
      </c>
      <c r="W83" s="153">
        <v>9.2499999999999999E-2</v>
      </c>
      <c r="X83" s="57">
        <v>0.32519999999999999</v>
      </c>
      <c r="Y83" s="57">
        <v>7.4399999999999994E-2</v>
      </c>
      <c r="Z83" s="153">
        <v>3.1199999999999999E-2</v>
      </c>
      <c r="AA83" s="57">
        <v>0.49930000000000002</v>
      </c>
      <c r="AB83" s="153">
        <v>0</v>
      </c>
      <c r="AC83" s="57">
        <v>0.63149999999999995</v>
      </c>
      <c r="AD83" s="57">
        <v>0.17219999999999999</v>
      </c>
      <c r="AE83" s="57">
        <v>0</v>
      </c>
      <c r="AF83" s="57">
        <v>2.6183999999999998</v>
      </c>
      <c r="AG83" s="57">
        <v>0.22109999999999999</v>
      </c>
      <c r="AH83" s="57">
        <v>0.32790000000000002</v>
      </c>
      <c r="AI83" s="153">
        <v>8.7999999999999995E-2</v>
      </c>
      <c r="AJ83" s="153">
        <v>0.10489999999999999</v>
      </c>
      <c r="AK83" s="153">
        <v>6.0600000000000001E-2</v>
      </c>
      <c r="AL83" s="57">
        <v>0.1721</v>
      </c>
      <c r="AM83" s="153">
        <v>3.3599999999999998E-2</v>
      </c>
      <c r="AN83" s="57">
        <v>0</v>
      </c>
      <c r="AO83" s="153">
        <v>1.2685999999999999</v>
      </c>
      <c r="AP83" s="57">
        <v>1.2108000000000001</v>
      </c>
      <c r="AQ83" s="57">
        <v>9.2299999999999993E-2</v>
      </c>
      <c r="AR83" s="153">
        <v>0.4839</v>
      </c>
      <c r="AS83" s="57">
        <v>5.8299999999999998E-2</v>
      </c>
      <c r="AT83" s="57">
        <v>9.4999999999999998E-3</v>
      </c>
      <c r="AU83" s="153">
        <v>0.26679999999999998</v>
      </c>
      <c r="AV83" s="153">
        <v>0</v>
      </c>
      <c r="AW83" s="154">
        <v>9.0098999999999982</v>
      </c>
      <c r="AX83" s="58">
        <v>0.45050000000000001</v>
      </c>
      <c r="AY83" s="155">
        <f t="shared" si="81"/>
        <v>0.44590000000000002</v>
      </c>
      <c r="AZ83" s="155">
        <f t="shared" si="82"/>
        <v>4.599999999999993E-3</v>
      </c>
      <c r="BA83" s="14">
        <v>9.4603999999999981</v>
      </c>
      <c r="BB83" s="59">
        <f>BA83-'[1]Тариф 26 свод без  ПДВ'!AU83</f>
        <v>-5.7000000000027029E-3</v>
      </c>
      <c r="BC83" s="57">
        <v>0</v>
      </c>
      <c r="BD83" s="57">
        <v>0</v>
      </c>
      <c r="BE83" s="57">
        <v>0</v>
      </c>
      <c r="BF83" s="156">
        <v>9.0098999999999982</v>
      </c>
      <c r="BG83" s="59">
        <v>0.45050000000000001</v>
      </c>
      <c r="BH83" s="59"/>
      <c r="BI83" s="59"/>
      <c r="BJ83" s="14">
        <v>9.4603999999999981</v>
      </c>
      <c r="BK83" s="60"/>
      <c r="BL83" s="60">
        <v>5.7797999999999981</v>
      </c>
      <c r="BM83" s="60">
        <v>0.28899999999999998</v>
      </c>
      <c r="BN83" s="14">
        <v>6.0687999999999978</v>
      </c>
      <c r="BO83" s="14"/>
      <c r="BP83" s="157"/>
      <c r="BQ83" s="158">
        <f>BJ83-'[1]Тариф 26 свод без  ПДВ'!BG83</f>
        <v>-5.7000000000027029E-3</v>
      </c>
      <c r="BR83" s="77">
        <f>'[1]Тариф 26 свод без  ПДВ'!BG83</f>
        <v>9.4661000000000008</v>
      </c>
      <c r="BS83" s="159">
        <f t="shared" si="83"/>
        <v>-5.7000000000027029E-3</v>
      </c>
      <c r="BU83" s="77">
        <f>'[1]Тариф 26 свод без  ПДВ'!AU83</f>
        <v>9.4661000000000008</v>
      </c>
      <c r="BV83" s="159">
        <f t="shared" si="84"/>
        <v>-5.7000000000027029E-3</v>
      </c>
      <c r="BX83" s="95">
        <v>4.4695</v>
      </c>
      <c r="BY83" s="95">
        <v>4.4695</v>
      </c>
      <c r="BZ83" s="95"/>
      <c r="CA83" s="62">
        <f t="shared" si="85"/>
        <v>2.1166573442219483</v>
      </c>
      <c r="CB83" s="62">
        <f t="shared" si="86"/>
        <v>2.1166573442219483</v>
      </c>
      <c r="CI83" s="160">
        <f>'[1]0 СВОД'!AYY98</f>
        <v>26062.950707084168</v>
      </c>
      <c r="CJ83" s="77">
        <f t="shared" si="87"/>
        <v>312755.40848501003</v>
      </c>
      <c r="CM83" s="161">
        <v>81</v>
      </c>
      <c r="CN83" s="183" t="s">
        <v>610</v>
      </c>
      <c r="CO83" s="163">
        <v>5</v>
      </c>
      <c r="CP83" s="163">
        <v>4</v>
      </c>
      <c r="CQ83" s="164" t="s">
        <v>78</v>
      </c>
      <c r="CR83" s="165" t="s">
        <v>49</v>
      </c>
      <c r="CS83" s="166">
        <v>2753.7</v>
      </c>
      <c r="CT83" s="166">
        <v>0</v>
      </c>
      <c r="CU83" s="167">
        <v>0</v>
      </c>
      <c r="CV83" s="168">
        <v>2753.7</v>
      </c>
      <c r="CW83" s="166">
        <v>2753.7</v>
      </c>
      <c r="CX83" s="167">
        <v>0</v>
      </c>
      <c r="CY83" s="166">
        <v>0</v>
      </c>
      <c r="CZ83" s="166"/>
      <c r="DA83" s="166">
        <v>2753.7</v>
      </c>
      <c r="DB83" s="166"/>
      <c r="DC83" s="166">
        <v>0</v>
      </c>
      <c r="DD83" s="59">
        <v>0.1915</v>
      </c>
      <c r="DE83" s="59">
        <v>0.15029999999999999</v>
      </c>
      <c r="DF83" s="59">
        <v>0.21379999999999999</v>
      </c>
      <c r="DG83" s="59">
        <v>4.3799999999999999E-2</v>
      </c>
      <c r="DH83" s="59">
        <v>1.17E-2</v>
      </c>
      <c r="DI83" s="59">
        <v>0.21729999999999999</v>
      </c>
      <c r="DJ83" s="59">
        <v>4.8099999999999997E-2</v>
      </c>
      <c r="DK83" s="59">
        <v>0.3458</v>
      </c>
      <c r="DL83" s="169">
        <v>0</v>
      </c>
      <c r="DM83" s="59">
        <v>0.1048</v>
      </c>
      <c r="DN83" s="169">
        <v>0</v>
      </c>
      <c r="DO83" s="184">
        <v>1.4523000000000001</v>
      </c>
      <c r="DP83" s="171">
        <f t="shared" si="88"/>
        <v>2.6183999999999998</v>
      </c>
      <c r="DQ83" s="59">
        <v>0.13170000000000001</v>
      </c>
      <c r="DR83" s="59">
        <v>0.1963</v>
      </c>
      <c r="DS83" s="59">
        <v>2.29E-2</v>
      </c>
      <c r="DT83" s="59">
        <v>4.9399999999999999E-2</v>
      </c>
      <c r="DU83" s="59">
        <v>2.5600000000000001E-2</v>
      </c>
      <c r="DV83" s="59">
        <v>0.06</v>
      </c>
      <c r="DW83" s="59">
        <v>9.1999999999999998E-3</v>
      </c>
      <c r="DX83" s="169">
        <v>0</v>
      </c>
      <c r="DY83" s="59">
        <v>0.63660000000000005</v>
      </c>
      <c r="DZ83" s="171">
        <f t="shared" si="89"/>
        <v>1.99277411247251</v>
      </c>
      <c r="EA83" s="59">
        <v>0.72850000000000004</v>
      </c>
      <c r="EB83" s="171">
        <f t="shared" si="90"/>
        <v>1.7887439945092658</v>
      </c>
      <c r="EC83" s="59">
        <v>0.25559999999999999</v>
      </c>
      <c r="ED83" s="171">
        <f t="shared" si="91"/>
        <v>1.8931924882629108</v>
      </c>
      <c r="EE83" s="59">
        <v>4.4600000000000001E-2</v>
      </c>
      <c r="EF83" s="59">
        <v>6.1999999999999998E-3</v>
      </c>
      <c r="EG83" s="59">
        <v>0.28239999999999998</v>
      </c>
      <c r="EH83" s="59">
        <v>0</v>
      </c>
      <c r="EI83" s="208">
        <v>0.13070000000000001</v>
      </c>
      <c r="EJ83" s="172">
        <v>5.3590999999999998</v>
      </c>
      <c r="EK83" s="173"/>
      <c r="EL83" s="169">
        <v>0</v>
      </c>
      <c r="EM83" s="169">
        <v>0</v>
      </c>
      <c r="EN83" s="59"/>
      <c r="EO83" s="172"/>
      <c r="ES83" s="57">
        <f t="shared" si="101"/>
        <v>5.3590999999999998</v>
      </c>
      <c r="ET83" s="57">
        <f t="shared" si="102"/>
        <v>0</v>
      </c>
      <c r="EU83" s="31"/>
      <c r="EV83" s="61">
        <f t="shared" si="92"/>
        <v>1.7652964117109213</v>
      </c>
      <c r="EW83" s="62"/>
      <c r="EX83" s="158">
        <f>ES83*1.305-BA83</f>
        <v>-2.4667744999999988</v>
      </c>
      <c r="EY83" s="77">
        <f t="shared" si="126"/>
        <v>7.2026304000000003</v>
      </c>
      <c r="EZ83" s="158">
        <f t="shared" si="93"/>
        <v>9.4603999999999981</v>
      </c>
      <c r="FA83" s="158">
        <f t="shared" si="94"/>
        <v>9.4603999999999981</v>
      </c>
      <c r="FH83" s="174">
        <f t="shared" si="103"/>
        <v>26062.455959999996</v>
      </c>
      <c r="FJ83" s="87">
        <v>1.3663674870780544</v>
      </c>
      <c r="FK83" s="176">
        <f t="shared" si="104"/>
        <v>1.291963127347217</v>
      </c>
      <c r="FM83" s="87" t="e">
        <f t="shared" si="105"/>
        <v>#DIV/0!</v>
      </c>
      <c r="FO83" s="88">
        <f t="shared" si="95"/>
        <v>26062.455959999996</v>
      </c>
      <c r="FP83" s="79">
        <f t="shared" si="96"/>
        <v>0</v>
      </c>
      <c r="FS83" s="79">
        <f t="shared" si="97"/>
        <v>14763.784589999999</v>
      </c>
      <c r="FT83" s="79">
        <f t="shared" si="98"/>
        <v>0</v>
      </c>
      <c r="FU83" s="79">
        <f t="shared" si="106"/>
        <v>1.7652964117109213</v>
      </c>
      <c r="FV83" s="79" t="e">
        <f t="shared" si="106"/>
        <v>#DIV/0!</v>
      </c>
      <c r="FY83" s="79">
        <f t="shared" si="107"/>
        <v>26062.455959999996</v>
      </c>
      <c r="FZ83" s="79">
        <f t="shared" si="108"/>
        <v>0</v>
      </c>
      <c r="GB83" s="178">
        <f t="shared" si="109"/>
        <v>2754.9</v>
      </c>
      <c r="GC83" s="178">
        <f t="shared" si="110"/>
        <v>0</v>
      </c>
      <c r="GG83" s="14">
        <v>7.5801999999999987</v>
      </c>
      <c r="GH83" s="175">
        <f t="shared" si="111"/>
        <v>1.2480409487876309</v>
      </c>
      <c r="GI83" s="14">
        <v>7.5801999999999987</v>
      </c>
      <c r="GJ83" s="175">
        <f t="shared" si="112"/>
        <v>1.2480409487876309</v>
      </c>
      <c r="GK83" s="175">
        <f t="shared" si="127"/>
        <v>0</v>
      </c>
      <c r="GN83" s="14">
        <v>9.5604999999999958</v>
      </c>
      <c r="GO83" s="175">
        <f t="shared" si="113"/>
        <v>1.2612464051080443</v>
      </c>
      <c r="GP83" s="179">
        <f t="shared" si="114"/>
        <v>0.98952983630563285</v>
      </c>
      <c r="GQ83" s="14">
        <v>9.5604999999999958</v>
      </c>
      <c r="GR83" s="175">
        <f t="shared" si="115"/>
        <v>1.2612464051080443</v>
      </c>
      <c r="GS83" s="175">
        <f t="shared" si="116"/>
        <v>0.98952983630563285</v>
      </c>
      <c r="GV83" s="32">
        <f t="shared" si="117"/>
        <v>26062.455959999996</v>
      </c>
      <c r="GW83" s="32">
        <f t="shared" si="118"/>
        <v>0</v>
      </c>
      <c r="GX83" s="180">
        <f t="shared" si="119"/>
        <v>26062.455959999996</v>
      </c>
      <c r="GZ83" s="32">
        <f t="shared" si="120"/>
        <v>9.4603999999999981</v>
      </c>
      <c r="HA83" s="32" t="e">
        <f t="shared" si="121"/>
        <v>#DIV/0!</v>
      </c>
      <c r="HB83" s="32">
        <f t="shared" si="122"/>
        <v>9.4603999999999981</v>
      </c>
    </row>
    <row r="84" spans="1:210" ht="19.2" customHeight="1" x14ac:dyDescent="0.3">
      <c r="A84" s="50">
        <v>76</v>
      </c>
      <c r="B84" s="51" t="s">
        <v>611</v>
      </c>
      <c r="C84" s="150" t="s">
        <v>581</v>
      </c>
      <c r="D84" s="52">
        <v>5</v>
      </c>
      <c r="E84" s="52">
        <v>4</v>
      </c>
      <c r="F84" s="63">
        <v>60</v>
      </c>
      <c r="G84" s="54" t="s">
        <v>79</v>
      </c>
      <c r="H84" s="181" t="s">
        <v>49</v>
      </c>
      <c r="I84" s="55">
        <f t="shared" si="99"/>
        <v>2749.2</v>
      </c>
      <c r="J84" s="55">
        <f t="shared" si="79"/>
        <v>0</v>
      </c>
      <c r="K84" s="55">
        <f t="shared" si="80"/>
        <v>0</v>
      </c>
      <c r="L84" s="56">
        <v>2749.2</v>
      </c>
      <c r="M84" s="56">
        <v>2749.2</v>
      </c>
      <c r="N84" s="56">
        <f t="shared" si="100"/>
        <v>2749.2</v>
      </c>
      <c r="O84" s="56">
        <v>0</v>
      </c>
      <c r="P84" s="56">
        <v>0</v>
      </c>
      <c r="Q84" s="55"/>
      <c r="R84" s="55">
        <v>2749.2</v>
      </c>
      <c r="S84" s="55"/>
      <c r="T84" s="55">
        <v>0</v>
      </c>
      <c r="U84" s="152">
        <v>2749.2</v>
      </c>
      <c r="V84" s="57">
        <v>0.16719999999999999</v>
      </c>
      <c r="W84" s="153">
        <v>9.2700000000000005E-2</v>
      </c>
      <c r="X84" s="57">
        <v>0.3251</v>
      </c>
      <c r="Y84" s="57">
        <v>7.4200000000000002E-2</v>
      </c>
      <c r="Z84" s="153">
        <v>3.1300000000000001E-2</v>
      </c>
      <c r="AA84" s="57">
        <v>0.50029999999999997</v>
      </c>
      <c r="AB84" s="153">
        <v>0</v>
      </c>
      <c r="AC84" s="57">
        <v>0.63149999999999995</v>
      </c>
      <c r="AD84" s="57">
        <v>0.1726</v>
      </c>
      <c r="AE84" s="57">
        <v>0</v>
      </c>
      <c r="AF84" s="57">
        <v>2.5472000000000001</v>
      </c>
      <c r="AG84" s="57">
        <v>0.22159999999999999</v>
      </c>
      <c r="AH84" s="57">
        <v>0.3286</v>
      </c>
      <c r="AI84" s="153">
        <v>8.7999999999999995E-2</v>
      </c>
      <c r="AJ84" s="153">
        <v>0.1051</v>
      </c>
      <c r="AK84" s="153">
        <v>6.08E-2</v>
      </c>
      <c r="AL84" s="57">
        <v>0.17249999999999999</v>
      </c>
      <c r="AM84" s="153">
        <v>3.3599999999999998E-2</v>
      </c>
      <c r="AN84" s="57">
        <v>0</v>
      </c>
      <c r="AO84" s="153">
        <v>1.4433</v>
      </c>
      <c r="AP84" s="57">
        <v>1.1499999999999999</v>
      </c>
      <c r="AQ84" s="57">
        <v>8.72E-2</v>
      </c>
      <c r="AR84" s="153">
        <v>0.51839999999999997</v>
      </c>
      <c r="AS84" s="57">
        <v>5.8400000000000001E-2</v>
      </c>
      <c r="AT84" s="57">
        <v>9.4999999999999998E-3</v>
      </c>
      <c r="AU84" s="153">
        <v>0.1205</v>
      </c>
      <c r="AV84" s="153">
        <v>0</v>
      </c>
      <c r="AW84" s="154">
        <v>8.9395999999999987</v>
      </c>
      <c r="AX84" s="58">
        <v>0.44700000000000001</v>
      </c>
      <c r="AY84" s="155">
        <f t="shared" si="81"/>
        <v>0.44259999999999999</v>
      </c>
      <c r="AZ84" s="155">
        <f t="shared" si="82"/>
        <v>4.400000000000015E-3</v>
      </c>
      <c r="BA84" s="14">
        <v>9.3865999999999978</v>
      </c>
      <c r="BB84" s="59">
        <f>BA84-'[1]Тариф 26 свод без  ПДВ'!AU84</f>
        <v>3.5999999999987153E-3</v>
      </c>
      <c r="BC84" s="57">
        <v>0</v>
      </c>
      <c r="BD84" s="57">
        <v>0</v>
      </c>
      <c r="BE84" s="57">
        <v>0</v>
      </c>
      <c r="BF84" s="156">
        <v>8.9395999999999987</v>
      </c>
      <c r="BG84" s="59">
        <v>0.44700000000000001</v>
      </c>
      <c r="BH84" s="59"/>
      <c r="BI84" s="59"/>
      <c r="BJ84" s="14">
        <v>9.3865999999999978</v>
      </c>
      <c r="BK84" s="60"/>
      <c r="BL84" s="60">
        <v>5.7073999999999989</v>
      </c>
      <c r="BM84" s="60">
        <v>0.28539999999999999</v>
      </c>
      <c r="BN84" s="14">
        <v>5.992799999999999</v>
      </c>
      <c r="BO84" s="14"/>
      <c r="BP84" s="157"/>
      <c r="BQ84" s="158">
        <f>BJ84-'[1]Тариф 26 свод без  ПДВ'!BG84</f>
        <v>3.5999999999987153E-3</v>
      </c>
      <c r="BR84" s="77">
        <f>'[1]Тариф 26 свод без  ПДВ'!BG84</f>
        <v>9.3829999999999991</v>
      </c>
      <c r="BS84" s="159">
        <f t="shared" si="83"/>
        <v>3.5999999999987153E-3</v>
      </c>
      <c r="BU84" s="77">
        <f>'[1]Тариф 26 свод без  ПДВ'!AU84</f>
        <v>9.3829999999999991</v>
      </c>
      <c r="BV84" s="159">
        <f t="shared" si="84"/>
        <v>3.5999999999987153E-3</v>
      </c>
      <c r="BX84" s="95">
        <v>4.3219000000000003</v>
      </c>
      <c r="BY84" s="95">
        <v>4.3219000000000003</v>
      </c>
      <c r="BZ84" s="95"/>
      <c r="CA84" s="62">
        <f t="shared" si="85"/>
        <v>2.1718688539762598</v>
      </c>
      <c r="CB84" s="62">
        <f t="shared" si="86"/>
        <v>2.1718688539762598</v>
      </c>
      <c r="CI84" s="160">
        <f>'[1]0 СВОД'!AYY99</f>
        <v>25805.244668708812</v>
      </c>
      <c r="CJ84" s="77">
        <f t="shared" si="87"/>
        <v>309662.93602450576</v>
      </c>
      <c r="CM84" s="161">
        <v>82</v>
      </c>
      <c r="CN84" s="183" t="s">
        <v>612</v>
      </c>
      <c r="CO84" s="163">
        <v>5</v>
      </c>
      <c r="CP84" s="163">
        <v>4</v>
      </c>
      <c r="CQ84" s="164" t="s">
        <v>79</v>
      </c>
      <c r="CR84" s="165" t="s">
        <v>49</v>
      </c>
      <c r="CS84" s="166">
        <v>2749.1</v>
      </c>
      <c r="CT84" s="166">
        <v>0</v>
      </c>
      <c r="CU84" s="167">
        <v>0</v>
      </c>
      <c r="CV84" s="168">
        <v>2749.1</v>
      </c>
      <c r="CW84" s="166">
        <v>2749.1</v>
      </c>
      <c r="CX84" s="167">
        <v>0</v>
      </c>
      <c r="CY84" s="166">
        <v>0</v>
      </c>
      <c r="CZ84" s="166"/>
      <c r="DA84" s="166">
        <v>2749.1</v>
      </c>
      <c r="DB84" s="166"/>
      <c r="DC84" s="166">
        <v>0</v>
      </c>
      <c r="DD84" s="59">
        <v>0.16400000000000001</v>
      </c>
      <c r="DE84" s="59">
        <v>0.15049999999999999</v>
      </c>
      <c r="DF84" s="59">
        <v>0.2137</v>
      </c>
      <c r="DG84" s="59">
        <v>4.36E-2</v>
      </c>
      <c r="DH84" s="59">
        <v>1.17E-2</v>
      </c>
      <c r="DI84" s="59">
        <v>0.2177</v>
      </c>
      <c r="DJ84" s="59">
        <v>4.8099999999999997E-2</v>
      </c>
      <c r="DK84" s="59">
        <v>0.3458</v>
      </c>
      <c r="DL84" s="169">
        <v>0</v>
      </c>
      <c r="DM84" s="59">
        <v>0.105</v>
      </c>
      <c r="DN84" s="169">
        <v>0</v>
      </c>
      <c r="DO84" s="184">
        <v>1.3947000000000001</v>
      </c>
      <c r="DP84" s="171">
        <f t="shared" si="88"/>
        <v>2.5472000000000001</v>
      </c>
      <c r="DQ84" s="59">
        <v>0.1067</v>
      </c>
      <c r="DR84" s="59">
        <v>0.1966</v>
      </c>
      <c r="DS84" s="59">
        <v>2.29E-2</v>
      </c>
      <c r="DT84" s="59">
        <v>4.9500000000000002E-2</v>
      </c>
      <c r="DU84" s="59">
        <v>2.5600000000000001E-2</v>
      </c>
      <c r="DV84" s="59">
        <v>6.0100000000000001E-2</v>
      </c>
      <c r="DW84" s="59">
        <v>9.1999999999999998E-3</v>
      </c>
      <c r="DX84" s="169">
        <v>0</v>
      </c>
      <c r="DY84" s="59">
        <v>0.72919999999999996</v>
      </c>
      <c r="DZ84" s="171">
        <f t="shared" si="89"/>
        <v>1.979292375205705</v>
      </c>
      <c r="EA84" s="59">
        <v>0.69430000000000003</v>
      </c>
      <c r="EB84" s="171">
        <f t="shared" si="90"/>
        <v>1.7819386432377933</v>
      </c>
      <c r="EC84" s="59">
        <v>0.27350000000000002</v>
      </c>
      <c r="ED84" s="171">
        <f t="shared" si="91"/>
        <v>1.8954296160877511</v>
      </c>
      <c r="EE84" s="59">
        <v>4.4699999999999997E-2</v>
      </c>
      <c r="EF84" s="59">
        <v>6.1999999999999998E-3</v>
      </c>
      <c r="EG84" s="59">
        <v>0.1757</v>
      </c>
      <c r="EH84" s="59">
        <v>0</v>
      </c>
      <c r="EI84" s="208">
        <v>0.12720000000000001</v>
      </c>
      <c r="EJ84" s="172">
        <v>5.2161999999999997</v>
      </c>
      <c r="EK84" s="173"/>
      <c r="EL84" s="169">
        <v>0</v>
      </c>
      <c r="EM84" s="169">
        <v>0</v>
      </c>
      <c r="EN84" s="59"/>
      <c r="EO84" s="172"/>
      <c r="ES84" s="57">
        <f t="shared" si="101"/>
        <v>5.2161999999999997</v>
      </c>
      <c r="ET84" s="57">
        <f t="shared" si="102"/>
        <v>0</v>
      </c>
      <c r="EU84" s="31"/>
      <c r="EV84" s="61">
        <f t="shared" si="92"/>
        <v>1.7995092212721902</v>
      </c>
      <c r="EW84" s="62"/>
      <c r="EX84" s="158">
        <f>ES84*1.305-BA84</f>
        <v>-2.5794589999999982</v>
      </c>
      <c r="EY84" s="77">
        <f t="shared" si="126"/>
        <v>7.0105728000000003</v>
      </c>
      <c r="EZ84" s="158">
        <f t="shared" si="93"/>
        <v>9.3865999999999978</v>
      </c>
      <c r="FA84" s="158">
        <f t="shared" si="94"/>
        <v>9.3865999999999978</v>
      </c>
      <c r="FH84" s="174">
        <f t="shared" si="103"/>
        <v>25805.640719999992</v>
      </c>
      <c r="FJ84" s="87">
        <v>1.3598980100456275</v>
      </c>
      <c r="FK84" s="176">
        <f t="shared" si="104"/>
        <v>1.323267780362303</v>
      </c>
      <c r="FM84" s="87" t="e">
        <f t="shared" si="105"/>
        <v>#DIV/0!</v>
      </c>
      <c r="FO84" s="88">
        <f t="shared" si="95"/>
        <v>25805.640719999992</v>
      </c>
      <c r="FP84" s="79">
        <f t="shared" si="96"/>
        <v>0</v>
      </c>
      <c r="FS84" s="79">
        <f t="shared" si="97"/>
        <v>14340.377039999998</v>
      </c>
      <c r="FT84" s="79">
        <f t="shared" si="98"/>
        <v>0</v>
      </c>
      <c r="FU84" s="79">
        <f t="shared" si="106"/>
        <v>1.7995092212721902</v>
      </c>
      <c r="FV84" s="79" t="e">
        <f t="shared" si="106"/>
        <v>#DIV/0!</v>
      </c>
      <c r="FY84" s="79">
        <f t="shared" si="107"/>
        <v>25805.640719999992</v>
      </c>
      <c r="FZ84" s="79">
        <f t="shared" si="108"/>
        <v>0</v>
      </c>
      <c r="GB84" s="178">
        <f t="shared" si="109"/>
        <v>2749.2</v>
      </c>
      <c r="GC84" s="178">
        <f t="shared" si="110"/>
        <v>0</v>
      </c>
      <c r="GG84" s="14">
        <v>7.3914000000000017</v>
      </c>
      <c r="GH84" s="175">
        <f t="shared" si="111"/>
        <v>1.2699353302486667</v>
      </c>
      <c r="GI84" s="14">
        <v>7.3914000000000017</v>
      </c>
      <c r="GJ84" s="175">
        <f t="shared" si="112"/>
        <v>1.2699353302486667</v>
      </c>
      <c r="GK84" s="175">
        <f t="shared" si="127"/>
        <v>0</v>
      </c>
      <c r="GN84" s="14">
        <v>9.5112999999999985</v>
      </c>
      <c r="GO84" s="175">
        <f t="shared" si="113"/>
        <v>1.2868062883892086</v>
      </c>
      <c r="GP84" s="179">
        <f t="shared" si="114"/>
        <v>0.98688927906805579</v>
      </c>
      <c r="GQ84" s="14">
        <v>9.5112999999999985</v>
      </c>
      <c r="GR84" s="175">
        <f t="shared" si="115"/>
        <v>1.2868062883892086</v>
      </c>
      <c r="GS84" s="175">
        <f t="shared" si="116"/>
        <v>0.98688927906805579</v>
      </c>
      <c r="GV84" s="32">
        <f t="shared" si="117"/>
        <v>25805.640719999992</v>
      </c>
      <c r="GW84" s="32">
        <f t="shared" si="118"/>
        <v>0</v>
      </c>
      <c r="GX84" s="180">
        <f t="shared" si="119"/>
        <v>25805.640719999992</v>
      </c>
      <c r="GZ84" s="32">
        <f t="shared" si="120"/>
        <v>9.3865999999999978</v>
      </c>
      <c r="HA84" s="32" t="e">
        <f t="shared" si="121"/>
        <v>#DIV/0!</v>
      </c>
      <c r="HB84" s="32">
        <f t="shared" si="122"/>
        <v>9.3865999999999978</v>
      </c>
    </row>
    <row r="85" spans="1:210" ht="19.2" customHeight="1" x14ac:dyDescent="0.3">
      <c r="A85" s="50">
        <v>77</v>
      </c>
      <c r="B85" s="51" t="s">
        <v>613</v>
      </c>
      <c r="C85" s="150" t="s">
        <v>581</v>
      </c>
      <c r="D85" s="52">
        <v>8</v>
      </c>
      <c r="E85" s="52">
        <v>2</v>
      </c>
      <c r="F85" s="63">
        <v>88</v>
      </c>
      <c r="G85" s="54" t="s">
        <v>168</v>
      </c>
      <c r="H85" s="181" t="s">
        <v>169</v>
      </c>
      <c r="I85" s="55">
        <f t="shared" si="99"/>
        <v>658.80000000000018</v>
      </c>
      <c r="J85" s="55">
        <f t="shared" si="79"/>
        <v>4595.3</v>
      </c>
      <c r="K85" s="55">
        <f t="shared" si="80"/>
        <v>0</v>
      </c>
      <c r="L85" s="56">
        <v>5254.1</v>
      </c>
      <c r="M85" s="56">
        <v>5254.1</v>
      </c>
      <c r="N85" s="56">
        <f t="shared" si="100"/>
        <v>658.80000000000018</v>
      </c>
      <c r="O85" s="56">
        <v>0</v>
      </c>
      <c r="P85" s="56">
        <v>0</v>
      </c>
      <c r="Q85" s="55"/>
      <c r="R85" s="55">
        <v>5254.1</v>
      </c>
      <c r="S85" s="55"/>
      <c r="T85" s="55">
        <v>4595.3</v>
      </c>
      <c r="U85" s="152">
        <v>658.80000000000018</v>
      </c>
      <c r="V85" s="57">
        <v>0.1132</v>
      </c>
      <c r="W85" s="57">
        <v>6.9000000000000006E-2</v>
      </c>
      <c r="X85" s="153">
        <v>0.32740000000000002</v>
      </c>
      <c r="Y85" s="153">
        <v>6.4199999999999993E-2</v>
      </c>
      <c r="Z85" s="57">
        <v>4.9399999999999999E-2</v>
      </c>
      <c r="AA85" s="57">
        <v>0.29239999999999999</v>
      </c>
      <c r="AB85" s="57">
        <v>0</v>
      </c>
      <c r="AC85" s="153">
        <v>0.63149999999999995</v>
      </c>
      <c r="AD85" s="57">
        <v>0.13239999999999999</v>
      </c>
      <c r="AE85" s="57">
        <v>0</v>
      </c>
      <c r="AF85" s="57">
        <v>2.2656000000000001</v>
      </c>
      <c r="AG85" s="57">
        <v>0.15079999999999999</v>
      </c>
      <c r="AH85" s="57">
        <v>0.24759999999999999</v>
      </c>
      <c r="AI85" s="57">
        <v>8.48E-2</v>
      </c>
      <c r="AJ85" s="57">
        <v>7.1400000000000005E-2</v>
      </c>
      <c r="AK85" s="57">
        <v>9.6100000000000005E-2</v>
      </c>
      <c r="AL85" s="57">
        <v>0.1038</v>
      </c>
      <c r="AM85" s="57">
        <v>2.5499999999999998E-2</v>
      </c>
      <c r="AN85" s="57">
        <v>0</v>
      </c>
      <c r="AO85" s="57">
        <v>2.5598000000000001</v>
      </c>
      <c r="AP85" s="153">
        <v>1.4036999999999999</v>
      </c>
      <c r="AQ85" s="153">
        <v>8.0500000000000002E-2</v>
      </c>
      <c r="AR85" s="57">
        <v>0.53210000000000002</v>
      </c>
      <c r="AS85" s="57">
        <v>3.73E-2</v>
      </c>
      <c r="AT85" s="153">
        <v>6.1000000000000004E-3</v>
      </c>
      <c r="AU85" s="153">
        <v>0.3448</v>
      </c>
      <c r="AV85" s="153">
        <v>0</v>
      </c>
      <c r="AW85" s="154">
        <v>9.6894000000000009</v>
      </c>
      <c r="AX85" s="58">
        <v>0.48449999999999999</v>
      </c>
      <c r="AY85" s="155">
        <f t="shared" si="81"/>
        <v>0.48039999999999999</v>
      </c>
      <c r="AZ85" s="155">
        <f t="shared" si="82"/>
        <v>4.0999999999999925E-3</v>
      </c>
      <c r="BA85" s="14">
        <v>10.173900000000001</v>
      </c>
      <c r="BB85" s="59">
        <f>BA85-'[1]Тариф 26 свод без  ПДВ'!AU85</f>
        <v>4.5000000000019469E-3</v>
      </c>
      <c r="BC85" s="57">
        <v>1.4654</v>
      </c>
      <c r="BD85" s="57">
        <v>0</v>
      </c>
      <c r="BE85" s="57">
        <v>0.49109999999999998</v>
      </c>
      <c r="BF85" s="156">
        <v>11.645900000000001</v>
      </c>
      <c r="BG85" s="59">
        <v>0.58230000000000004</v>
      </c>
      <c r="BH85" s="59"/>
      <c r="BI85" s="59"/>
      <c r="BJ85" s="14">
        <v>12.228200000000001</v>
      </c>
      <c r="BK85" s="60"/>
      <c r="BL85" s="60">
        <v>4.849000000000002</v>
      </c>
      <c r="BM85" s="60">
        <v>0.24249999999999999</v>
      </c>
      <c r="BN85" s="14">
        <v>5.0915000000000017</v>
      </c>
      <c r="BO85" s="14"/>
      <c r="BP85" s="157"/>
      <c r="BQ85" s="158">
        <f>BJ85-'[1]Тариф 26 свод без  ПДВ'!BG85</f>
        <v>-5.6999999999991502E-3</v>
      </c>
      <c r="BR85" s="77">
        <f>'[1]Тариф 26 свод без  ПДВ'!BG85</f>
        <v>12.2339</v>
      </c>
      <c r="BS85" s="159">
        <f t="shared" si="83"/>
        <v>-5.6999999999991502E-3</v>
      </c>
      <c r="BU85" s="77">
        <f>'[1]Тариф 26 свод без  ПДВ'!AU85</f>
        <v>10.1694</v>
      </c>
      <c r="BV85" s="159">
        <f t="shared" si="84"/>
        <v>4.5000000000019469E-3</v>
      </c>
      <c r="BX85" s="95">
        <v>3.9978000000000002</v>
      </c>
      <c r="BY85" s="95">
        <v>3.9978000000000002</v>
      </c>
      <c r="BZ85" s="95"/>
      <c r="CA85" s="62">
        <f t="shared" si="85"/>
        <v>2.544874681074591</v>
      </c>
      <c r="CB85" s="62">
        <f t="shared" si="86"/>
        <v>3.0587323027665216</v>
      </c>
      <c r="CI85" s="160">
        <f>'[1]0 СВОД'!AYY100</f>
        <v>62895.230658617686</v>
      </c>
      <c r="CJ85" s="77">
        <f t="shared" si="87"/>
        <v>754742.76790341223</v>
      </c>
      <c r="CM85" s="161">
        <v>83</v>
      </c>
      <c r="CN85" s="183" t="s">
        <v>614</v>
      </c>
      <c r="CO85" s="163">
        <v>8</v>
      </c>
      <c r="CP85" s="163">
        <v>2</v>
      </c>
      <c r="CQ85" s="164" t="s">
        <v>168</v>
      </c>
      <c r="CR85" s="165" t="s">
        <v>169</v>
      </c>
      <c r="CS85" s="166">
        <v>657.11999999999989</v>
      </c>
      <c r="CT85" s="166">
        <v>4592.68</v>
      </c>
      <c r="CU85" s="167">
        <v>0</v>
      </c>
      <c r="CV85" s="168">
        <v>5249.8</v>
      </c>
      <c r="CW85" s="166">
        <v>5249.8</v>
      </c>
      <c r="CX85" s="167">
        <v>0</v>
      </c>
      <c r="CY85" s="166">
        <v>0</v>
      </c>
      <c r="CZ85" s="166"/>
      <c r="DA85" s="166">
        <v>5249.8</v>
      </c>
      <c r="DB85" s="166"/>
      <c r="DC85" s="166">
        <v>4592.68</v>
      </c>
      <c r="DD85" s="59">
        <v>0.1111</v>
      </c>
      <c r="DE85" s="59">
        <v>0.11219999999999999</v>
      </c>
      <c r="DF85" s="59">
        <v>0.2155</v>
      </c>
      <c r="DG85" s="59">
        <v>3.7900000000000003E-2</v>
      </c>
      <c r="DH85" s="59">
        <v>1.8599999999999998E-2</v>
      </c>
      <c r="DI85" s="184">
        <v>0.14199999999999999</v>
      </c>
      <c r="DJ85" s="59">
        <v>4.8099999999999997E-2</v>
      </c>
      <c r="DK85" s="59">
        <v>0.3458</v>
      </c>
      <c r="DL85" s="59">
        <v>6.1800000000000001E-2</v>
      </c>
      <c r="DM85" s="59">
        <v>8.0699999999999994E-2</v>
      </c>
      <c r="DN85" s="169">
        <v>0</v>
      </c>
      <c r="DO85" s="184">
        <v>1.5997999999999999</v>
      </c>
      <c r="DP85" s="171">
        <f t="shared" si="88"/>
        <v>2.2656000000000001</v>
      </c>
      <c r="DQ85" s="59">
        <v>7.2700000000000001E-2</v>
      </c>
      <c r="DR85" s="59">
        <v>0.14849999999999999</v>
      </c>
      <c r="DS85" s="59">
        <v>2.1899999999999999E-2</v>
      </c>
      <c r="DT85" s="59">
        <v>3.39E-2</v>
      </c>
      <c r="DU85" s="59">
        <v>4.0599999999999997E-2</v>
      </c>
      <c r="DV85" s="59">
        <v>3.5799999999999998E-2</v>
      </c>
      <c r="DW85" s="184">
        <v>1.04E-2</v>
      </c>
      <c r="DX85" s="169">
        <v>0</v>
      </c>
      <c r="DY85" s="59">
        <v>1.3048999999999999</v>
      </c>
      <c r="DZ85" s="171">
        <f t="shared" si="89"/>
        <v>1.9616828875775922</v>
      </c>
      <c r="EA85" s="59">
        <v>0.83169999999999999</v>
      </c>
      <c r="EB85" s="171">
        <f t="shared" si="90"/>
        <v>1.7845376938800048</v>
      </c>
      <c r="EC85" s="59">
        <v>0.2772</v>
      </c>
      <c r="ED85" s="171">
        <f t="shared" si="91"/>
        <v>1.9195526695526697</v>
      </c>
      <c r="EE85" s="59">
        <v>2.86E-2</v>
      </c>
      <c r="EF85" s="59">
        <v>4.0000000000000001E-3</v>
      </c>
      <c r="EG85" s="59">
        <v>0.30070000000000002</v>
      </c>
      <c r="EH85" s="59">
        <v>0</v>
      </c>
      <c r="EI85" s="216">
        <v>0.14710000000000001</v>
      </c>
      <c r="EJ85" s="172">
        <v>6.0314999999999994</v>
      </c>
      <c r="EK85" s="173"/>
      <c r="EL85" s="59">
        <v>0.86</v>
      </c>
      <c r="EM85" s="59">
        <v>0.41660000000000003</v>
      </c>
      <c r="EN85" s="217">
        <v>0.17899999999999999</v>
      </c>
      <c r="EO85" s="172">
        <v>7.34</v>
      </c>
      <c r="ES85" s="57">
        <f t="shared" si="101"/>
        <v>6.0314999999999994</v>
      </c>
      <c r="ET85" s="57">
        <f t="shared" si="102"/>
        <v>7.34</v>
      </c>
      <c r="EU85" s="31"/>
      <c r="EV85" s="61">
        <f t="shared" si="92"/>
        <v>1.6867943297687147</v>
      </c>
      <c r="EW85" s="61">
        <f>BJ85/ET85</f>
        <v>1.6659673024523163</v>
      </c>
      <c r="EX85" s="185">
        <v>7.8285999999999998</v>
      </c>
      <c r="EY85" s="79">
        <v>10.288600000000001</v>
      </c>
      <c r="EZ85" s="158">
        <f t="shared" si="93"/>
        <v>10.173900000000001</v>
      </c>
      <c r="FA85" s="158">
        <f t="shared" si="94"/>
        <v>12.228200000000001</v>
      </c>
      <c r="FH85" s="174">
        <f t="shared" si="103"/>
        <v>53454.687990000013</v>
      </c>
      <c r="FJ85" s="87">
        <v>1.298</v>
      </c>
      <c r="FK85" s="176">
        <f t="shared" si="104"/>
        <v>1.2995333819481623</v>
      </c>
      <c r="FL85" s="87">
        <v>1.4016999999999999</v>
      </c>
      <c r="FM85" s="87">
        <f t="shared" si="105"/>
        <v>1.1885334254493232</v>
      </c>
      <c r="FO85" s="88">
        <f t="shared" si="95"/>
        <v>53454.687990000013</v>
      </c>
      <c r="FP85" s="79">
        <f t="shared" si="96"/>
        <v>56192.247460000006</v>
      </c>
      <c r="FS85" s="79">
        <f t="shared" si="97"/>
        <v>31690.104149999999</v>
      </c>
      <c r="FT85" s="79">
        <f t="shared" si="98"/>
        <v>33729.502</v>
      </c>
      <c r="FU85" s="79">
        <f t="shared" si="106"/>
        <v>1.6867943297687147</v>
      </c>
      <c r="FV85" s="79">
        <f t="shared" si="106"/>
        <v>1.6659673024523163</v>
      </c>
      <c r="FY85" s="79">
        <f t="shared" si="107"/>
        <v>6702.5653200000024</v>
      </c>
      <c r="FZ85" s="79">
        <f t="shared" si="108"/>
        <v>56192.247460000006</v>
      </c>
      <c r="GB85" s="178">
        <f t="shared" si="109"/>
        <v>658.80000000000018</v>
      </c>
      <c r="GC85" s="178">
        <f t="shared" si="110"/>
        <v>4595.3</v>
      </c>
      <c r="GG85" s="14">
        <v>8.0114000000000019</v>
      </c>
      <c r="GH85" s="175">
        <f t="shared" si="111"/>
        <v>1.269927852809746</v>
      </c>
      <c r="GI85" s="14">
        <v>10.437500000000002</v>
      </c>
      <c r="GJ85" s="175">
        <f t="shared" si="112"/>
        <v>1.1715640718562874</v>
      </c>
      <c r="GK85" s="175">
        <f>GH85-GJ85</f>
        <v>9.8363780953458546E-2</v>
      </c>
      <c r="GN85" s="14">
        <v>10.390899999999998</v>
      </c>
      <c r="GO85" s="175">
        <f t="shared" si="113"/>
        <v>1.2970142546870704</v>
      </c>
      <c r="GP85" s="179">
        <f t="shared" si="114"/>
        <v>0.97911634218402666</v>
      </c>
      <c r="GQ85" s="14">
        <v>12.324999999999999</v>
      </c>
      <c r="GR85" s="175">
        <f t="shared" si="115"/>
        <v>1.1808383233532931</v>
      </c>
      <c r="GS85" s="175">
        <f t="shared" si="116"/>
        <v>0.99214604462474665</v>
      </c>
      <c r="GV85" s="32">
        <f t="shared" si="117"/>
        <v>6702.5653200000024</v>
      </c>
      <c r="GW85" s="32">
        <f t="shared" si="118"/>
        <v>56192.247460000006</v>
      </c>
      <c r="GX85" s="180">
        <f t="shared" si="119"/>
        <v>62894.812780000007</v>
      </c>
      <c r="GZ85" s="32">
        <f t="shared" si="120"/>
        <v>10.173900000000001</v>
      </c>
      <c r="HA85" s="32">
        <f t="shared" si="121"/>
        <v>12.228200000000001</v>
      </c>
      <c r="HB85" s="32">
        <f t="shared" si="122"/>
        <v>11.970615858091776</v>
      </c>
    </row>
    <row r="86" spans="1:210" ht="19.2" customHeight="1" x14ac:dyDescent="0.3">
      <c r="A86" s="50">
        <v>78</v>
      </c>
      <c r="B86" s="51" t="s">
        <v>615</v>
      </c>
      <c r="C86" s="150" t="s">
        <v>581</v>
      </c>
      <c r="D86" s="52">
        <v>5</v>
      </c>
      <c r="E86" s="52">
        <v>8</v>
      </c>
      <c r="F86" s="63">
        <v>120</v>
      </c>
      <c r="G86" s="54" t="s">
        <v>80</v>
      </c>
      <c r="H86" s="181" t="s">
        <v>49</v>
      </c>
      <c r="I86" s="55">
        <f t="shared" si="99"/>
        <v>5829.3</v>
      </c>
      <c r="J86" s="55">
        <f t="shared" si="79"/>
        <v>0</v>
      </c>
      <c r="K86" s="55">
        <f t="shared" si="80"/>
        <v>0</v>
      </c>
      <c r="L86" s="56">
        <v>5829.3</v>
      </c>
      <c r="M86" s="56">
        <v>5829.3</v>
      </c>
      <c r="N86" s="56">
        <f t="shared" si="100"/>
        <v>5829.3</v>
      </c>
      <c r="O86" s="56">
        <v>0</v>
      </c>
      <c r="P86" s="56">
        <v>0</v>
      </c>
      <c r="Q86" s="55"/>
      <c r="R86" s="55">
        <v>5829.3</v>
      </c>
      <c r="S86" s="55"/>
      <c r="T86" s="55">
        <v>0</v>
      </c>
      <c r="U86" s="152">
        <v>5829.3</v>
      </c>
      <c r="V86" s="57">
        <v>0.15390000000000001</v>
      </c>
      <c r="W86" s="153">
        <v>9.3399999999999997E-2</v>
      </c>
      <c r="X86" s="57">
        <v>0.33289999999999997</v>
      </c>
      <c r="Y86" s="57">
        <v>7.5200000000000003E-2</v>
      </c>
      <c r="Z86" s="153">
        <v>2.9499999999999998E-2</v>
      </c>
      <c r="AA86" s="57">
        <v>0.71189999999999998</v>
      </c>
      <c r="AB86" s="153">
        <v>0</v>
      </c>
      <c r="AC86" s="57">
        <v>0.63149999999999995</v>
      </c>
      <c r="AD86" s="57">
        <v>0.16139999999999999</v>
      </c>
      <c r="AE86" s="57">
        <v>0</v>
      </c>
      <c r="AF86" s="57">
        <v>2.5478000000000001</v>
      </c>
      <c r="AG86" s="57">
        <v>0.20280000000000001</v>
      </c>
      <c r="AH86" s="57">
        <v>0.3054</v>
      </c>
      <c r="AI86" s="153">
        <v>9.1600000000000001E-2</v>
      </c>
      <c r="AJ86" s="153">
        <v>0.1013</v>
      </c>
      <c r="AK86" s="153">
        <v>5.7299999999999997E-2</v>
      </c>
      <c r="AL86" s="57">
        <v>0.26960000000000001</v>
      </c>
      <c r="AM86" s="153">
        <v>3.27E-2</v>
      </c>
      <c r="AN86" s="57">
        <v>0</v>
      </c>
      <c r="AO86" s="153">
        <v>1.3267</v>
      </c>
      <c r="AP86" s="57">
        <v>1.1045</v>
      </c>
      <c r="AQ86" s="57">
        <v>8.8599999999999998E-2</v>
      </c>
      <c r="AR86" s="153">
        <v>0.48930000000000001</v>
      </c>
      <c r="AS86" s="57">
        <v>5.79E-2</v>
      </c>
      <c r="AT86" s="57">
        <v>9.4000000000000004E-3</v>
      </c>
      <c r="AU86" s="153">
        <v>0.23089999999999999</v>
      </c>
      <c r="AV86" s="153">
        <v>0</v>
      </c>
      <c r="AW86" s="154">
        <v>9.1054999999999975</v>
      </c>
      <c r="AX86" s="58">
        <v>0.45529999999999998</v>
      </c>
      <c r="AY86" s="155">
        <f t="shared" si="81"/>
        <v>0.45079999999999998</v>
      </c>
      <c r="AZ86" s="155">
        <f t="shared" si="82"/>
        <v>4.500000000000004E-3</v>
      </c>
      <c r="BA86" s="14">
        <v>9.5607999999999969</v>
      </c>
      <c r="BB86" s="59">
        <f>BA86-'[1]Тариф 26 свод без  ПДВ'!AU86</f>
        <v>-6.0000000000393072E-4</v>
      </c>
      <c r="BC86" s="57">
        <v>0</v>
      </c>
      <c r="BD86" s="57">
        <v>0</v>
      </c>
      <c r="BE86" s="57">
        <v>0</v>
      </c>
      <c r="BF86" s="156">
        <v>9.1054999999999975</v>
      </c>
      <c r="BG86" s="59">
        <v>0.45529999999999998</v>
      </c>
      <c r="BH86" s="59"/>
      <c r="BI86" s="59"/>
      <c r="BJ86" s="14">
        <v>9.5607999999999969</v>
      </c>
      <c r="BK86" s="60"/>
      <c r="BL86" s="60">
        <v>5.9540999999999977</v>
      </c>
      <c r="BM86" s="60">
        <v>0.29770000000000002</v>
      </c>
      <c r="BN86" s="14">
        <v>6.2517999999999976</v>
      </c>
      <c r="BO86" s="14"/>
      <c r="BP86" s="157"/>
      <c r="BQ86" s="158">
        <f>BJ86-'[1]Тариф 26 свод без  ПДВ'!BG86</f>
        <v>-6.0000000000393072E-4</v>
      </c>
      <c r="BR86" s="77">
        <f>'[1]Тариф 26 свод без  ПДВ'!BG86</f>
        <v>9.5614000000000008</v>
      </c>
      <c r="BS86" s="159">
        <f t="shared" si="83"/>
        <v>-6.0000000000393072E-4</v>
      </c>
      <c r="BU86" s="77">
        <f>'[1]Тариф 26 свод без  ПДВ'!AU86</f>
        <v>9.5614000000000008</v>
      </c>
      <c r="BV86" s="159">
        <f t="shared" si="84"/>
        <v>-6.0000000000393072E-4</v>
      </c>
      <c r="BX86" s="95">
        <v>4.1162000000000001</v>
      </c>
      <c r="BY86" s="95">
        <v>4.1162000000000001</v>
      </c>
      <c r="BZ86" s="95"/>
      <c r="CA86" s="62">
        <f t="shared" si="85"/>
        <v>2.322724843302074</v>
      </c>
      <c r="CB86" s="62">
        <f t="shared" si="86"/>
        <v>2.322724843302074</v>
      </c>
      <c r="CI86" s="160">
        <f>'[1]0 СВОД'!AYY101</f>
        <v>55731.593516073401</v>
      </c>
      <c r="CJ86" s="77">
        <f t="shared" si="87"/>
        <v>668779.12219288084</v>
      </c>
      <c r="CM86" s="161">
        <v>84</v>
      </c>
      <c r="CN86" s="183" t="s">
        <v>616</v>
      </c>
      <c r="CO86" s="163">
        <v>5</v>
      </c>
      <c r="CP86" s="163">
        <v>8</v>
      </c>
      <c r="CQ86" s="164" t="s">
        <v>80</v>
      </c>
      <c r="CR86" s="165" t="s">
        <v>49</v>
      </c>
      <c r="CS86" s="166">
        <v>5830</v>
      </c>
      <c r="CT86" s="166">
        <v>0</v>
      </c>
      <c r="CU86" s="167">
        <v>0</v>
      </c>
      <c r="CV86" s="168">
        <v>5830</v>
      </c>
      <c r="CW86" s="166">
        <v>5830</v>
      </c>
      <c r="CX86" s="167">
        <v>0</v>
      </c>
      <c r="CY86" s="166">
        <v>0</v>
      </c>
      <c r="CZ86" s="166"/>
      <c r="DA86" s="166">
        <v>5830</v>
      </c>
      <c r="DB86" s="166"/>
      <c r="DC86" s="166">
        <v>0</v>
      </c>
      <c r="DD86" s="59">
        <v>0.1512</v>
      </c>
      <c r="DE86" s="59">
        <v>0.1399</v>
      </c>
      <c r="DF86" s="59">
        <v>0.21890000000000001</v>
      </c>
      <c r="DG86" s="59">
        <v>4.4299999999999999E-2</v>
      </c>
      <c r="DH86" s="59">
        <v>1.11E-2</v>
      </c>
      <c r="DI86" s="59">
        <v>0.31269999999999998</v>
      </c>
      <c r="DJ86" s="59">
        <v>4.8099999999999997E-2</v>
      </c>
      <c r="DK86" s="59">
        <v>0.3458</v>
      </c>
      <c r="DL86" s="169">
        <v>0</v>
      </c>
      <c r="DM86" s="59">
        <v>9.8199999999999996E-2</v>
      </c>
      <c r="DN86" s="169">
        <v>0</v>
      </c>
      <c r="DO86" s="184">
        <v>1.4899</v>
      </c>
      <c r="DP86" s="171">
        <f t="shared" si="88"/>
        <v>2.5478000000000001</v>
      </c>
      <c r="DQ86" s="59">
        <v>9.7600000000000006E-2</v>
      </c>
      <c r="DR86" s="59">
        <v>0.1827</v>
      </c>
      <c r="DS86" s="59">
        <v>2.3900000000000001E-2</v>
      </c>
      <c r="DT86" s="59">
        <v>4.7699999999999999E-2</v>
      </c>
      <c r="DU86" s="59">
        <v>2.4199999999999999E-2</v>
      </c>
      <c r="DV86" s="59">
        <v>9.4100000000000003E-2</v>
      </c>
      <c r="DW86" s="59">
        <v>8.8000000000000005E-3</v>
      </c>
      <c r="DX86" s="169">
        <v>0</v>
      </c>
      <c r="DY86" s="59">
        <v>0.66649999999999998</v>
      </c>
      <c r="DZ86" s="171">
        <f t="shared" si="89"/>
        <v>1.9905476369092274</v>
      </c>
      <c r="EA86" s="59">
        <v>0.66820000000000002</v>
      </c>
      <c r="EB86" s="171">
        <f t="shared" si="90"/>
        <v>1.7855432505237954</v>
      </c>
      <c r="EC86" s="59">
        <v>0.25690000000000002</v>
      </c>
      <c r="ED86" s="171">
        <f t="shared" si="91"/>
        <v>1.9046321525885557</v>
      </c>
      <c r="EE86" s="59">
        <v>4.4299999999999999E-2</v>
      </c>
      <c r="EF86" s="59">
        <v>6.1999999999999998E-3</v>
      </c>
      <c r="EG86" s="59">
        <v>0.20039999999999999</v>
      </c>
      <c r="EH86" s="59">
        <v>0</v>
      </c>
      <c r="EI86" s="208">
        <v>0.1295</v>
      </c>
      <c r="EJ86" s="172">
        <v>5.3110999999999988</v>
      </c>
      <c r="EK86" s="173"/>
      <c r="EL86" s="169">
        <v>0</v>
      </c>
      <c r="EM86" s="169">
        <v>0</v>
      </c>
      <c r="EN86" s="59"/>
      <c r="EO86" s="172"/>
      <c r="ES86" s="57">
        <f t="shared" si="101"/>
        <v>5.3110999999999988</v>
      </c>
      <c r="ET86" s="57">
        <f t="shared" si="102"/>
        <v>0</v>
      </c>
      <c r="EU86" s="31"/>
      <c r="EV86" s="61">
        <f t="shared" si="92"/>
        <v>1.8001543936284383</v>
      </c>
      <c r="EW86" s="62"/>
      <c r="EX86" s="158">
        <f>ES86*1.305-BA86</f>
        <v>-2.6298144999999984</v>
      </c>
      <c r="EY86" s="77">
        <f>ES86*1.344</f>
        <v>7.1381183999999989</v>
      </c>
      <c r="EZ86" s="158">
        <f t="shared" si="93"/>
        <v>9.5607999999999969</v>
      </c>
      <c r="FA86" s="158">
        <f t="shared" si="94"/>
        <v>9.5607999999999969</v>
      </c>
      <c r="FH86" s="174">
        <f t="shared" si="103"/>
        <v>55732.771439999982</v>
      </c>
      <c r="FJ86" s="87">
        <v>1.3474986349343832</v>
      </c>
      <c r="FK86" s="176">
        <f t="shared" si="104"/>
        <v>1.335922981262313</v>
      </c>
      <c r="FM86" s="87" t="e">
        <f t="shared" si="105"/>
        <v>#DIV/0!</v>
      </c>
      <c r="FO86" s="88">
        <f t="shared" si="95"/>
        <v>55732.771439999982</v>
      </c>
      <c r="FP86" s="79">
        <f t="shared" si="96"/>
        <v>0</v>
      </c>
      <c r="FS86" s="79">
        <f t="shared" si="97"/>
        <v>30959.995229999993</v>
      </c>
      <c r="FT86" s="79">
        <f t="shared" si="98"/>
        <v>0</v>
      </c>
      <c r="FU86" s="79">
        <f t="shared" si="106"/>
        <v>1.8001543936284383</v>
      </c>
      <c r="FV86" s="79" t="e">
        <f t="shared" si="106"/>
        <v>#DIV/0!</v>
      </c>
      <c r="FY86" s="79">
        <f t="shared" si="107"/>
        <v>55732.771439999982</v>
      </c>
      <c r="FZ86" s="79">
        <f t="shared" si="108"/>
        <v>0</v>
      </c>
      <c r="GB86" s="178">
        <f t="shared" si="109"/>
        <v>5829.3</v>
      </c>
      <c r="GC86" s="178">
        <f t="shared" si="110"/>
        <v>0</v>
      </c>
      <c r="GG86" s="14">
        <v>7.5285000000000002</v>
      </c>
      <c r="GH86" s="175">
        <f t="shared" si="111"/>
        <v>1.2699475327090386</v>
      </c>
      <c r="GI86" s="14">
        <v>7.5285000000000002</v>
      </c>
      <c r="GJ86" s="175">
        <f t="shared" si="112"/>
        <v>1.2699475327090386</v>
      </c>
      <c r="GK86" s="175">
        <f>GH86-GJ86</f>
        <v>0</v>
      </c>
      <c r="GN86" s="14">
        <v>9.7034999999999982</v>
      </c>
      <c r="GO86" s="175">
        <f t="shared" si="113"/>
        <v>1.2889021717473597</v>
      </c>
      <c r="GP86" s="179">
        <f t="shared" si="114"/>
        <v>0.98529396609470798</v>
      </c>
      <c r="GQ86" s="14">
        <v>9.7034999999999982</v>
      </c>
      <c r="GR86" s="175">
        <f t="shared" si="115"/>
        <v>1.2889021717473597</v>
      </c>
      <c r="GS86" s="175">
        <f t="shared" si="116"/>
        <v>0.98529396609470798</v>
      </c>
      <c r="GV86" s="32">
        <f t="shared" si="117"/>
        <v>55732.771439999982</v>
      </c>
      <c r="GW86" s="32">
        <f t="shared" si="118"/>
        <v>0</v>
      </c>
      <c r="GX86" s="180">
        <f t="shared" si="119"/>
        <v>55732.771439999982</v>
      </c>
      <c r="GZ86" s="32">
        <f t="shared" si="120"/>
        <v>9.5607999999999969</v>
      </c>
      <c r="HA86" s="32" t="e">
        <f t="shared" si="121"/>
        <v>#DIV/0!</v>
      </c>
      <c r="HB86" s="32">
        <f t="shared" si="122"/>
        <v>9.5607999999999969</v>
      </c>
    </row>
    <row r="87" spans="1:210" ht="19.2" customHeight="1" x14ac:dyDescent="0.3">
      <c r="A87" s="50">
        <v>79</v>
      </c>
      <c r="B87" s="51" t="s">
        <v>617</v>
      </c>
      <c r="C87" s="150" t="s">
        <v>581</v>
      </c>
      <c r="D87" s="52">
        <v>8</v>
      </c>
      <c r="E87" s="52">
        <v>3</v>
      </c>
      <c r="F87" s="63">
        <v>102</v>
      </c>
      <c r="G87" s="54" t="s">
        <v>170</v>
      </c>
      <c r="H87" s="181" t="s">
        <v>169</v>
      </c>
      <c r="I87" s="55">
        <f t="shared" si="99"/>
        <v>660.30000000000018</v>
      </c>
      <c r="J87" s="55">
        <f t="shared" si="79"/>
        <v>4835.3</v>
      </c>
      <c r="K87" s="55">
        <f t="shared" si="80"/>
        <v>0</v>
      </c>
      <c r="L87" s="56">
        <v>5495.6</v>
      </c>
      <c r="M87" s="56">
        <v>5495.6</v>
      </c>
      <c r="N87" s="56">
        <f t="shared" si="100"/>
        <v>660.30000000000018</v>
      </c>
      <c r="O87" s="56">
        <v>0</v>
      </c>
      <c r="P87" s="56">
        <v>0</v>
      </c>
      <c r="Q87" s="55"/>
      <c r="R87" s="55">
        <v>5495.6</v>
      </c>
      <c r="S87" s="55"/>
      <c r="T87" s="55">
        <v>4835.3</v>
      </c>
      <c r="U87" s="152">
        <v>660.30000000000018</v>
      </c>
      <c r="V87" s="57">
        <v>0.12809999999999999</v>
      </c>
      <c r="W87" s="57">
        <v>5.4199999999999998E-2</v>
      </c>
      <c r="X87" s="153">
        <v>0.29470000000000002</v>
      </c>
      <c r="Y87" s="153">
        <v>6.6299999999999998E-2</v>
      </c>
      <c r="Z87" s="57">
        <v>4.7300000000000002E-2</v>
      </c>
      <c r="AA87" s="57">
        <v>0.39279999999999998</v>
      </c>
      <c r="AB87" s="57">
        <v>0</v>
      </c>
      <c r="AC87" s="153">
        <v>0.63149999999999995</v>
      </c>
      <c r="AD87" s="57">
        <v>0.1439</v>
      </c>
      <c r="AE87" s="57">
        <v>0</v>
      </c>
      <c r="AF87" s="57">
        <v>2.5165000000000002</v>
      </c>
      <c r="AG87" s="57">
        <v>0.16689999999999999</v>
      </c>
      <c r="AH87" s="57">
        <v>0.19650000000000001</v>
      </c>
      <c r="AI87" s="57">
        <v>0.1201</v>
      </c>
      <c r="AJ87" s="57">
        <v>8.6699999999999999E-2</v>
      </c>
      <c r="AK87" s="57">
        <v>9.1899999999999996E-2</v>
      </c>
      <c r="AL87" s="57">
        <v>0.12429999999999999</v>
      </c>
      <c r="AM87" s="57">
        <v>4.1599999999999998E-2</v>
      </c>
      <c r="AN87" s="57">
        <v>0</v>
      </c>
      <c r="AO87" s="57">
        <v>1.4371</v>
      </c>
      <c r="AP87" s="153">
        <v>1.9189000000000001</v>
      </c>
      <c r="AQ87" s="153">
        <v>9.1300000000000006E-2</v>
      </c>
      <c r="AR87" s="57">
        <v>0.50649999999999995</v>
      </c>
      <c r="AS87" s="57">
        <v>4.1099999999999998E-2</v>
      </c>
      <c r="AT87" s="153">
        <v>6.7000000000000002E-3</v>
      </c>
      <c r="AU87" s="153">
        <v>0.29949999999999999</v>
      </c>
      <c r="AV87" s="153">
        <v>0</v>
      </c>
      <c r="AW87" s="154">
        <v>9.404399999999999</v>
      </c>
      <c r="AX87" s="58">
        <v>0.47020000000000001</v>
      </c>
      <c r="AY87" s="155">
        <f t="shared" si="81"/>
        <v>0.4657</v>
      </c>
      <c r="AZ87" s="155">
        <f t="shared" si="82"/>
        <v>4.500000000000004E-3</v>
      </c>
      <c r="BA87" s="14">
        <v>9.8745999999999992</v>
      </c>
      <c r="BB87" s="59">
        <f>BA87-'[1]Тариф 26 свод без  ПДВ'!AU87</f>
        <v>1.7999999999993577E-3</v>
      </c>
      <c r="BC87" s="57">
        <v>2.0889000000000002</v>
      </c>
      <c r="BD87" s="57">
        <v>0</v>
      </c>
      <c r="BE87" s="57">
        <v>0.40139999999999998</v>
      </c>
      <c r="BF87" s="156">
        <v>11.8947</v>
      </c>
      <c r="BG87" s="59">
        <v>0.59470000000000001</v>
      </c>
      <c r="BH87" s="59"/>
      <c r="BI87" s="59"/>
      <c r="BJ87" s="14">
        <v>12.4894</v>
      </c>
      <c r="BK87" s="60"/>
      <c r="BL87" s="60">
        <v>5.2423999999999982</v>
      </c>
      <c r="BM87" s="60">
        <v>0.2621</v>
      </c>
      <c r="BN87" s="14">
        <v>5.5044999999999984</v>
      </c>
      <c r="BO87" s="14"/>
      <c r="BP87" s="157"/>
      <c r="BQ87" s="158">
        <f>BJ87-'[1]Тариф 26 свод без  ПДВ'!BG87</f>
        <v>-5.5999999999993832E-3</v>
      </c>
      <c r="BR87" s="77">
        <f>'[1]Тариф 26 свод без  ПДВ'!BG87</f>
        <v>12.494999999999999</v>
      </c>
      <c r="BS87" s="159">
        <f t="shared" si="83"/>
        <v>-5.5999999999993832E-3</v>
      </c>
      <c r="BU87" s="77">
        <f>'[1]Тариф 26 свод без  ПДВ'!AU87</f>
        <v>9.8727999999999998</v>
      </c>
      <c r="BV87" s="159">
        <f t="shared" si="84"/>
        <v>1.7999999999993577E-3</v>
      </c>
      <c r="BX87" s="95">
        <v>4.3978999999999999</v>
      </c>
      <c r="BY87" s="95">
        <v>5.4022999999999994</v>
      </c>
      <c r="BZ87" s="95"/>
      <c r="CA87" s="182">
        <f t="shared" si="85"/>
        <v>2.2452988926533117</v>
      </c>
      <c r="CB87" s="182">
        <f t="shared" si="86"/>
        <v>2.3118671676878368</v>
      </c>
      <c r="CD87" s="160">
        <f>L87-CE87</f>
        <v>660.30000000000018</v>
      </c>
      <c r="CE87" s="160">
        <f>T87</f>
        <v>4835.3</v>
      </c>
      <c r="CF87" s="77">
        <f>CD87*BA87</f>
        <v>6520.1983800000016</v>
      </c>
      <c r="CG87" s="77">
        <f>BJ87*CE87</f>
        <v>60389.995820000004</v>
      </c>
      <c r="CI87" s="160">
        <f>'[1]0 СВОД'!AYY102</f>
        <v>66910.855308686791</v>
      </c>
      <c r="CJ87" s="77">
        <f t="shared" si="87"/>
        <v>802930.26370424149</v>
      </c>
      <c r="CM87" s="161">
        <v>85</v>
      </c>
      <c r="CN87" s="183" t="s">
        <v>618</v>
      </c>
      <c r="CO87" s="163">
        <v>8</v>
      </c>
      <c r="CP87" s="163">
        <v>3</v>
      </c>
      <c r="CQ87" s="164" t="s">
        <v>170</v>
      </c>
      <c r="CR87" s="165" t="s">
        <v>169</v>
      </c>
      <c r="CS87" s="166">
        <v>660.25</v>
      </c>
      <c r="CT87" s="166">
        <v>4831.8500000000004</v>
      </c>
      <c r="CU87" s="167">
        <v>0</v>
      </c>
      <c r="CV87" s="168">
        <v>5492.1</v>
      </c>
      <c r="CW87" s="166">
        <v>5492.1</v>
      </c>
      <c r="CX87" s="167">
        <v>0</v>
      </c>
      <c r="CY87" s="166">
        <v>0</v>
      </c>
      <c r="CZ87" s="166"/>
      <c r="DA87" s="166">
        <v>5492.1</v>
      </c>
      <c r="DB87" s="166"/>
      <c r="DC87" s="166">
        <v>4831.8500000000004</v>
      </c>
      <c r="DD87" s="59">
        <v>0.12620000000000001</v>
      </c>
      <c r="DE87" s="184">
        <v>0.11320000000000001</v>
      </c>
      <c r="DF87" s="59">
        <v>0.19389999999999999</v>
      </c>
      <c r="DG87" s="59">
        <v>3.9100000000000003E-2</v>
      </c>
      <c r="DH87" s="59">
        <v>1.78E-2</v>
      </c>
      <c r="DI87" s="59">
        <v>0.1603</v>
      </c>
      <c r="DJ87" s="59">
        <v>4.8099999999999997E-2</v>
      </c>
      <c r="DK87" s="59">
        <v>0.3458</v>
      </c>
      <c r="DL87" s="59">
        <v>2.9600000000000001E-2</v>
      </c>
      <c r="DM87" s="59">
        <v>8.7599999999999997E-2</v>
      </c>
      <c r="DN87" s="169">
        <v>0</v>
      </c>
      <c r="DO87" s="184">
        <v>1.6659999999999999</v>
      </c>
      <c r="DP87" s="171">
        <f t="shared" si="88"/>
        <v>2.5165000000000002</v>
      </c>
      <c r="DQ87" s="59">
        <v>8.0399999999999999E-2</v>
      </c>
      <c r="DR87" s="184">
        <v>0.13799999999999998</v>
      </c>
      <c r="DS87" s="59">
        <v>3.1800000000000002E-2</v>
      </c>
      <c r="DT87" s="59">
        <v>4.1099999999999998E-2</v>
      </c>
      <c r="DU87" s="59">
        <v>3.8800000000000001E-2</v>
      </c>
      <c r="DV87" s="59">
        <v>4.2900000000000001E-2</v>
      </c>
      <c r="DW87" s="59">
        <v>1.2999999999999999E-2</v>
      </c>
      <c r="DX87" s="169">
        <v>0</v>
      </c>
      <c r="DY87" s="59">
        <v>0.73160000000000003</v>
      </c>
      <c r="DZ87" s="171">
        <f t="shared" si="89"/>
        <v>1.9643247676325861</v>
      </c>
      <c r="EA87" s="59">
        <v>1.1307</v>
      </c>
      <c r="EB87" s="171">
        <f t="shared" si="90"/>
        <v>1.7778367383037057</v>
      </c>
      <c r="EC87" s="59">
        <v>0.26790000000000003</v>
      </c>
      <c r="ED87" s="171">
        <f t="shared" si="91"/>
        <v>1.8906308324001488</v>
      </c>
      <c r="EE87" s="59">
        <v>3.1399999999999997E-2</v>
      </c>
      <c r="EF87" s="59">
        <v>4.4000000000000003E-3</v>
      </c>
      <c r="EG87" s="59">
        <v>0.19939999999999999</v>
      </c>
      <c r="EH87" s="59">
        <v>0</v>
      </c>
      <c r="EI87" s="216">
        <v>0.13950000000000001</v>
      </c>
      <c r="EJ87" s="172">
        <v>5.7184999999999997</v>
      </c>
      <c r="EK87" s="173"/>
      <c r="EL87" s="59">
        <v>1.6143000000000001</v>
      </c>
      <c r="EM87" s="59">
        <v>0.27610000000000001</v>
      </c>
      <c r="EN87" s="217">
        <v>0.1867</v>
      </c>
      <c r="EO87" s="172">
        <v>7.6561000000000003</v>
      </c>
      <c r="ES87" s="57">
        <f t="shared" si="101"/>
        <v>5.7184999999999997</v>
      </c>
      <c r="ET87" s="57">
        <f t="shared" si="102"/>
        <v>7.6561000000000003</v>
      </c>
      <c r="EU87" s="31"/>
      <c r="EV87" s="61">
        <f t="shared" si="92"/>
        <v>1.7267814986447494</v>
      </c>
      <c r="EW87" s="61">
        <f t="shared" ref="EW87:EW94" si="128">BJ87/ET87</f>
        <v>1.6313005316022517</v>
      </c>
      <c r="EX87" s="185">
        <v>7.4926000000000004</v>
      </c>
      <c r="EY87" s="79">
        <v>104683</v>
      </c>
      <c r="EZ87" s="158">
        <f t="shared" si="93"/>
        <v>9.8745999999999992</v>
      </c>
      <c r="FA87" s="210">
        <f t="shared" si="94"/>
        <v>12.4894</v>
      </c>
      <c r="FH87" s="174">
        <f t="shared" si="103"/>
        <v>54266.851759999998</v>
      </c>
      <c r="FJ87" s="87">
        <v>1.323</v>
      </c>
      <c r="FK87" s="176">
        <f>EV87/FJ87</f>
        <v>1.3052014351056307</v>
      </c>
      <c r="FL87" s="87">
        <v>1.3768</v>
      </c>
      <c r="FM87" s="87">
        <f t="shared" si="105"/>
        <v>1.1848493111579399</v>
      </c>
      <c r="FO87" s="88">
        <f t="shared" si="95"/>
        <v>54266.851759999998</v>
      </c>
      <c r="FP87" s="79">
        <f t="shared" si="96"/>
        <v>60389.995820000004</v>
      </c>
      <c r="FS87" s="79">
        <f t="shared" si="97"/>
        <v>31426.588599999999</v>
      </c>
      <c r="FT87" s="79">
        <f t="shared" si="98"/>
        <v>37019.540330000003</v>
      </c>
      <c r="FU87" s="79">
        <f t="shared" si="106"/>
        <v>1.7267814986447494</v>
      </c>
      <c r="FV87" s="79">
        <f t="shared" si="106"/>
        <v>1.6313005316022517</v>
      </c>
      <c r="FY87" s="79">
        <f t="shared" si="107"/>
        <v>6520.1983800000016</v>
      </c>
      <c r="FZ87" s="79">
        <f t="shared" si="108"/>
        <v>60389.995820000004</v>
      </c>
      <c r="GB87" s="178">
        <f t="shared" si="109"/>
        <v>660.30000000000018</v>
      </c>
      <c r="GC87" s="178">
        <f t="shared" si="110"/>
        <v>4835.3</v>
      </c>
      <c r="GG87" s="14">
        <v>7.7757000000000005</v>
      </c>
      <c r="GH87" s="175">
        <f t="shared" si="111"/>
        <v>1.2699306814820528</v>
      </c>
      <c r="GI87" s="14">
        <v>10.807399999999999</v>
      </c>
      <c r="GJ87" s="175">
        <f t="shared" si="112"/>
        <v>1.1556341025593575</v>
      </c>
      <c r="GK87" s="175">
        <f t="shared" ref="GK87:GK109" si="129">GH87-GJ87</f>
        <v>0.11429657892269529</v>
      </c>
      <c r="GN87" s="14">
        <v>9.9547000000000008</v>
      </c>
      <c r="GO87" s="175">
        <f t="shared" si="113"/>
        <v>1.2802320048355775</v>
      </c>
      <c r="GP87" s="179">
        <f t="shared" si="114"/>
        <v>0.99195354957959536</v>
      </c>
      <c r="GQ87" s="14">
        <v>12.377999999999998</v>
      </c>
      <c r="GR87" s="175">
        <f t="shared" si="115"/>
        <v>1.1453263504635711</v>
      </c>
      <c r="GS87" s="175">
        <f t="shared" si="116"/>
        <v>1.0089998384230088</v>
      </c>
      <c r="GV87" s="32">
        <f t="shared" si="117"/>
        <v>6520.1983800000016</v>
      </c>
      <c r="GW87" s="32">
        <f t="shared" si="118"/>
        <v>60389.995820000004</v>
      </c>
      <c r="GX87" s="180">
        <f t="shared" si="119"/>
        <v>66910.194199999998</v>
      </c>
      <c r="GZ87" s="32">
        <f t="shared" si="120"/>
        <v>9.8745999999999992</v>
      </c>
      <c r="HA87" s="32">
        <f t="shared" si="121"/>
        <v>12.4894</v>
      </c>
      <c r="HB87" s="32">
        <f t="shared" si="122"/>
        <v>12.175230038576315</v>
      </c>
    </row>
    <row r="88" spans="1:210" ht="19.2" customHeight="1" x14ac:dyDescent="0.3">
      <c r="A88" s="50">
        <v>80</v>
      </c>
      <c r="B88" s="51" t="s">
        <v>619</v>
      </c>
      <c r="C88" s="150" t="s">
        <v>581</v>
      </c>
      <c r="D88" s="52">
        <v>8</v>
      </c>
      <c r="E88" s="52">
        <v>4</v>
      </c>
      <c r="F88" s="63">
        <v>152</v>
      </c>
      <c r="G88" s="54" t="s">
        <v>171</v>
      </c>
      <c r="H88" s="181" t="s">
        <v>169</v>
      </c>
      <c r="I88" s="55">
        <f t="shared" si="99"/>
        <v>1081.6000000000004</v>
      </c>
      <c r="J88" s="55">
        <f t="shared" si="79"/>
        <v>7860.4</v>
      </c>
      <c r="K88" s="55">
        <f t="shared" si="80"/>
        <v>0</v>
      </c>
      <c r="L88" s="56">
        <v>8942</v>
      </c>
      <c r="M88" s="56">
        <v>8942</v>
      </c>
      <c r="N88" s="56">
        <f t="shared" si="100"/>
        <v>1081.6000000000004</v>
      </c>
      <c r="O88" s="56">
        <v>0</v>
      </c>
      <c r="P88" s="56">
        <v>0</v>
      </c>
      <c r="Q88" s="55"/>
      <c r="R88" s="55">
        <v>8942</v>
      </c>
      <c r="S88" s="55"/>
      <c r="T88" s="55">
        <v>7860.4</v>
      </c>
      <c r="U88" s="152">
        <v>1081.6000000000004</v>
      </c>
      <c r="V88" s="57">
        <v>0.1069</v>
      </c>
      <c r="W88" s="57">
        <v>6.59E-2</v>
      </c>
      <c r="X88" s="153">
        <v>0.32379999999999998</v>
      </c>
      <c r="Y88" s="153">
        <v>6.5699999999999995E-2</v>
      </c>
      <c r="Z88" s="57">
        <v>5.8099999999999999E-2</v>
      </c>
      <c r="AA88" s="57">
        <v>0.39950000000000002</v>
      </c>
      <c r="AB88" s="57">
        <v>0</v>
      </c>
      <c r="AC88" s="153">
        <v>0.63149999999999995</v>
      </c>
      <c r="AD88" s="57">
        <v>0.13089999999999999</v>
      </c>
      <c r="AE88" s="57">
        <v>0</v>
      </c>
      <c r="AF88" s="57">
        <v>2.7124000000000001</v>
      </c>
      <c r="AG88" s="57">
        <v>0.1421</v>
      </c>
      <c r="AH88" s="57">
        <v>0.23719999999999999</v>
      </c>
      <c r="AI88" s="57">
        <v>0.10929999999999999</v>
      </c>
      <c r="AJ88" s="57">
        <v>0.1008</v>
      </c>
      <c r="AK88" s="57">
        <v>0.113</v>
      </c>
      <c r="AL88" s="57">
        <v>0.1363</v>
      </c>
      <c r="AM88" s="57">
        <v>3.1399999999999997E-2</v>
      </c>
      <c r="AN88" s="57">
        <v>0</v>
      </c>
      <c r="AO88" s="57">
        <v>1.5946</v>
      </c>
      <c r="AP88" s="153">
        <v>1.6389</v>
      </c>
      <c r="AQ88" s="153">
        <v>8.6499999999999994E-2</v>
      </c>
      <c r="AR88" s="57">
        <v>0.42959999999999998</v>
      </c>
      <c r="AS88" s="57">
        <v>3.8600000000000002E-2</v>
      </c>
      <c r="AT88" s="153">
        <v>6.3E-3</v>
      </c>
      <c r="AU88" s="153">
        <v>0.30620000000000003</v>
      </c>
      <c r="AV88" s="153">
        <v>0</v>
      </c>
      <c r="AW88" s="154">
        <v>9.4655000000000005</v>
      </c>
      <c r="AX88" s="58">
        <v>0.4733</v>
      </c>
      <c r="AY88" s="155">
        <f t="shared" si="81"/>
        <v>0.46899999999999997</v>
      </c>
      <c r="AZ88" s="155">
        <f t="shared" si="82"/>
        <v>4.300000000000026E-3</v>
      </c>
      <c r="BA88" s="14">
        <v>9.9388000000000005</v>
      </c>
      <c r="BB88" s="59">
        <f>BA88-'[1]Тариф 26 свод без  ПДВ'!AU88</f>
        <v>5.1000000000005485E-3</v>
      </c>
      <c r="BC88" s="57">
        <v>1.3572</v>
      </c>
      <c r="BD88" s="57">
        <v>6.8599999999999994E-2</v>
      </c>
      <c r="BE88" s="57">
        <v>0.43459999999999999</v>
      </c>
      <c r="BF88" s="156">
        <v>11.325900000000001</v>
      </c>
      <c r="BG88" s="59">
        <v>0.56630000000000003</v>
      </c>
      <c r="BH88" s="59"/>
      <c r="BI88" s="59"/>
      <c r="BJ88" s="14">
        <v>11.892200000000001</v>
      </c>
      <c r="BK88" s="60"/>
      <c r="BL88" s="60">
        <v>5.4962</v>
      </c>
      <c r="BM88" s="60">
        <v>0.27479999999999999</v>
      </c>
      <c r="BN88" s="14">
        <v>5.7709999999999999</v>
      </c>
      <c r="BO88" s="14"/>
      <c r="BP88" s="157"/>
      <c r="BQ88" s="158">
        <f>BJ88-'[1]Тариф 26 свод без  ПДВ'!BG88</f>
        <v>2.0000000000006679E-3</v>
      </c>
      <c r="BR88" s="77">
        <f>'[1]Тариф 26 свод без  ПДВ'!BG88</f>
        <v>11.8902</v>
      </c>
      <c r="BS88" s="159">
        <f t="shared" si="83"/>
        <v>2.0000000000006679E-3</v>
      </c>
      <c r="BU88" s="77">
        <f>'[1]Тариф 26 свод без  ПДВ'!AU88</f>
        <v>9.9337</v>
      </c>
      <c r="BV88" s="159">
        <f t="shared" si="84"/>
        <v>5.1000000000005485E-3</v>
      </c>
      <c r="BX88" s="95">
        <v>4.1509999999999998</v>
      </c>
      <c r="BY88" s="95">
        <v>4.1509999999999998</v>
      </c>
      <c r="BZ88" s="95"/>
      <c r="CA88" s="182">
        <f t="shared" si="85"/>
        <v>2.3943146229824142</v>
      </c>
      <c r="CB88" s="182">
        <f t="shared" si="86"/>
        <v>2.8649000240905811</v>
      </c>
      <c r="CI88" s="160">
        <f>'[1]0 СВОД'!AYY103</f>
        <v>104228.05494572128</v>
      </c>
      <c r="CJ88" s="77">
        <f t="shared" si="87"/>
        <v>1250736.6593486553</v>
      </c>
      <c r="CM88" s="161">
        <v>86</v>
      </c>
      <c r="CN88" s="183" t="s">
        <v>620</v>
      </c>
      <c r="CO88" s="163">
        <v>8</v>
      </c>
      <c r="CP88" s="163">
        <v>4</v>
      </c>
      <c r="CQ88" s="164" t="s">
        <v>171</v>
      </c>
      <c r="CR88" s="165" t="s">
        <v>169</v>
      </c>
      <c r="CS88" s="166">
        <v>1081.8099999999995</v>
      </c>
      <c r="CT88" s="166">
        <v>7859.6900000000005</v>
      </c>
      <c r="CU88" s="167">
        <v>0</v>
      </c>
      <c r="CV88" s="168">
        <v>8941.5</v>
      </c>
      <c r="CW88" s="166">
        <v>8941.5</v>
      </c>
      <c r="CX88" s="167">
        <v>0</v>
      </c>
      <c r="CY88" s="166">
        <v>0</v>
      </c>
      <c r="CZ88" s="166"/>
      <c r="DA88" s="166">
        <v>8941.5</v>
      </c>
      <c r="DB88" s="166"/>
      <c r="DC88" s="166">
        <v>7859.6900000000005</v>
      </c>
      <c r="DD88" s="184">
        <v>0.11499999999999999</v>
      </c>
      <c r="DE88" s="184">
        <v>0.11210000000000001</v>
      </c>
      <c r="DF88" s="59">
        <v>0.21299999999999999</v>
      </c>
      <c r="DG88" s="59">
        <v>3.8699999999999998E-2</v>
      </c>
      <c r="DH88" s="59">
        <v>2.18E-2</v>
      </c>
      <c r="DI88" s="59">
        <v>0.16789999999999999</v>
      </c>
      <c r="DJ88" s="59">
        <v>4.8099999999999997E-2</v>
      </c>
      <c r="DK88" s="59">
        <v>0.3458</v>
      </c>
      <c r="DL88" s="59">
        <v>7.2599999999999998E-2</v>
      </c>
      <c r="DM88" s="59">
        <v>7.9600000000000004E-2</v>
      </c>
      <c r="DN88" s="169">
        <v>0</v>
      </c>
      <c r="DO88" s="184">
        <v>1.8605</v>
      </c>
      <c r="DP88" s="171">
        <f t="shared" si="88"/>
        <v>2.7124000000000001</v>
      </c>
      <c r="DQ88" s="184">
        <v>7.85E-2</v>
      </c>
      <c r="DR88" s="59">
        <v>0.14219999999999999</v>
      </c>
      <c r="DS88" s="59">
        <v>2.8500000000000001E-2</v>
      </c>
      <c r="DT88" s="59">
        <v>4.8000000000000001E-2</v>
      </c>
      <c r="DU88" s="59">
        <v>4.7699999999999999E-2</v>
      </c>
      <c r="DV88" s="59">
        <v>4.7100000000000003E-2</v>
      </c>
      <c r="DW88" s="184">
        <v>1.32E-2</v>
      </c>
      <c r="DX88" s="169">
        <v>0</v>
      </c>
      <c r="DY88" s="59">
        <v>0.82330000000000003</v>
      </c>
      <c r="DZ88" s="171">
        <f t="shared" si="89"/>
        <v>1.9368395481598444</v>
      </c>
      <c r="EA88" s="59">
        <v>0.96919999999999995</v>
      </c>
      <c r="EB88" s="171">
        <f t="shared" si="90"/>
        <v>1.7802311184482049</v>
      </c>
      <c r="EC88" s="59">
        <v>0.22509999999999999</v>
      </c>
      <c r="ED88" s="171">
        <f t="shared" si="91"/>
        <v>1.9084851177254554</v>
      </c>
      <c r="EE88" s="59">
        <v>2.9600000000000001E-2</v>
      </c>
      <c r="EF88" s="59">
        <v>4.1000000000000003E-3</v>
      </c>
      <c r="EG88" s="59">
        <v>0.1963</v>
      </c>
      <c r="EH88" s="59">
        <v>0</v>
      </c>
      <c r="EI88" s="216">
        <v>0.14319999999999999</v>
      </c>
      <c r="EJ88" s="172">
        <v>5.8711000000000011</v>
      </c>
      <c r="EK88" s="173"/>
      <c r="EL88" s="59">
        <v>1.0101</v>
      </c>
      <c r="EM88" s="59">
        <v>0.27329999999999999</v>
      </c>
      <c r="EN88" s="217">
        <v>0.17530000000000001</v>
      </c>
      <c r="EO88" s="172">
        <v>7.1866000000000012</v>
      </c>
      <c r="ES88" s="57">
        <f t="shared" si="101"/>
        <v>5.8711000000000011</v>
      </c>
      <c r="ET88" s="57">
        <f t="shared" si="102"/>
        <v>7.1866000000000012</v>
      </c>
      <c r="EU88" s="31"/>
      <c r="EV88" s="61">
        <f t="shared" si="92"/>
        <v>1.6928343921922635</v>
      </c>
      <c r="EW88" s="61">
        <f t="shared" si="128"/>
        <v>1.654774163025631</v>
      </c>
      <c r="EX88" s="185">
        <v>7.5404999999999998</v>
      </c>
      <c r="EY88" s="79">
        <v>9.6517999999999997</v>
      </c>
      <c r="EZ88" s="158">
        <f t="shared" si="93"/>
        <v>9.9388000000000005</v>
      </c>
      <c r="FA88" s="158">
        <f t="shared" si="94"/>
        <v>11.892200000000001</v>
      </c>
      <c r="FH88" s="174">
        <f t="shared" si="103"/>
        <v>88872.74960000001</v>
      </c>
      <c r="FJ88" s="87">
        <v>1.282</v>
      </c>
      <c r="FK88" s="176">
        <f t="shared" si="104"/>
        <v>1.3204636444557438</v>
      </c>
      <c r="FL88" s="87">
        <v>1.3411</v>
      </c>
      <c r="FM88" s="87">
        <f t="shared" si="105"/>
        <v>1.2338931944117746</v>
      </c>
      <c r="FO88" s="88">
        <f t="shared" si="95"/>
        <v>88872.74960000001</v>
      </c>
      <c r="FP88" s="79">
        <f t="shared" si="96"/>
        <v>93477.448879999996</v>
      </c>
      <c r="FS88" s="79">
        <f t="shared" si="97"/>
        <v>52499.376200000013</v>
      </c>
      <c r="FT88" s="79">
        <f t="shared" si="98"/>
        <v>56489.550640000009</v>
      </c>
      <c r="FU88" s="79">
        <f t="shared" si="106"/>
        <v>1.6928343921922635</v>
      </c>
      <c r="FV88" s="79">
        <f t="shared" si="106"/>
        <v>1.6547741630256307</v>
      </c>
      <c r="FY88" s="79">
        <f t="shared" si="107"/>
        <v>10749.806080000004</v>
      </c>
      <c r="FZ88" s="79">
        <f t="shared" si="108"/>
        <v>93477.448879999996</v>
      </c>
      <c r="GB88" s="178">
        <f t="shared" si="109"/>
        <v>1081.6000000000004</v>
      </c>
      <c r="GC88" s="178">
        <f t="shared" si="110"/>
        <v>7860.4</v>
      </c>
      <c r="GG88" s="14">
        <v>7.8262</v>
      </c>
      <c r="GH88" s="175">
        <f t="shared" si="111"/>
        <v>1.2699394342081727</v>
      </c>
      <c r="GI88" s="14">
        <v>10.017800000000001</v>
      </c>
      <c r="GJ88" s="175">
        <f t="shared" si="112"/>
        <v>1.1871069496296591</v>
      </c>
      <c r="GK88" s="175">
        <f t="shared" si="129"/>
        <v>8.2832484578513554E-2</v>
      </c>
      <c r="GN88" s="14">
        <v>10.126000000000001</v>
      </c>
      <c r="GO88" s="175">
        <f t="shared" si="113"/>
        <v>1.2938590887020522</v>
      </c>
      <c r="GP88" s="179">
        <f t="shared" si="114"/>
        <v>0.98151293699387709</v>
      </c>
      <c r="GQ88" s="14">
        <v>11.896800000000001</v>
      </c>
      <c r="GR88" s="175">
        <f t="shared" si="115"/>
        <v>1.1875661322845334</v>
      </c>
      <c r="GS88" s="175">
        <f t="shared" si="116"/>
        <v>0.99961334140273017</v>
      </c>
      <c r="GV88" s="32">
        <f t="shared" si="117"/>
        <v>10749.806080000004</v>
      </c>
      <c r="GW88" s="32">
        <f t="shared" si="118"/>
        <v>93477.448879999996</v>
      </c>
      <c r="GX88" s="180">
        <f t="shared" si="119"/>
        <v>104227.25496000001</v>
      </c>
      <c r="GZ88" s="32">
        <f t="shared" si="120"/>
        <v>9.9388000000000005</v>
      </c>
      <c r="HA88" s="32">
        <f t="shared" si="121"/>
        <v>11.892200000000001</v>
      </c>
      <c r="HB88" s="32">
        <f t="shared" si="122"/>
        <v>11.655922048758667</v>
      </c>
    </row>
    <row r="89" spans="1:210" ht="19.2" customHeight="1" x14ac:dyDescent="0.3">
      <c r="A89" s="50">
        <v>81</v>
      </c>
      <c r="B89" s="51" t="s">
        <v>621</v>
      </c>
      <c r="C89" s="150" t="s">
        <v>581</v>
      </c>
      <c r="D89" s="52">
        <v>9</v>
      </c>
      <c r="E89" s="52">
        <v>4</v>
      </c>
      <c r="F89" s="63">
        <v>168</v>
      </c>
      <c r="G89" s="54" t="s">
        <v>211</v>
      </c>
      <c r="H89" s="181" t="s">
        <v>193</v>
      </c>
      <c r="I89" s="55">
        <f t="shared" si="99"/>
        <v>1125.6000000000008</v>
      </c>
      <c r="J89" s="55">
        <f t="shared" si="79"/>
        <v>8960.4</v>
      </c>
      <c r="K89" s="55">
        <f t="shared" si="80"/>
        <v>93.6</v>
      </c>
      <c r="L89" s="56">
        <v>10179.6</v>
      </c>
      <c r="M89" s="56">
        <v>10086</v>
      </c>
      <c r="N89" s="56">
        <f t="shared" si="100"/>
        <v>1125.6000000000004</v>
      </c>
      <c r="O89" s="56">
        <v>93.6</v>
      </c>
      <c r="P89" s="56">
        <v>0</v>
      </c>
      <c r="Q89" s="55"/>
      <c r="R89" s="55">
        <v>10179.6</v>
      </c>
      <c r="S89" s="55"/>
      <c r="T89" s="55">
        <v>8960.4</v>
      </c>
      <c r="U89" s="152">
        <v>1219.2000000000007</v>
      </c>
      <c r="V89" s="57">
        <v>0.12239999999999999</v>
      </c>
      <c r="W89" s="57">
        <v>5.1299999999999998E-2</v>
      </c>
      <c r="X89" s="153">
        <v>0.30990000000000001</v>
      </c>
      <c r="Y89" s="153">
        <v>6.7100000000000007E-2</v>
      </c>
      <c r="Z89" s="57">
        <v>5.0999999999999997E-2</v>
      </c>
      <c r="AA89" s="57">
        <v>0.3584</v>
      </c>
      <c r="AB89" s="57">
        <v>0</v>
      </c>
      <c r="AC89" s="153">
        <v>0.63149999999999995</v>
      </c>
      <c r="AD89" s="57">
        <v>0.12889999999999999</v>
      </c>
      <c r="AE89" s="57">
        <v>0</v>
      </c>
      <c r="AF89" s="57">
        <v>3.0225</v>
      </c>
      <c r="AG89" s="57">
        <v>0.16789999999999999</v>
      </c>
      <c r="AH89" s="57">
        <v>0.185</v>
      </c>
      <c r="AI89" s="57">
        <v>0.12720000000000001</v>
      </c>
      <c r="AJ89" s="57">
        <v>8.1699999999999995E-2</v>
      </c>
      <c r="AK89" s="57">
        <v>9.9199999999999997E-2</v>
      </c>
      <c r="AL89" s="57">
        <v>0.16239999999999999</v>
      </c>
      <c r="AM89" s="57">
        <v>2.8899999999999999E-2</v>
      </c>
      <c r="AN89" s="57">
        <v>0</v>
      </c>
      <c r="AO89" s="57">
        <v>1.3212999999999999</v>
      </c>
      <c r="AP89" s="153">
        <v>1.4906999999999999</v>
      </c>
      <c r="AQ89" s="153">
        <v>8.3199999999999996E-2</v>
      </c>
      <c r="AR89" s="57">
        <v>0.36730000000000002</v>
      </c>
      <c r="AS89" s="57">
        <v>4.3799999999999999E-2</v>
      </c>
      <c r="AT89" s="153">
        <v>7.1000000000000004E-3</v>
      </c>
      <c r="AU89" s="153">
        <v>0.56240000000000001</v>
      </c>
      <c r="AV89" s="153">
        <v>0</v>
      </c>
      <c r="AW89" s="154">
        <v>9.4710999999999981</v>
      </c>
      <c r="AX89" s="58">
        <v>0.47360000000000002</v>
      </c>
      <c r="AY89" s="155">
        <f t="shared" si="81"/>
        <v>0.46939999999999998</v>
      </c>
      <c r="AZ89" s="155">
        <f t="shared" si="82"/>
        <v>4.200000000000037E-3</v>
      </c>
      <c r="BA89" s="14">
        <v>9.9446999999999974</v>
      </c>
      <c r="BB89" s="59">
        <f>BA89-'[1]Тариф 26 свод без  ПДВ'!AU89</f>
        <v>5.1999999999967628E-3</v>
      </c>
      <c r="BC89" s="57">
        <v>1.3029999999999999</v>
      </c>
      <c r="BD89" s="57">
        <v>4.0099999999999997E-2</v>
      </c>
      <c r="BE89" s="57">
        <v>0.78559999999999997</v>
      </c>
      <c r="BF89" s="156">
        <v>11.599799999999998</v>
      </c>
      <c r="BG89" s="59">
        <v>0.57999999999999996</v>
      </c>
      <c r="BH89" s="59"/>
      <c r="BI89" s="59"/>
      <c r="BJ89" s="14">
        <v>12.179799999999998</v>
      </c>
      <c r="BK89" s="60"/>
      <c r="BL89" s="60">
        <v>5.7293999999999974</v>
      </c>
      <c r="BM89" s="60">
        <v>0.28649999999999998</v>
      </c>
      <c r="BN89" s="14">
        <v>6.0158999999999976</v>
      </c>
      <c r="BO89" s="14"/>
      <c r="BP89" s="157"/>
      <c r="BQ89" s="158">
        <f>BJ89-'[1]Тариф 26 свод без  ПДВ'!BG89</f>
        <v>3.7999999999982492E-3</v>
      </c>
      <c r="BR89" s="77">
        <f>'[1]Тариф 26 свод без  ПДВ'!BG89</f>
        <v>12.176</v>
      </c>
      <c r="BS89" s="159">
        <f t="shared" si="83"/>
        <v>3.7999999999982492E-3</v>
      </c>
      <c r="BU89" s="77">
        <f>'[1]Тариф 26 свод без  ПДВ'!AU89</f>
        <v>9.9395000000000007</v>
      </c>
      <c r="BV89" s="159">
        <f t="shared" si="84"/>
        <v>5.1999999999967628E-3</v>
      </c>
      <c r="BX89" s="95">
        <v>4.2859000000000007</v>
      </c>
      <c r="BY89" s="95">
        <v>4.2859000000000007</v>
      </c>
      <c r="BZ89" s="95"/>
      <c r="CA89" s="182">
        <f t="shared" si="85"/>
        <v>2.3203294523903955</v>
      </c>
      <c r="CB89" s="182">
        <f t="shared" si="86"/>
        <v>2.8418301873585468</v>
      </c>
      <c r="CI89" s="160">
        <f>'[1]0 СВОД'!AYY104</f>
        <v>120894.02042548935</v>
      </c>
      <c r="CJ89" s="77">
        <f t="shared" si="87"/>
        <v>1450728.2451058722</v>
      </c>
      <c r="CM89" s="161">
        <v>87</v>
      </c>
      <c r="CN89" s="183" t="s">
        <v>622</v>
      </c>
      <c r="CO89" s="163">
        <v>9</v>
      </c>
      <c r="CP89" s="163">
        <v>4</v>
      </c>
      <c r="CQ89" s="164" t="s">
        <v>211</v>
      </c>
      <c r="CR89" s="165" t="s">
        <v>193</v>
      </c>
      <c r="CS89" s="166">
        <v>1166.3000000000004</v>
      </c>
      <c r="CT89" s="166">
        <v>8955.5</v>
      </c>
      <c r="CU89" s="167">
        <v>54.3</v>
      </c>
      <c r="CV89" s="168">
        <v>10176.1</v>
      </c>
      <c r="CW89" s="166">
        <v>10121.800000000001</v>
      </c>
      <c r="CX89" s="167">
        <v>54.3</v>
      </c>
      <c r="CY89" s="166">
        <v>-7.2475359047530219E-13</v>
      </c>
      <c r="CZ89" s="166"/>
      <c r="DA89" s="166">
        <v>10176.1</v>
      </c>
      <c r="DB89" s="166"/>
      <c r="DC89" s="166">
        <v>8955.5</v>
      </c>
      <c r="DD89" s="59">
        <v>0.11799999999999999</v>
      </c>
      <c r="DE89" s="59">
        <v>8.3400000000000002E-2</v>
      </c>
      <c r="DF89" s="59">
        <v>0.2039</v>
      </c>
      <c r="DG89" s="59">
        <v>3.95E-2</v>
      </c>
      <c r="DH89" s="59">
        <v>1.9199999999999998E-2</v>
      </c>
      <c r="DI89" s="59">
        <v>0.1578</v>
      </c>
      <c r="DJ89" s="59">
        <v>4.8099999999999997E-2</v>
      </c>
      <c r="DK89" s="59">
        <v>0.3458</v>
      </c>
      <c r="DL89" s="59">
        <v>6.3799999999999996E-2</v>
      </c>
      <c r="DM89" s="59">
        <v>7.85E-2</v>
      </c>
      <c r="DN89" s="169">
        <v>0</v>
      </c>
      <c r="DO89" s="184">
        <v>2.0986000000000002</v>
      </c>
      <c r="DP89" s="171">
        <f t="shared" si="88"/>
        <v>3.0225</v>
      </c>
      <c r="DQ89" s="59">
        <v>8.0799999999999997E-2</v>
      </c>
      <c r="DR89" s="59">
        <v>0.111</v>
      </c>
      <c r="DS89" s="59">
        <v>3.3700000000000001E-2</v>
      </c>
      <c r="DT89" s="59">
        <v>3.8699999999999998E-2</v>
      </c>
      <c r="DU89" s="59">
        <v>4.19E-2</v>
      </c>
      <c r="DV89" s="59">
        <v>5.6399999999999999E-2</v>
      </c>
      <c r="DW89" s="59">
        <v>7.0000000000000001E-3</v>
      </c>
      <c r="DX89" s="169">
        <v>0</v>
      </c>
      <c r="DY89" s="59">
        <v>0.67330000000000001</v>
      </c>
      <c r="DZ89" s="171">
        <f t="shared" si="89"/>
        <v>1.9624238823704143</v>
      </c>
      <c r="EA89" s="59">
        <v>0.88849999999999996</v>
      </c>
      <c r="EB89" s="171">
        <f t="shared" si="90"/>
        <v>1.7714124929656725</v>
      </c>
      <c r="EC89" s="59">
        <v>0.1905</v>
      </c>
      <c r="ED89" s="171">
        <f t="shared" si="91"/>
        <v>1.9280839895013124</v>
      </c>
      <c r="EE89" s="59">
        <v>3.3500000000000002E-2</v>
      </c>
      <c r="EF89" s="59">
        <v>4.7000000000000002E-3</v>
      </c>
      <c r="EG89" s="59">
        <v>0.33410000000000001</v>
      </c>
      <c r="EH89" s="59">
        <v>0</v>
      </c>
      <c r="EI89" s="155">
        <v>0.14380000000000001</v>
      </c>
      <c r="EJ89" s="172">
        <v>5.8944999999999999</v>
      </c>
      <c r="EK89" s="173"/>
      <c r="EL89" s="59">
        <v>0.89100000000000001</v>
      </c>
      <c r="EM89" s="59">
        <v>0.4617</v>
      </c>
      <c r="EN89" s="59">
        <v>0.17760000000000001</v>
      </c>
      <c r="EO89" s="172">
        <v>7.2810000000000006</v>
      </c>
      <c r="ES89" s="57">
        <f t="shared" si="101"/>
        <v>5.8944999999999999</v>
      </c>
      <c r="ET89" s="57">
        <f t="shared" si="102"/>
        <v>7.2810000000000006</v>
      </c>
      <c r="EU89" s="31"/>
      <c r="EV89" s="61">
        <f t="shared" si="92"/>
        <v>1.6871151073034181</v>
      </c>
      <c r="EW89" s="61">
        <f t="shared" si="128"/>
        <v>1.6728196676280727</v>
      </c>
      <c r="EX89" s="185">
        <v>7.5274999999999999</v>
      </c>
      <c r="EY89" s="174">
        <v>9.8811999999999998</v>
      </c>
      <c r="EZ89" s="158">
        <f t="shared" si="93"/>
        <v>9.9446999999999974</v>
      </c>
      <c r="FA89" s="158">
        <f t="shared" si="94"/>
        <v>12.179799999999998</v>
      </c>
      <c r="FB89" s="158">
        <f>BA89-EX89</f>
        <v>2.4171999999999976</v>
      </c>
      <c r="FC89" s="158">
        <f>BJ89-EY89</f>
        <v>2.2985999999999986</v>
      </c>
      <c r="FD89" s="175">
        <f t="shared" ref="FD89:FD93" si="130">FB89/EX89</f>
        <v>0.32111590833610065</v>
      </c>
      <c r="FE89" s="175">
        <f t="shared" ref="FE89:FE93" si="131">FC89/FA89</f>
        <v>0.18872231071117743</v>
      </c>
      <c r="FF89" s="158"/>
      <c r="FG89" s="174"/>
      <c r="FH89" s="174">
        <f t="shared" si="103"/>
        <v>101233.06811999998</v>
      </c>
      <c r="FI89" s="174"/>
      <c r="FJ89" s="176">
        <v>1.2718</v>
      </c>
      <c r="FK89" s="176">
        <f t="shared" si="104"/>
        <v>1.3265569329323934</v>
      </c>
      <c r="FL89" s="87">
        <v>1.3529</v>
      </c>
      <c r="FM89" s="177">
        <f t="shared" si="105"/>
        <v>1.2364695599290951</v>
      </c>
      <c r="FO89" s="88">
        <f t="shared" si="95"/>
        <v>101233.06811999998</v>
      </c>
      <c r="FP89" s="79">
        <f t="shared" si="96"/>
        <v>109135.87991999998</v>
      </c>
      <c r="FS89" s="79">
        <f t="shared" si="97"/>
        <v>60003.652200000004</v>
      </c>
      <c r="FT89" s="79">
        <f t="shared" si="98"/>
        <v>65240.672400000003</v>
      </c>
      <c r="FU89" s="79">
        <f t="shared" si="106"/>
        <v>1.6871151073034181</v>
      </c>
      <c r="FV89" s="79">
        <f t="shared" si="106"/>
        <v>1.6728196676280727</v>
      </c>
      <c r="FY89" s="79">
        <f t="shared" si="107"/>
        <v>12124.578240000004</v>
      </c>
      <c r="FZ89" s="79">
        <f t="shared" si="108"/>
        <v>109135.87991999998</v>
      </c>
      <c r="GB89" s="178">
        <f t="shared" si="109"/>
        <v>1219.2000000000007</v>
      </c>
      <c r="GC89" s="178">
        <f t="shared" si="110"/>
        <v>8960.4</v>
      </c>
      <c r="GG89" s="14">
        <v>7.8309999999999995</v>
      </c>
      <c r="GH89" s="175">
        <f t="shared" si="111"/>
        <v>1.2699144425999231</v>
      </c>
      <c r="GI89" s="14">
        <v>10.460799999999999</v>
      </c>
      <c r="GJ89" s="175">
        <f t="shared" si="112"/>
        <v>1.1643277760783113</v>
      </c>
      <c r="GK89" s="175">
        <f t="shared" si="129"/>
        <v>0.10558666652161186</v>
      </c>
      <c r="GN89" s="14">
        <v>9.9014000000000006</v>
      </c>
      <c r="GO89" s="175">
        <f t="shared" si="113"/>
        <v>1.264385135997957</v>
      </c>
      <c r="GP89" s="179">
        <f t="shared" si="114"/>
        <v>1.0043731189528751</v>
      </c>
      <c r="GQ89" s="14">
        <v>12.000900000000001</v>
      </c>
      <c r="GR89" s="175">
        <f t="shared" si="115"/>
        <v>1.1472258335882535</v>
      </c>
      <c r="GS89" s="175">
        <f t="shared" si="116"/>
        <v>1.0149072152921861</v>
      </c>
      <c r="GV89" s="32">
        <f t="shared" si="117"/>
        <v>12124.578240000004</v>
      </c>
      <c r="GW89" s="32">
        <f t="shared" si="118"/>
        <v>109135.87991999998</v>
      </c>
      <c r="GX89" s="180">
        <f t="shared" si="119"/>
        <v>121260.45815999998</v>
      </c>
      <c r="GZ89" s="32">
        <f t="shared" si="120"/>
        <v>9.9446999999999974</v>
      </c>
      <c r="HA89" s="32">
        <f t="shared" si="121"/>
        <v>12.179799999999998</v>
      </c>
      <c r="HB89" s="32">
        <f t="shared" si="122"/>
        <v>11.912104420605916</v>
      </c>
    </row>
    <row r="90" spans="1:210" ht="19.2" customHeight="1" x14ac:dyDescent="0.3">
      <c r="A90" s="50">
        <v>82</v>
      </c>
      <c r="B90" s="51" t="s">
        <v>623</v>
      </c>
      <c r="C90" s="150" t="s">
        <v>581</v>
      </c>
      <c r="D90" s="52">
        <v>9</v>
      </c>
      <c r="E90" s="52">
        <v>4</v>
      </c>
      <c r="F90" s="63">
        <v>166</v>
      </c>
      <c r="G90" s="54" t="s">
        <v>212</v>
      </c>
      <c r="H90" s="181" t="s">
        <v>193</v>
      </c>
      <c r="I90" s="55">
        <f t="shared" si="99"/>
        <v>1233.8999999999996</v>
      </c>
      <c r="J90" s="55">
        <f t="shared" si="79"/>
        <v>9019.2000000000007</v>
      </c>
      <c r="K90" s="55">
        <f t="shared" si="80"/>
        <v>0</v>
      </c>
      <c r="L90" s="56">
        <v>10253.1</v>
      </c>
      <c r="M90" s="56">
        <v>10253.1</v>
      </c>
      <c r="N90" s="56">
        <f t="shared" si="100"/>
        <v>1233.8999999999996</v>
      </c>
      <c r="O90" s="56">
        <v>0</v>
      </c>
      <c r="P90" s="56">
        <v>0</v>
      </c>
      <c r="Q90" s="55"/>
      <c r="R90" s="55">
        <v>10253.1</v>
      </c>
      <c r="S90" s="55"/>
      <c r="T90" s="55">
        <v>9019.2000000000007</v>
      </c>
      <c r="U90" s="152">
        <v>1233.8999999999996</v>
      </c>
      <c r="V90" s="57">
        <v>0.10440000000000001</v>
      </c>
      <c r="W90" s="57">
        <v>5.0299999999999997E-2</v>
      </c>
      <c r="X90" s="153">
        <v>0.29859999999999998</v>
      </c>
      <c r="Y90" s="153">
        <v>6.7299999999999999E-2</v>
      </c>
      <c r="Z90" s="57">
        <v>5.0700000000000002E-2</v>
      </c>
      <c r="AA90" s="57">
        <v>0.37440000000000001</v>
      </c>
      <c r="AB90" s="57">
        <v>0</v>
      </c>
      <c r="AC90" s="153">
        <v>0.63149999999999995</v>
      </c>
      <c r="AD90" s="57">
        <v>0.128</v>
      </c>
      <c r="AE90" s="57">
        <v>0</v>
      </c>
      <c r="AF90" s="57">
        <v>2.8561000000000001</v>
      </c>
      <c r="AG90" s="57">
        <v>0.1386</v>
      </c>
      <c r="AH90" s="57">
        <v>0.1812</v>
      </c>
      <c r="AI90" s="57">
        <v>0.13350000000000001</v>
      </c>
      <c r="AJ90" s="57">
        <v>8.1500000000000003E-2</v>
      </c>
      <c r="AK90" s="57">
        <v>9.8500000000000004E-2</v>
      </c>
      <c r="AL90" s="57">
        <v>0.1716</v>
      </c>
      <c r="AM90" s="57">
        <v>3.0300000000000001E-2</v>
      </c>
      <c r="AN90" s="57">
        <v>0</v>
      </c>
      <c r="AO90" s="57">
        <v>1.3291999999999999</v>
      </c>
      <c r="AP90" s="153">
        <v>1.4407000000000001</v>
      </c>
      <c r="AQ90" s="153">
        <v>8.4699999999999998E-2</v>
      </c>
      <c r="AR90" s="57">
        <v>0.36470000000000002</v>
      </c>
      <c r="AS90" s="57">
        <v>3.5200000000000002E-2</v>
      </c>
      <c r="AT90" s="153">
        <v>5.7000000000000002E-3</v>
      </c>
      <c r="AU90" s="153">
        <v>0.26960000000000001</v>
      </c>
      <c r="AV90" s="153">
        <v>0</v>
      </c>
      <c r="AW90" s="154">
        <v>8.9262999999999995</v>
      </c>
      <c r="AX90" s="58">
        <v>0.44629999999999997</v>
      </c>
      <c r="AY90" s="155">
        <f t="shared" si="81"/>
        <v>0.44209999999999999</v>
      </c>
      <c r="AZ90" s="155">
        <f t="shared" si="82"/>
        <v>4.1999999999999815E-3</v>
      </c>
      <c r="BA90" s="14">
        <v>9.3726000000000003</v>
      </c>
      <c r="BB90" s="59">
        <f>BA90-'[1]Тариф 26 свод без  ПДВ'!AU90</f>
        <v>2.2000000000002018E-3</v>
      </c>
      <c r="BC90" s="57">
        <v>1.3995</v>
      </c>
      <c r="BD90" s="57">
        <v>1.9900000000000001E-2</v>
      </c>
      <c r="BE90" s="57">
        <v>0.37880000000000003</v>
      </c>
      <c r="BF90" s="156">
        <v>10.724499999999999</v>
      </c>
      <c r="BG90" s="59">
        <v>0.53620000000000001</v>
      </c>
      <c r="BH90" s="59"/>
      <c r="BI90" s="59"/>
      <c r="BJ90" s="14">
        <v>11.2607</v>
      </c>
      <c r="BK90" s="60"/>
      <c r="BL90" s="60">
        <v>5.5220999999999982</v>
      </c>
      <c r="BM90" s="60">
        <v>0.27610000000000001</v>
      </c>
      <c r="BN90" s="14">
        <v>5.7981999999999978</v>
      </c>
      <c r="BO90" s="14"/>
      <c r="BP90" s="157"/>
      <c r="BQ90" s="158">
        <f>BJ90-'[1]Тариф 26 свод без  ПДВ'!BG90</f>
        <v>-3.8000000000000256E-3</v>
      </c>
      <c r="BR90" s="77">
        <f>'[1]Тариф 26 свод без  ПДВ'!BG90</f>
        <v>11.2645</v>
      </c>
      <c r="BS90" s="159">
        <f t="shared" si="83"/>
        <v>-3.8000000000000256E-3</v>
      </c>
      <c r="BU90" s="77">
        <f>'[1]Тариф 26 свод без  ПДВ'!AU90</f>
        <v>9.3704000000000001</v>
      </c>
      <c r="BV90" s="159">
        <f t="shared" si="84"/>
        <v>2.2000000000002018E-3</v>
      </c>
      <c r="BX90" s="95">
        <v>4.1720999999999995</v>
      </c>
      <c r="BY90" s="95">
        <v>4.1720999999999995</v>
      </c>
      <c r="BZ90" s="95"/>
      <c r="CA90" s="182">
        <f t="shared" si="85"/>
        <v>2.2464945710793129</v>
      </c>
      <c r="CB90" s="182">
        <f t="shared" si="86"/>
        <v>2.6990484408331539</v>
      </c>
      <c r="CI90" s="160">
        <f>'[1]0 СВОД'!AYY105</f>
        <v>113126.4770912103</v>
      </c>
      <c r="CJ90" s="77">
        <f t="shared" si="87"/>
        <v>1357517.7250945235</v>
      </c>
      <c r="CM90" s="161">
        <v>88</v>
      </c>
      <c r="CN90" s="183" t="s">
        <v>624</v>
      </c>
      <c r="CO90" s="163">
        <v>9</v>
      </c>
      <c r="CP90" s="163">
        <v>4</v>
      </c>
      <c r="CQ90" s="164" t="s">
        <v>212</v>
      </c>
      <c r="CR90" s="165" t="s">
        <v>193</v>
      </c>
      <c r="CS90" s="166">
        <v>1233.8999999999996</v>
      </c>
      <c r="CT90" s="166">
        <v>9015.9</v>
      </c>
      <c r="CU90" s="167">
        <v>0</v>
      </c>
      <c r="CV90" s="168">
        <v>10249.799999999999</v>
      </c>
      <c r="CW90" s="166">
        <v>10249.799999999999</v>
      </c>
      <c r="CX90" s="167">
        <v>0</v>
      </c>
      <c r="CY90" s="166">
        <v>0</v>
      </c>
      <c r="CZ90" s="166"/>
      <c r="DA90" s="166">
        <v>10249.799999999999</v>
      </c>
      <c r="DB90" s="166"/>
      <c r="DC90" s="166">
        <v>9015.9</v>
      </c>
      <c r="DD90" s="59">
        <v>0.1026</v>
      </c>
      <c r="DE90" s="59">
        <v>8.1699999999999995E-2</v>
      </c>
      <c r="DF90" s="59">
        <v>0.19639999999999999</v>
      </c>
      <c r="DG90" s="59">
        <v>3.9699999999999999E-2</v>
      </c>
      <c r="DH90" s="59">
        <v>1.9E-2</v>
      </c>
      <c r="DI90" s="59">
        <v>0.16520000000000001</v>
      </c>
      <c r="DJ90" s="59">
        <v>4.8099999999999997E-2</v>
      </c>
      <c r="DK90" s="59">
        <v>0.3458</v>
      </c>
      <c r="DL90" s="59">
        <v>6.3399999999999998E-2</v>
      </c>
      <c r="DM90" s="59">
        <v>7.7899999999999997E-2</v>
      </c>
      <c r="DN90" s="169">
        <v>0</v>
      </c>
      <c r="DO90" s="184">
        <v>1.9669000000000001</v>
      </c>
      <c r="DP90" s="171">
        <f t="shared" si="88"/>
        <v>2.8561000000000001</v>
      </c>
      <c r="DQ90" s="59">
        <v>6.6799999999999998E-2</v>
      </c>
      <c r="DR90" s="59">
        <v>0.1087</v>
      </c>
      <c r="DS90" s="59">
        <v>3.5000000000000003E-2</v>
      </c>
      <c r="DT90" s="59">
        <v>3.8600000000000002E-2</v>
      </c>
      <c r="DU90" s="59">
        <v>4.1599999999999998E-2</v>
      </c>
      <c r="DV90" s="59">
        <v>5.9700000000000003E-2</v>
      </c>
      <c r="DW90" s="59">
        <v>7.6E-3</v>
      </c>
      <c r="DX90" s="169">
        <v>0</v>
      </c>
      <c r="DY90" s="59">
        <v>0.6835</v>
      </c>
      <c r="DZ90" s="171">
        <f t="shared" si="89"/>
        <v>1.9446964155084125</v>
      </c>
      <c r="EA90" s="59">
        <v>0.85470000000000002</v>
      </c>
      <c r="EB90" s="171">
        <f t="shared" si="90"/>
        <v>1.7847197847197849</v>
      </c>
      <c r="EC90" s="59">
        <v>0.19489999999999999</v>
      </c>
      <c r="ED90" s="171">
        <f t="shared" si="91"/>
        <v>1.8712160082093383</v>
      </c>
      <c r="EE90" s="59">
        <v>2.69E-2</v>
      </c>
      <c r="EF90" s="59">
        <v>3.7000000000000002E-3</v>
      </c>
      <c r="EG90" s="59">
        <v>0.22670000000000001</v>
      </c>
      <c r="EH90" s="59">
        <v>0</v>
      </c>
      <c r="EI90" s="155">
        <v>0.13639999999999999</v>
      </c>
      <c r="EJ90" s="172">
        <v>5.5915000000000008</v>
      </c>
      <c r="EK90" s="173"/>
      <c r="EL90" s="59">
        <v>0.8851</v>
      </c>
      <c r="EM90" s="59">
        <v>0.31940000000000002</v>
      </c>
      <c r="EN90" s="59">
        <v>0.16650000000000001</v>
      </c>
      <c r="EO90" s="172">
        <v>6.8261000000000012</v>
      </c>
      <c r="ES90" s="57">
        <f t="shared" si="101"/>
        <v>5.5915000000000008</v>
      </c>
      <c r="ET90" s="57">
        <f t="shared" si="102"/>
        <v>6.8261000000000012</v>
      </c>
      <c r="EU90" s="31"/>
      <c r="EV90" s="61">
        <f t="shared" si="92"/>
        <v>1.6762228382366089</v>
      </c>
      <c r="EW90" s="61">
        <f t="shared" si="128"/>
        <v>1.6496535356938806</v>
      </c>
      <c r="EX90" s="174">
        <v>7.1946000000000003</v>
      </c>
      <c r="EY90" s="174">
        <v>9.5429999999999993</v>
      </c>
      <c r="EZ90" s="158">
        <f t="shared" si="93"/>
        <v>9.3726000000000003</v>
      </c>
      <c r="FA90" s="158">
        <f t="shared" si="94"/>
        <v>11.2607</v>
      </c>
      <c r="FB90" s="158">
        <f>BA90-EX90</f>
        <v>2.1779999999999999</v>
      </c>
      <c r="FC90" s="158">
        <f>BJ90-EY90</f>
        <v>1.7177000000000007</v>
      </c>
      <c r="FD90" s="175">
        <f t="shared" si="130"/>
        <v>0.30272704528396294</v>
      </c>
      <c r="FE90" s="175">
        <f t="shared" si="131"/>
        <v>0.15253936256183015</v>
      </c>
      <c r="FF90" s="158"/>
      <c r="FG90" s="174"/>
      <c r="FH90" s="174">
        <f t="shared" si="103"/>
        <v>96098.205060000008</v>
      </c>
      <c r="FI90" s="174"/>
      <c r="FJ90" s="176">
        <v>1.2867</v>
      </c>
      <c r="FK90" s="176">
        <f t="shared" si="104"/>
        <v>1.302730114429633</v>
      </c>
      <c r="FL90" s="87">
        <v>1.3979999999999999</v>
      </c>
      <c r="FM90" s="177">
        <f t="shared" si="105"/>
        <v>1.1800096821844641</v>
      </c>
      <c r="FO90" s="88">
        <f t="shared" si="95"/>
        <v>96098.205060000008</v>
      </c>
      <c r="FP90" s="79">
        <f t="shared" si="96"/>
        <v>101562.50544000001</v>
      </c>
      <c r="FS90" s="79">
        <f t="shared" si="97"/>
        <v>57330.208650000008</v>
      </c>
      <c r="FT90" s="79">
        <f t="shared" si="98"/>
        <v>61565.961120000014</v>
      </c>
      <c r="FU90" s="79">
        <f t="shared" si="106"/>
        <v>1.6762228382366091</v>
      </c>
      <c r="FV90" s="79">
        <f t="shared" si="106"/>
        <v>1.6496535356938806</v>
      </c>
      <c r="FY90" s="79">
        <f t="shared" si="107"/>
        <v>11564.851139999997</v>
      </c>
      <c r="FZ90" s="79">
        <f t="shared" si="108"/>
        <v>101562.50544000001</v>
      </c>
      <c r="GB90" s="178">
        <f t="shared" si="109"/>
        <v>1233.8999999999996</v>
      </c>
      <c r="GC90" s="178">
        <f t="shared" si="110"/>
        <v>9019.2000000000007</v>
      </c>
      <c r="GG90" s="14">
        <v>7.3803000000000001</v>
      </c>
      <c r="GH90" s="175">
        <f t="shared" si="111"/>
        <v>1.2699483760822732</v>
      </c>
      <c r="GI90" s="14">
        <v>9.798</v>
      </c>
      <c r="GJ90" s="175">
        <f t="shared" si="112"/>
        <v>1.1492855684833641</v>
      </c>
      <c r="GK90" s="175">
        <f t="shared" si="129"/>
        <v>0.12066280759890913</v>
      </c>
      <c r="GN90" s="14">
        <v>9.5618999999999961</v>
      </c>
      <c r="GO90" s="175">
        <f t="shared" si="113"/>
        <v>1.2955977399292706</v>
      </c>
      <c r="GP90" s="179">
        <f t="shared" si="114"/>
        <v>0.9802026793838049</v>
      </c>
      <c r="GQ90" s="14">
        <v>11.399199999999995</v>
      </c>
      <c r="GR90" s="175">
        <f t="shared" si="115"/>
        <v>1.1634211063482338</v>
      </c>
      <c r="GS90" s="175">
        <f t="shared" si="116"/>
        <v>0.98785002456312765</v>
      </c>
      <c r="GV90" s="32">
        <f t="shared" si="117"/>
        <v>11564.851139999997</v>
      </c>
      <c r="GW90" s="32">
        <f t="shared" si="118"/>
        <v>101562.50544000001</v>
      </c>
      <c r="GX90" s="180">
        <f t="shared" si="119"/>
        <v>113127.35658000001</v>
      </c>
      <c r="GZ90" s="32">
        <f t="shared" si="120"/>
        <v>9.3726000000000003</v>
      </c>
      <c r="HA90" s="32">
        <f t="shared" si="121"/>
        <v>11.2607</v>
      </c>
      <c r="HB90" s="32">
        <f t="shared" si="122"/>
        <v>11.033478321678322</v>
      </c>
    </row>
    <row r="91" spans="1:210" ht="19.2" customHeight="1" x14ac:dyDescent="0.3">
      <c r="A91" s="50">
        <v>83</v>
      </c>
      <c r="B91" s="51" t="s">
        <v>625</v>
      </c>
      <c r="C91" s="150" t="s">
        <v>581</v>
      </c>
      <c r="D91" s="52">
        <v>9</v>
      </c>
      <c r="E91" s="52">
        <v>3</v>
      </c>
      <c r="F91" s="63">
        <v>123</v>
      </c>
      <c r="G91" s="54" t="s">
        <v>213</v>
      </c>
      <c r="H91" s="181" t="s">
        <v>193</v>
      </c>
      <c r="I91" s="55">
        <f t="shared" si="99"/>
        <v>845.80000000000018</v>
      </c>
      <c r="J91" s="55">
        <f t="shared" si="79"/>
        <v>6780.2</v>
      </c>
      <c r="K91" s="55">
        <f t="shared" si="80"/>
        <v>0</v>
      </c>
      <c r="L91" s="56">
        <v>7626</v>
      </c>
      <c r="M91" s="56">
        <v>7626</v>
      </c>
      <c r="N91" s="56">
        <f t="shared" si="100"/>
        <v>845.80000000000018</v>
      </c>
      <c r="O91" s="56">
        <v>0</v>
      </c>
      <c r="P91" s="56">
        <v>0</v>
      </c>
      <c r="Q91" s="55"/>
      <c r="R91" s="55">
        <v>7626</v>
      </c>
      <c r="S91" s="55"/>
      <c r="T91" s="55">
        <v>6780.2</v>
      </c>
      <c r="U91" s="152">
        <v>845.80000000000018</v>
      </c>
      <c r="V91" s="57">
        <v>0.1099</v>
      </c>
      <c r="W91" s="57">
        <v>5.5100000000000003E-2</v>
      </c>
      <c r="X91" s="153">
        <v>0.2792</v>
      </c>
      <c r="Y91" s="153">
        <v>7.4300000000000005E-2</v>
      </c>
      <c r="Z91" s="57">
        <v>5.3499999999999999E-2</v>
      </c>
      <c r="AA91" s="57">
        <v>0.30199999999999999</v>
      </c>
      <c r="AB91" s="57">
        <v>0</v>
      </c>
      <c r="AC91" s="153">
        <v>0.63149999999999995</v>
      </c>
      <c r="AD91" s="57">
        <v>0.12130000000000001</v>
      </c>
      <c r="AE91" s="57">
        <v>0</v>
      </c>
      <c r="AF91" s="57">
        <v>2.6945999999999999</v>
      </c>
      <c r="AG91" s="57">
        <v>0.14510000000000001</v>
      </c>
      <c r="AH91" s="57">
        <v>0.1983</v>
      </c>
      <c r="AI91" s="57">
        <v>0.1313</v>
      </c>
      <c r="AJ91" s="57">
        <v>0.11550000000000001</v>
      </c>
      <c r="AK91" s="57">
        <v>0.10390000000000001</v>
      </c>
      <c r="AL91" s="57">
        <v>0.14610000000000001</v>
      </c>
      <c r="AM91" s="57">
        <v>2.93E-2</v>
      </c>
      <c r="AN91" s="57">
        <v>0</v>
      </c>
      <c r="AO91" s="57">
        <v>2.0935999999999999</v>
      </c>
      <c r="AP91" s="153">
        <v>1.3396999999999999</v>
      </c>
      <c r="AQ91" s="153">
        <v>8.1100000000000005E-2</v>
      </c>
      <c r="AR91" s="57">
        <v>0.44469999999999998</v>
      </c>
      <c r="AS91" s="57">
        <v>3.8399999999999997E-2</v>
      </c>
      <c r="AT91" s="153">
        <v>6.1999999999999998E-3</v>
      </c>
      <c r="AU91" s="153">
        <v>0.3407</v>
      </c>
      <c r="AV91" s="153">
        <v>0</v>
      </c>
      <c r="AW91" s="154">
        <v>9.5352999999999977</v>
      </c>
      <c r="AX91" s="58">
        <v>0.4768</v>
      </c>
      <c r="AY91" s="155">
        <f t="shared" si="81"/>
        <v>0.47270000000000001</v>
      </c>
      <c r="AZ91" s="155">
        <f t="shared" si="82"/>
        <v>4.0999999999999925E-3</v>
      </c>
      <c r="BA91" s="14">
        <v>10.012099999999998</v>
      </c>
      <c r="BB91" s="59">
        <f>BA91-'[1]Тариф 26 свод без  ПДВ'!AU91</f>
        <v>-3.2000000000014239E-3</v>
      </c>
      <c r="BC91" s="57">
        <v>1.1950000000000001</v>
      </c>
      <c r="BD91" s="57">
        <v>5.2999999999999999E-2</v>
      </c>
      <c r="BE91" s="57">
        <v>0.46949999999999997</v>
      </c>
      <c r="BF91" s="156">
        <v>11.252799999999999</v>
      </c>
      <c r="BG91" s="59">
        <v>0.56259999999999999</v>
      </c>
      <c r="BH91" s="59"/>
      <c r="BI91" s="59"/>
      <c r="BJ91" s="14">
        <v>11.815399999999999</v>
      </c>
      <c r="BK91" s="60"/>
      <c r="BL91" s="60">
        <v>5.3165999999999993</v>
      </c>
      <c r="BM91" s="60">
        <v>0.26579999999999998</v>
      </c>
      <c r="BN91" s="14">
        <v>5.5823999999999989</v>
      </c>
      <c r="BO91" s="14"/>
      <c r="BP91" s="157"/>
      <c r="BQ91" s="158">
        <f>BJ91-'[1]Тариф 26 свод без  ПДВ'!BG91</f>
        <v>-1.5000000000018332E-3</v>
      </c>
      <c r="BR91" s="77">
        <f>'[1]Тариф 26 свод без  ПДВ'!BG91</f>
        <v>11.8169</v>
      </c>
      <c r="BS91" s="159">
        <f t="shared" si="83"/>
        <v>-1.5000000000018332E-3</v>
      </c>
      <c r="BU91" s="77">
        <f>'[1]Тариф 26 свод без  ПДВ'!AU91</f>
        <v>10.0153</v>
      </c>
      <c r="BV91" s="159">
        <f t="shared" si="84"/>
        <v>-3.2000000000014239E-3</v>
      </c>
      <c r="BX91" s="95">
        <v>4.8164000000000007</v>
      </c>
      <c r="BY91" s="95">
        <v>5.8779999999999992</v>
      </c>
      <c r="BZ91" s="95"/>
      <c r="CA91" s="207">
        <f t="shared" si="85"/>
        <v>2.0787517648035871</v>
      </c>
      <c r="CB91" s="207">
        <f t="shared" si="86"/>
        <v>2.0101054780537599</v>
      </c>
      <c r="CD91" s="160">
        <f>L91-CE91</f>
        <v>845.80000000000018</v>
      </c>
      <c r="CE91" s="160">
        <f>T91</f>
        <v>6780.2</v>
      </c>
      <c r="CF91" s="77">
        <f>CD91*BA91</f>
        <v>8468.2341800000013</v>
      </c>
      <c r="CG91" s="77">
        <f>BJ91*CE91</f>
        <v>80110.775079999992</v>
      </c>
      <c r="CI91" s="160">
        <f>'[1]0 СВОД'!AYY106</f>
        <v>88579.337556939005</v>
      </c>
      <c r="CJ91" s="77">
        <f t="shared" si="87"/>
        <v>1062952.0506832681</v>
      </c>
      <c r="CM91" s="161">
        <v>89</v>
      </c>
      <c r="CN91" s="162" t="s">
        <v>626</v>
      </c>
      <c r="CO91" s="163">
        <v>9</v>
      </c>
      <c r="CP91" s="163">
        <v>3</v>
      </c>
      <c r="CQ91" s="164" t="s">
        <v>213</v>
      </c>
      <c r="CR91" s="165" t="s">
        <v>193</v>
      </c>
      <c r="CS91" s="166">
        <v>845.80000000000018</v>
      </c>
      <c r="CT91" s="166">
        <v>6774.8</v>
      </c>
      <c r="CU91" s="167">
        <v>0</v>
      </c>
      <c r="CV91" s="168">
        <v>7620.6</v>
      </c>
      <c r="CW91" s="166">
        <v>7620.6</v>
      </c>
      <c r="CX91" s="167">
        <v>0</v>
      </c>
      <c r="CY91" s="166">
        <v>0</v>
      </c>
      <c r="CZ91" s="166"/>
      <c r="DA91" s="166">
        <v>7620.6</v>
      </c>
      <c r="DB91" s="166"/>
      <c r="DC91" s="166">
        <v>6774.8</v>
      </c>
      <c r="DD91" s="59">
        <v>0.108</v>
      </c>
      <c r="DE91" s="59">
        <v>8.9499999999999996E-2</v>
      </c>
      <c r="DF91" s="59">
        <v>0.1837</v>
      </c>
      <c r="DG91" s="59">
        <v>4.3799999999999999E-2</v>
      </c>
      <c r="DH91" s="59">
        <v>2.01E-2</v>
      </c>
      <c r="DI91" s="59">
        <v>0.13170000000000001</v>
      </c>
      <c r="DJ91" s="59">
        <v>4.8099999999999997E-2</v>
      </c>
      <c r="DK91" s="59">
        <v>0.3458</v>
      </c>
      <c r="DL91" s="169">
        <v>0</v>
      </c>
      <c r="DM91" s="59">
        <v>7.3899999999999993E-2</v>
      </c>
      <c r="DN91" s="169">
        <v>0</v>
      </c>
      <c r="DO91" s="170">
        <v>1.6468</v>
      </c>
      <c r="DP91" s="171">
        <f t="shared" si="88"/>
        <v>2.6945999999999999</v>
      </c>
      <c r="DQ91" s="59">
        <v>6.9900000000000004E-2</v>
      </c>
      <c r="DR91" s="59">
        <v>0.11899999999999999</v>
      </c>
      <c r="DS91" s="59">
        <v>3.4099999999999998E-2</v>
      </c>
      <c r="DT91" s="59">
        <v>5.45E-2</v>
      </c>
      <c r="DU91" s="59">
        <v>4.3900000000000002E-2</v>
      </c>
      <c r="DV91" s="59">
        <v>5.0700000000000002E-2</v>
      </c>
      <c r="DW91" s="59">
        <v>7.1999999999999998E-3</v>
      </c>
      <c r="DX91" s="169">
        <v>0</v>
      </c>
      <c r="DY91" s="59">
        <v>1.0980000000000001</v>
      </c>
      <c r="DZ91" s="171">
        <f t="shared" si="89"/>
        <v>1.9067395264116573</v>
      </c>
      <c r="EA91" s="59">
        <v>0.8024</v>
      </c>
      <c r="EB91" s="171">
        <f t="shared" si="90"/>
        <v>1.7706879361914256</v>
      </c>
      <c r="EC91" s="59">
        <v>0.26779999999999998</v>
      </c>
      <c r="ED91" s="171">
        <f t="shared" si="91"/>
        <v>1.6605675877520538</v>
      </c>
      <c r="EE91" s="59">
        <v>2.9399999999999999E-2</v>
      </c>
      <c r="EF91" s="59">
        <v>4.1000000000000003E-3</v>
      </c>
      <c r="EG91" s="59">
        <v>0.224</v>
      </c>
      <c r="EH91" s="59">
        <v>0</v>
      </c>
      <c r="EI91" s="155">
        <v>0.13739999999999999</v>
      </c>
      <c r="EJ91" s="172">
        <v>5.6338000000000008</v>
      </c>
      <c r="EK91" s="173"/>
      <c r="EL91" s="59">
        <v>1.3117000000000001</v>
      </c>
      <c r="EM91" s="59">
        <v>0.31790000000000002</v>
      </c>
      <c r="EN91" s="59">
        <v>0.1782</v>
      </c>
      <c r="EO91" s="172">
        <v>7.3042000000000007</v>
      </c>
      <c r="ES91" s="57">
        <f t="shared" si="101"/>
        <v>5.6338000000000008</v>
      </c>
      <c r="ET91" s="57">
        <f t="shared" si="102"/>
        <v>7.3042000000000007</v>
      </c>
      <c r="EU91" s="31"/>
      <c r="EV91" s="61">
        <f t="shared" si="92"/>
        <v>1.7771486385743187</v>
      </c>
      <c r="EW91" s="61">
        <f t="shared" si="128"/>
        <v>1.6176172613017166</v>
      </c>
      <c r="EX91" s="185">
        <v>7.5098000000000003</v>
      </c>
      <c r="EY91" s="174">
        <v>9.5431000000000008</v>
      </c>
      <c r="EZ91" s="158">
        <f t="shared" si="93"/>
        <v>10.012099999999998</v>
      </c>
      <c r="FA91" s="158">
        <f t="shared" si="94"/>
        <v>11.815399999999999</v>
      </c>
      <c r="FB91" s="158">
        <f>BA91-EX91</f>
        <v>2.5022999999999982</v>
      </c>
      <c r="FC91" s="158">
        <f>BJ91-EY91</f>
        <v>2.2722999999999978</v>
      </c>
      <c r="FD91" s="175">
        <f t="shared" si="130"/>
        <v>0.33320461263948414</v>
      </c>
      <c r="FE91" s="175">
        <f t="shared" si="131"/>
        <v>0.19231680687915753</v>
      </c>
      <c r="FF91" s="158"/>
      <c r="FG91" s="174"/>
      <c r="FH91" s="174">
        <f t="shared" si="103"/>
        <v>76352.27459999999</v>
      </c>
      <c r="FI91" s="174"/>
      <c r="FJ91" s="176">
        <v>1.333</v>
      </c>
      <c r="FK91" s="176">
        <f t="shared" si="104"/>
        <v>1.3331947776251454</v>
      </c>
      <c r="FL91" s="87">
        <v>1.3065</v>
      </c>
      <c r="FM91" s="177">
        <f t="shared" si="105"/>
        <v>1.2381303186388952</v>
      </c>
      <c r="FO91" s="88">
        <f t="shared" si="95"/>
        <v>76352.27459999999</v>
      </c>
      <c r="FP91" s="79">
        <f t="shared" si="96"/>
        <v>80110.775079999992</v>
      </c>
      <c r="FS91" s="79">
        <f t="shared" si="97"/>
        <v>42963.358800000009</v>
      </c>
      <c r="FT91" s="79">
        <f t="shared" si="98"/>
        <v>49523.936840000002</v>
      </c>
      <c r="FU91" s="79">
        <f t="shared" si="106"/>
        <v>1.7771486385743187</v>
      </c>
      <c r="FV91" s="79">
        <f t="shared" si="106"/>
        <v>1.6176172613017166</v>
      </c>
      <c r="FY91" s="79">
        <f t="shared" si="107"/>
        <v>8468.2341800000013</v>
      </c>
      <c r="FZ91" s="79">
        <f t="shared" si="108"/>
        <v>80110.775079999992</v>
      </c>
      <c r="GB91" s="178">
        <f t="shared" si="109"/>
        <v>845.80000000000018</v>
      </c>
      <c r="GC91" s="178">
        <f t="shared" si="110"/>
        <v>6780.2</v>
      </c>
      <c r="GG91" s="14">
        <v>7.8838999999999988</v>
      </c>
      <c r="GH91" s="175">
        <f t="shared" si="111"/>
        <v>1.2699425411281218</v>
      </c>
      <c r="GI91" s="14">
        <v>9.9117999999999977</v>
      </c>
      <c r="GJ91" s="175">
        <f t="shared" si="112"/>
        <v>1.1920539155350189</v>
      </c>
      <c r="GK91" s="175">
        <f t="shared" si="129"/>
        <v>7.7888625593102834E-2</v>
      </c>
      <c r="GN91" s="14">
        <v>10.169700000000001</v>
      </c>
      <c r="GO91" s="175">
        <f t="shared" si="113"/>
        <v>1.2899326475475339</v>
      </c>
      <c r="GP91" s="179">
        <f t="shared" si="114"/>
        <v>0.98450298435548722</v>
      </c>
      <c r="GQ91" s="14">
        <v>11.802900000000003</v>
      </c>
      <c r="GR91" s="175">
        <f t="shared" si="115"/>
        <v>1.1907927924292263</v>
      </c>
      <c r="GS91" s="175">
        <f t="shared" si="116"/>
        <v>1.0010590617560087</v>
      </c>
      <c r="GV91" s="32">
        <f t="shared" si="117"/>
        <v>8468.2341800000013</v>
      </c>
      <c r="GW91" s="32">
        <f t="shared" si="118"/>
        <v>80110.775079999992</v>
      </c>
      <c r="GX91" s="180">
        <f t="shared" si="119"/>
        <v>88579.009259999992</v>
      </c>
      <c r="GZ91" s="32">
        <f t="shared" si="120"/>
        <v>10.0121</v>
      </c>
      <c r="HA91" s="32">
        <f t="shared" si="121"/>
        <v>11.815399999999999</v>
      </c>
      <c r="HB91" s="32">
        <f t="shared" si="122"/>
        <v>11.6153959166011</v>
      </c>
    </row>
    <row r="92" spans="1:210" ht="19.2" customHeight="1" x14ac:dyDescent="0.3">
      <c r="A92" s="50">
        <v>84</v>
      </c>
      <c r="B92" s="51" t="s">
        <v>627</v>
      </c>
      <c r="C92" s="150" t="s">
        <v>581</v>
      </c>
      <c r="D92" s="52">
        <v>9</v>
      </c>
      <c r="E92" s="52">
        <v>3</v>
      </c>
      <c r="F92" s="63">
        <v>118</v>
      </c>
      <c r="G92" s="54" t="s">
        <v>214</v>
      </c>
      <c r="H92" s="181" t="s">
        <v>193</v>
      </c>
      <c r="I92" s="55">
        <f t="shared" si="99"/>
        <v>845.60000000000036</v>
      </c>
      <c r="J92" s="55">
        <f t="shared" si="79"/>
        <v>6790.5</v>
      </c>
      <c r="K92" s="55">
        <f t="shared" si="80"/>
        <v>0</v>
      </c>
      <c r="L92" s="56">
        <v>7636.1</v>
      </c>
      <c r="M92" s="56">
        <v>7636.1</v>
      </c>
      <c r="N92" s="56">
        <f t="shared" si="100"/>
        <v>845.60000000000036</v>
      </c>
      <c r="O92" s="56">
        <v>0</v>
      </c>
      <c r="P92" s="56">
        <v>0</v>
      </c>
      <c r="Q92" s="55"/>
      <c r="R92" s="55">
        <v>7636.1</v>
      </c>
      <c r="S92" s="55"/>
      <c r="T92" s="55">
        <v>6790.5</v>
      </c>
      <c r="U92" s="152">
        <v>845.60000000000036</v>
      </c>
      <c r="V92" s="57">
        <v>0.10979999999999999</v>
      </c>
      <c r="W92" s="57">
        <v>5.5E-2</v>
      </c>
      <c r="X92" s="153">
        <v>0.30370000000000003</v>
      </c>
      <c r="Y92" s="153">
        <v>7.3200000000000001E-2</v>
      </c>
      <c r="Z92" s="57">
        <v>5.3400000000000003E-2</v>
      </c>
      <c r="AA92" s="57">
        <v>0.30159999999999998</v>
      </c>
      <c r="AB92" s="57">
        <v>0</v>
      </c>
      <c r="AC92" s="153">
        <v>0.63149999999999995</v>
      </c>
      <c r="AD92" s="57">
        <v>0.1212</v>
      </c>
      <c r="AE92" s="57">
        <v>0</v>
      </c>
      <c r="AF92" s="57">
        <v>2.3433000000000002</v>
      </c>
      <c r="AG92" s="57">
        <v>0.1449</v>
      </c>
      <c r="AH92" s="57">
        <v>0.1981</v>
      </c>
      <c r="AI92" s="57">
        <v>0.1125</v>
      </c>
      <c r="AJ92" s="57">
        <v>0.12509999999999999</v>
      </c>
      <c r="AK92" s="57">
        <v>0.1038</v>
      </c>
      <c r="AL92" s="57">
        <v>0.1459</v>
      </c>
      <c r="AM92" s="57">
        <v>2.93E-2</v>
      </c>
      <c r="AN92" s="57">
        <v>0</v>
      </c>
      <c r="AO92" s="57">
        <v>2.3611</v>
      </c>
      <c r="AP92" s="153">
        <v>1.4258</v>
      </c>
      <c r="AQ92" s="153">
        <v>8.09E-2</v>
      </c>
      <c r="AR92" s="57">
        <v>0.44479999999999997</v>
      </c>
      <c r="AS92" s="57">
        <v>3.8300000000000001E-2</v>
      </c>
      <c r="AT92" s="153">
        <v>6.1999999999999998E-3</v>
      </c>
      <c r="AU92" s="153">
        <v>0.32600000000000001</v>
      </c>
      <c r="AV92" s="153">
        <v>0</v>
      </c>
      <c r="AW92" s="154">
        <v>9.535400000000001</v>
      </c>
      <c r="AX92" s="58">
        <v>0.4768</v>
      </c>
      <c r="AY92" s="155">
        <f t="shared" si="81"/>
        <v>0.47270000000000001</v>
      </c>
      <c r="AZ92" s="155">
        <f t="shared" si="82"/>
        <v>4.0999999999999925E-3</v>
      </c>
      <c r="BA92" s="14">
        <v>10.012200000000002</v>
      </c>
      <c r="BB92" s="59">
        <f>BA92-'[1]Тариф 26 свод без  ПДВ'!AU92</f>
        <v>-3.3999999999974051E-3</v>
      </c>
      <c r="BC92" s="57">
        <v>1.5141</v>
      </c>
      <c r="BD92" s="57">
        <v>0</v>
      </c>
      <c r="BE92" s="57">
        <v>0.45729999999999998</v>
      </c>
      <c r="BF92" s="156">
        <v>11.506800000000002</v>
      </c>
      <c r="BG92" s="59">
        <v>0.57530000000000003</v>
      </c>
      <c r="BH92" s="59"/>
      <c r="BI92" s="59"/>
      <c r="BJ92" s="14">
        <v>12.082100000000002</v>
      </c>
      <c r="BK92" s="60"/>
      <c r="BL92" s="60">
        <v>4.9777000000000005</v>
      </c>
      <c r="BM92" s="60">
        <v>0.24890000000000001</v>
      </c>
      <c r="BN92" s="14">
        <v>5.2266000000000004</v>
      </c>
      <c r="BO92" s="14"/>
      <c r="BP92" s="157"/>
      <c r="BQ92" s="158">
        <f>BJ92-'[1]Тариф 26 свод без  ПДВ'!BG92</f>
        <v>-7.9999999999813554E-4</v>
      </c>
      <c r="BR92" s="77">
        <f>'[1]Тариф 26 свод без  ПДВ'!BG92</f>
        <v>12.0829</v>
      </c>
      <c r="BS92" s="159">
        <f t="shared" si="83"/>
        <v>-7.9999999999813554E-4</v>
      </c>
      <c r="BU92" s="77">
        <f>'[1]Тариф 26 свод без  ПДВ'!AU92</f>
        <v>10.015599999999999</v>
      </c>
      <c r="BV92" s="159">
        <f t="shared" si="84"/>
        <v>-3.3999999999974051E-3</v>
      </c>
      <c r="BX92" s="95">
        <v>4.2474000000000007</v>
      </c>
      <c r="BY92" s="95">
        <v>4.2474000000000007</v>
      </c>
      <c r="BZ92" s="95"/>
      <c r="CA92" s="182">
        <f t="shared" si="85"/>
        <v>2.3572538494137589</v>
      </c>
      <c r="CB92" s="182">
        <f t="shared" si="86"/>
        <v>2.8445872769223524</v>
      </c>
      <c r="CI92" s="160">
        <f>'[1]0 СВОД'!AYY107</f>
        <v>90509.762472675531</v>
      </c>
      <c r="CJ92" s="77">
        <f t="shared" si="87"/>
        <v>1086117.1496721064</v>
      </c>
      <c r="CM92" s="161">
        <v>90</v>
      </c>
      <c r="CN92" s="162" t="s">
        <v>628</v>
      </c>
      <c r="CO92" s="163">
        <v>9</v>
      </c>
      <c r="CP92" s="163">
        <v>3</v>
      </c>
      <c r="CQ92" s="164" t="s">
        <v>214</v>
      </c>
      <c r="CR92" s="165" t="s">
        <v>193</v>
      </c>
      <c r="CS92" s="166">
        <v>845.60999999999967</v>
      </c>
      <c r="CT92" s="166">
        <v>6782.89</v>
      </c>
      <c r="CU92" s="167">
        <v>0</v>
      </c>
      <c r="CV92" s="168">
        <v>7628.5</v>
      </c>
      <c r="CW92" s="166">
        <v>7628.5</v>
      </c>
      <c r="CX92" s="167">
        <v>0</v>
      </c>
      <c r="CY92" s="166">
        <v>0</v>
      </c>
      <c r="CZ92" s="166"/>
      <c r="DA92" s="166">
        <v>7628.5</v>
      </c>
      <c r="DB92" s="166"/>
      <c r="DC92" s="166">
        <v>6782.89</v>
      </c>
      <c r="DD92" s="59">
        <v>0.1079</v>
      </c>
      <c r="DE92" s="59">
        <v>8.9399999999999993E-2</v>
      </c>
      <c r="DF92" s="59">
        <v>0.19989999999999999</v>
      </c>
      <c r="DG92" s="59">
        <v>4.3200000000000002E-2</v>
      </c>
      <c r="DH92" s="59">
        <v>2.01E-2</v>
      </c>
      <c r="DI92" s="59">
        <v>0.13159999999999999</v>
      </c>
      <c r="DJ92" s="59">
        <v>4.8099999999999997E-2</v>
      </c>
      <c r="DK92" s="59">
        <v>0.3458</v>
      </c>
      <c r="DL92" s="59">
        <v>2.1299999999999999E-2</v>
      </c>
      <c r="DM92" s="59">
        <v>7.3800000000000004E-2</v>
      </c>
      <c r="DN92" s="169">
        <v>0</v>
      </c>
      <c r="DO92" s="170">
        <v>1.411</v>
      </c>
      <c r="DP92" s="171">
        <f t="shared" si="88"/>
        <v>2.3433000000000002</v>
      </c>
      <c r="DQ92" s="59">
        <v>6.9900000000000004E-2</v>
      </c>
      <c r="DR92" s="59">
        <v>0.11890000000000001</v>
      </c>
      <c r="DS92" s="59">
        <v>2.9600000000000001E-2</v>
      </c>
      <c r="DT92" s="59">
        <v>5.9200000000000003E-2</v>
      </c>
      <c r="DU92" s="59">
        <v>4.3799999999999999E-2</v>
      </c>
      <c r="DV92" s="59">
        <v>5.0599999999999999E-2</v>
      </c>
      <c r="DW92" s="59">
        <v>7.1999999999999998E-3</v>
      </c>
      <c r="DX92" s="169">
        <v>0</v>
      </c>
      <c r="DY92" s="59">
        <v>1.2302</v>
      </c>
      <c r="DZ92" s="171">
        <f t="shared" si="89"/>
        <v>1.9192814176556658</v>
      </c>
      <c r="EA92" s="59">
        <v>0.85119999999999996</v>
      </c>
      <c r="EB92" s="171">
        <f t="shared" si="90"/>
        <v>1.7700892857142858</v>
      </c>
      <c r="EC92" s="59">
        <v>0.26469999999999999</v>
      </c>
      <c r="ED92" s="171">
        <f t="shared" si="91"/>
        <v>1.6803928976199471</v>
      </c>
      <c r="EE92" s="59">
        <v>2.93E-2</v>
      </c>
      <c r="EF92" s="59">
        <v>4.1000000000000003E-3</v>
      </c>
      <c r="EG92" s="59">
        <v>0.24679999999999999</v>
      </c>
      <c r="EH92" s="59">
        <v>0</v>
      </c>
      <c r="EI92" s="155">
        <v>0.13739999999999999</v>
      </c>
      <c r="EJ92" s="172">
        <v>5.6350000000000016</v>
      </c>
      <c r="EK92" s="173"/>
      <c r="EL92" s="59">
        <v>1.1705000000000001</v>
      </c>
      <c r="EM92" s="59">
        <v>0.33879999999999999</v>
      </c>
      <c r="EN92" s="59">
        <v>0.17519999999999999</v>
      </c>
      <c r="EO92" s="172">
        <v>7.182100000000001</v>
      </c>
      <c r="ES92" s="57">
        <f t="shared" si="101"/>
        <v>5.6350000000000016</v>
      </c>
      <c r="ET92" s="57">
        <f t="shared" si="102"/>
        <v>7.182100000000001</v>
      </c>
      <c r="EU92" s="31"/>
      <c r="EV92" s="61">
        <f t="shared" si="92"/>
        <v>1.7767879325643299</v>
      </c>
      <c r="EW92" s="61">
        <f t="shared" si="128"/>
        <v>1.682251709110149</v>
      </c>
      <c r="EX92" s="185">
        <v>7.4741</v>
      </c>
      <c r="EY92" s="174">
        <v>9.7678999999999991</v>
      </c>
      <c r="EZ92" s="158">
        <f t="shared" si="93"/>
        <v>10.012200000000002</v>
      </c>
      <c r="FA92" s="158">
        <f t="shared" si="94"/>
        <v>12.082100000000002</v>
      </c>
      <c r="FB92" s="158">
        <f>BA92-EX92</f>
        <v>2.5381000000000018</v>
      </c>
      <c r="FC92" s="158">
        <f>BJ92-EY92</f>
        <v>2.3142000000000031</v>
      </c>
      <c r="FD92" s="175">
        <f t="shared" si="130"/>
        <v>0.33958603711483681</v>
      </c>
      <c r="FE92" s="175">
        <f t="shared" si="131"/>
        <v>0.19153955024374925</v>
      </c>
      <c r="FF92" s="158"/>
      <c r="FG92" s="174"/>
      <c r="FH92" s="174">
        <f t="shared" si="103"/>
        <v>76454.160420000015</v>
      </c>
      <c r="FI92" s="174"/>
      <c r="FJ92" s="176">
        <v>1.3264</v>
      </c>
      <c r="FK92" s="176">
        <f t="shared" si="104"/>
        <v>1.3395566439719013</v>
      </c>
      <c r="FL92" s="87">
        <v>1.3740000000000001</v>
      </c>
      <c r="FM92" s="177">
        <f t="shared" si="105"/>
        <v>1.224346222059788</v>
      </c>
      <c r="FO92" s="88">
        <f t="shared" si="95"/>
        <v>76454.160420000015</v>
      </c>
      <c r="FP92" s="79">
        <f t="shared" si="96"/>
        <v>82043.500050000017</v>
      </c>
      <c r="FS92" s="79">
        <f t="shared" si="97"/>
        <v>43029.423500000012</v>
      </c>
      <c r="FT92" s="79">
        <f t="shared" si="98"/>
        <v>48770.050050000005</v>
      </c>
      <c r="FU92" s="79">
        <f t="shared" si="106"/>
        <v>1.7767879325643299</v>
      </c>
      <c r="FV92" s="79">
        <f t="shared" si="106"/>
        <v>1.682251709110149</v>
      </c>
      <c r="FY92" s="79">
        <f t="shared" si="107"/>
        <v>8466.3163200000054</v>
      </c>
      <c r="FZ92" s="79">
        <f t="shared" si="108"/>
        <v>82043.500050000017</v>
      </c>
      <c r="GB92" s="178">
        <f t="shared" si="109"/>
        <v>845.60000000000036</v>
      </c>
      <c r="GC92" s="178">
        <f t="shared" si="110"/>
        <v>6790.5</v>
      </c>
      <c r="GG92" s="14">
        <v>7.8841000000000001</v>
      </c>
      <c r="GH92" s="175">
        <f t="shared" si="111"/>
        <v>1.2699230096016034</v>
      </c>
      <c r="GI92" s="14">
        <v>10.338000000000001</v>
      </c>
      <c r="GJ92" s="175">
        <f t="shared" si="112"/>
        <v>1.168707680402399</v>
      </c>
      <c r="GK92" s="175">
        <f t="shared" si="129"/>
        <v>0.1012153291992044</v>
      </c>
      <c r="GN92" s="14">
        <v>10.193</v>
      </c>
      <c r="GO92" s="175">
        <f t="shared" si="113"/>
        <v>1.2928552402937556</v>
      </c>
      <c r="GP92" s="179">
        <f t="shared" si="114"/>
        <v>0.98226233689787135</v>
      </c>
      <c r="GQ92" s="14">
        <v>12.147999999999998</v>
      </c>
      <c r="GR92" s="175">
        <f t="shared" si="115"/>
        <v>1.1750822209324818</v>
      </c>
      <c r="GS92" s="175">
        <f t="shared" si="116"/>
        <v>0.99457523872242382</v>
      </c>
      <c r="GV92" s="32">
        <f t="shared" si="117"/>
        <v>8466.3163200000054</v>
      </c>
      <c r="GW92" s="32">
        <f t="shared" si="118"/>
        <v>82043.500050000017</v>
      </c>
      <c r="GX92" s="180">
        <f t="shared" si="119"/>
        <v>90509.816370000015</v>
      </c>
      <c r="GZ92" s="32">
        <f t="shared" si="120"/>
        <v>10.012200000000002</v>
      </c>
      <c r="HA92" s="32">
        <f t="shared" si="121"/>
        <v>12.082100000000002</v>
      </c>
      <c r="HB92" s="32">
        <f t="shared" si="122"/>
        <v>11.852885159963858</v>
      </c>
    </row>
    <row r="93" spans="1:210" ht="19.2" customHeight="1" x14ac:dyDescent="0.3">
      <c r="A93" s="50">
        <v>85</v>
      </c>
      <c r="B93" s="51" t="s">
        <v>629</v>
      </c>
      <c r="C93" s="150" t="s">
        <v>581</v>
      </c>
      <c r="D93" s="52">
        <v>9</v>
      </c>
      <c r="E93" s="52">
        <v>3</v>
      </c>
      <c r="F93" s="63">
        <v>119</v>
      </c>
      <c r="G93" s="54" t="s">
        <v>215</v>
      </c>
      <c r="H93" s="181" t="s">
        <v>193</v>
      </c>
      <c r="I93" s="55">
        <f t="shared" si="99"/>
        <v>844.39999999999964</v>
      </c>
      <c r="J93" s="55">
        <f t="shared" si="79"/>
        <v>6770.3</v>
      </c>
      <c r="K93" s="55">
        <f t="shared" si="80"/>
        <v>0</v>
      </c>
      <c r="L93" s="56">
        <v>7614.7</v>
      </c>
      <c r="M93" s="56">
        <v>7614.7</v>
      </c>
      <c r="N93" s="56">
        <f t="shared" si="100"/>
        <v>844.39999999999964</v>
      </c>
      <c r="O93" s="56">
        <v>0</v>
      </c>
      <c r="P93" s="56">
        <v>0</v>
      </c>
      <c r="Q93" s="55"/>
      <c r="R93" s="55">
        <v>7614.7</v>
      </c>
      <c r="S93" s="55"/>
      <c r="T93" s="55">
        <v>6770.3</v>
      </c>
      <c r="U93" s="152">
        <v>844.39999999999964</v>
      </c>
      <c r="V93" s="57">
        <v>0.1101</v>
      </c>
      <c r="W93" s="57">
        <v>5.5199999999999999E-2</v>
      </c>
      <c r="X93" s="153">
        <v>0.27889999999999998</v>
      </c>
      <c r="Y93" s="153">
        <v>7.4099999999999999E-2</v>
      </c>
      <c r="Z93" s="57">
        <v>5.3499999999999999E-2</v>
      </c>
      <c r="AA93" s="57">
        <v>0.3024</v>
      </c>
      <c r="AB93" s="57">
        <v>0</v>
      </c>
      <c r="AC93" s="153">
        <v>0.63149999999999995</v>
      </c>
      <c r="AD93" s="57">
        <v>0.1215</v>
      </c>
      <c r="AE93" s="57">
        <v>0</v>
      </c>
      <c r="AF93" s="57">
        <v>2.5270000000000001</v>
      </c>
      <c r="AG93" s="57">
        <v>0.1454</v>
      </c>
      <c r="AH93" s="57">
        <v>0.1986</v>
      </c>
      <c r="AI93" s="57">
        <v>0.1313</v>
      </c>
      <c r="AJ93" s="57">
        <v>0.11269999999999999</v>
      </c>
      <c r="AK93" s="57">
        <v>0.1041</v>
      </c>
      <c r="AL93" s="57">
        <v>0.14630000000000001</v>
      </c>
      <c r="AM93" s="57">
        <v>2.93E-2</v>
      </c>
      <c r="AN93" s="57">
        <v>0</v>
      </c>
      <c r="AO93" s="57">
        <v>2.0749</v>
      </c>
      <c r="AP93" s="153">
        <v>1.4522999999999999</v>
      </c>
      <c r="AQ93" s="153">
        <v>8.1100000000000005E-2</v>
      </c>
      <c r="AR93" s="57">
        <v>0.45979999999999999</v>
      </c>
      <c r="AS93" s="57">
        <v>3.8399999999999997E-2</v>
      </c>
      <c r="AT93" s="153">
        <v>6.1999999999999998E-3</v>
      </c>
      <c r="AU93" s="153">
        <v>0.33989999999999998</v>
      </c>
      <c r="AV93" s="153">
        <v>0</v>
      </c>
      <c r="AW93" s="154">
        <v>9.474499999999999</v>
      </c>
      <c r="AX93" s="58">
        <v>0.47370000000000001</v>
      </c>
      <c r="AY93" s="155">
        <f t="shared" si="81"/>
        <v>0.46970000000000001</v>
      </c>
      <c r="AZ93" s="155">
        <f t="shared" si="82"/>
        <v>4.0000000000000036E-3</v>
      </c>
      <c r="BA93" s="14">
        <v>9.9481999999999999</v>
      </c>
      <c r="BB93" s="59">
        <f>BA93-'[1]Тариф 26 свод без  ПДВ'!AU93</f>
        <v>6.0000000000002274E-3</v>
      </c>
      <c r="BC93" s="57">
        <v>1.5185999999999999</v>
      </c>
      <c r="BD93" s="57">
        <v>0</v>
      </c>
      <c r="BE93" s="57">
        <v>0.49309999999999998</v>
      </c>
      <c r="BF93" s="156">
        <v>11.486199999999998</v>
      </c>
      <c r="BG93" s="59">
        <v>0.57430000000000003</v>
      </c>
      <c r="BH93" s="59"/>
      <c r="BI93" s="59"/>
      <c r="BJ93" s="14">
        <v>12.060499999999998</v>
      </c>
      <c r="BK93" s="60"/>
      <c r="BL93" s="60">
        <v>5.1475999999999988</v>
      </c>
      <c r="BM93" s="60">
        <v>0.25740000000000002</v>
      </c>
      <c r="BN93" s="14">
        <v>5.4049999999999985</v>
      </c>
      <c r="BO93" s="14"/>
      <c r="BP93" s="157"/>
      <c r="BQ93" s="158">
        <f>BJ93-'[1]Тариф 26 свод без  ПДВ'!BG93</f>
        <v>-1.4000000000020663E-3</v>
      </c>
      <c r="BR93" s="77">
        <f>'[1]Тариф 26 свод без  ПДВ'!BG93</f>
        <v>12.0619</v>
      </c>
      <c r="BS93" s="159">
        <f t="shared" si="83"/>
        <v>-1.4000000000020663E-3</v>
      </c>
      <c r="BU93" s="77">
        <f>'[1]Тариф 26 свод без  ПДВ'!AU93</f>
        <v>9.9421999999999997</v>
      </c>
      <c r="BV93" s="159">
        <f t="shared" si="84"/>
        <v>6.0000000000002274E-3</v>
      </c>
      <c r="BX93" s="95">
        <v>4.6997</v>
      </c>
      <c r="BY93" s="95">
        <v>6.1163999999999996</v>
      </c>
      <c r="BZ93" s="95"/>
      <c r="CA93" s="207">
        <f t="shared" si="85"/>
        <v>2.1167734110687917</v>
      </c>
      <c r="CB93" s="207">
        <f t="shared" si="86"/>
        <v>1.971829834543195</v>
      </c>
      <c r="CD93" s="160">
        <f t="shared" ref="CD93:CD100" si="132">L93-CE93</f>
        <v>844.39999999999964</v>
      </c>
      <c r="CE93" s="160">
        <f t="shared" ref="CE93:CE100" si="133">T93</f>
        <v>6770.3</v>
      </c>
      <c r="CF93" s="77">
        <f t="shared" ref="CF93:CF100" si="134">CD93*BA93</f>
        <v>8400.2600799999964</v>
      </c>
      <c r="CG93" s="77">
        <f t="shared" ref="CG93:CG100" si="135">BJ93*CE93</f>
        <v>81653.203149999987</v>
      </c>
      <c r="CI93" s="160">
        <f>'[1]0 СВОД'!AYY108</f>
        <v>90052.164596194649</v>
      </c>
      <c r="CJ93" s="77">
        <f t="shared" si="87"/>
        <v>1080625.9751543358</v>
      </c>
      <c r="CM93" s="161">
        <v>91</v>
      </c>
      <c r="CN93" s="183" t="s">
        <v>630</v>
      </c>
      <c r="CO93" s="163">
        <v>9</v>
      </c>
      <c r="CP93" s="163">
        <v>3</v>
      </c>
      <c r="CQ93" s="164" t="s">
        <v>215</v>
      </c>
      <c r="CR93" s="165" t="s">
        <v>193</v>
      </c>
      <c r="CS93" s="166">
        <v>844.38000000000011</v>
      </c>
      <c r="CT93" s="166">
        <v>6765.0199999999995</v>
      </c>
      <c r="CU93" s="167">
        <v>0</v>
      </c>
      <c r="CV93" s="168">
        <v>7609.4</v>
      </c>
      <c r="CW93" s="166">
        <v>7609.4</v>
      </c>
      <c r="CX93" s="167">
        <v>0</v>
      </c>
      <c r="CY93" s="166">
        <v>0</v>
      </c>
      <c r="CZ93" s="166"/>
      <c r="DA93" s="166">
        <v>7609.4</v>
      </c>
      <c r="DB93" s="166"/>
      <c r="DC93" s="166">
        <v>6765.0199999999995</v>
      </c>
      <c r="DD93" s="59">
        <v>0.1082</v>
      </c>
      <c r="DE93" s="59">
        <v>8.9700000000000002E-2</v>
      </c>
      <c r="DF93" s="59">
        <v>0.18360000000000001</v>
      </c>
      <c r="DG93" s="59">
        <v>4.3700000000000003E-2</v>
      </c>
      <c r="DH93" s="59">
        <v>2.01E-2</v>
      </c>
      <c r="DI93" s="59">
        <v>0.13189999999999999</v>
      </c>
      <c r="DJ93" s="59">
        <v>4.8099999999999997E-2</v>
      </c>
      <c r="DK93" s="59">
        <v>0.3458</v>
      </c>
      <c r="DL93" s="59">
        <v>2.1299999999999999E-2</v>
      </c>
      <c r="DM93" s="59">
        <v>7.3999999999999996E-2</v>
      </c>
      <c r="DN93" s="169">
        <v>0</v>
      </c>
      <c r="DO93" s="184">
        <v>1.5590999999999999</v>
      </c>
      <c r="DP93" s="171">
        <f t="shared" si="88"/>
        <v>2.5270000000000001</v>
      </c>
      <c r="DQ93" s="59">
        <v>7.0000000000000007E-2</v>
      </c>
      <c r="DR93" s="59">
        <v>0.1192</v>
      </c>
      <c r="DS93" s="59">
        <v>3.4099999999999998E-2</v>
      </c>
      <c r="DT93" s="59">
        <v>5.3100000000000001E-2</v>
      </c>
      <c r="DU93" s="59">
        <v>4.3900000000000002E-2</v>
      </c>
      <c r="DV93" s="59">
        <v>5.0700000000000002E-2</v>
      </c>
      <c r="DW93" s="59">
        <v>7.1999999999999998E-3</v>
      </c>
      <c r="DX93" s="169">
        <v>0</v>
      </c>
      <c r="DY93" s="59">
        <v>1.0844</v>
      </c>
      <c r="DZ93" s="171">
        <f t="shared" si="89"/>
        <v>1.9134083364072296</v>
      </c>
      <c r="EA93" s="59">
        <v>0.86560000000000004</v>
      </c>
      <c r="EB93" s="171">
        <f t="shared" si="90"/>
        <v>1.7714879852125691</v>
      </c>
      <c r="EC93" s="59">
        <v>0.25619999999999998</v>
      </c>
      <c r="ED93" s="171">
        <f t="shared" si="91"/>
        <v>1.7946916471506635</v>
      </c>
      <c r="EE93" s="59">
        <v>2.9399999999999999E-2</v>
      </c>
      <c r="EF93" s="59">
        <v>4.1000000000000003E-3</v>
      </c>
      <c r="EG93" s="59">
        <v>0.214</v>
      </c>
      <c r="EH93" s="59">
        <v>0</v>
      </c>
      <c r="EI93" s="155">
        <v>0.13639999999999999</v>
      </c>
      <c r="EJ93" s="172">
        <v>5.5937999999999999</v>
      </c>
      <c r="EK93" s="173"/>
      <c r="EL93" s="59">
        <v>1.1736</v>
      </c>
      <c r="EM93" s="59">
        <v>0.29189999999999999</v>
      </c>
      <c r="EN93" s="59">
        <v>0.1731</v>
      </c>
      <c r="EO93" s="172">
        <v>7.0960000000000001</v>
      </c>
      <c r="ES93" s="57">
        <f t="shared" si="101"/>
        <v>5.5937999999999999</v>
      </c>
      <c r="ET93" s="57">
        <f t="shared" si="102"/>
        <v>7.0960000000000001</v>
      </c>
      <c r="EU93" s="31"/>
      <c r="EV93" s="61">
        <f t="shared" si="92"/>
        <v>1.7784332654009798</v>
      </c>
      <c r="EW93" s="61">
        <f t="shared" si="128"/>
        <v>1.6996195039458846</v>
      </c>
      <c r="EX93" s="185">
        <v>7.3075000000000001</v>
      </c>
      <c r="EY93" s="174">
        <v>9.6280000000000001</v>
      </c>
      <c r="EZ93" s="158">
        <f t="shared" si="93"/>
        <v>9.9481999999999999</v>
      </c>
      <c r="FA93" s="158">
        <f t="shared" si="94"/>
        <v>12.060499999999998</v>
      </c>
      <c r="FB93" s="158">
        <f>BA93-EX93</f>
        <v>2.6406999999999998</v>
      </c>
      <c r="FC93" s="158">
        <f>BJ93-EY93</f>
        <v>2.4324999999999974</v>
      </c>
      <c r="FD93" s="175">
        <f t="shared" si="130"/>
        <v>0.36136845706465959</v>
      </c>
      <c r="FE93" s="175">
        <f t="shared" si="131"/>
        <v>0.20169147216118719</v>
      </c>
      <c r="FF93" s="158"/>
      <c r="FG93" s="174"/>
      <c r="FH93" s="174">
        <f t="shared" si="103"/>
        <v>75752.558539999998</v>
      </c>
      <c r="FI93" s="174"/>
      <c r="FJ93" s="176">
        <v>1.3064</v>
      </c>
      <c r="FK93" s="176">
        <f t="shared" si="104"/>
        <v>1.3613236875390231</v>
      </c>
      <c r="FL93" s="87">
        <v>1.3568</v>
      </c>
      <c r="FM93" s="177">
        <f t="shared" si="105"/>
        <v>1.2526676768469078</v>
      </c>
      <c r="FO93" s="88">
        <f t="shared" si="95"/>
        <v>75752.558539999998</v>
      </c>
      <c r="FP93" s="79">
        <f t="shared" si="96"/>
        <v>81653.203149999987</v>
      </c>
      <c r="FS93" s="79">
        <f t="shared" si="97"/>
        <v>42595.10886</v>
      </c>
      <c r="FT93" s="79">
        <f t="shared" si="98"/>
        <v>48042.048800000004</v>
      </c>
      <c r="FU93" s="79">
        <f t="shared" si="106"/>
        <v>1.7784332654009796</v>
      </c>
      <c r="FV93" s="79">
        <f t="shared" si="106"/>
        <v>1.6996195039458846</v>
      </c>
      <c r="FY93" s="79">
        <f t="shared" si="107"/>
        <v>8400.2600799999964</v>
      </c>
      <c r="FZ93" s="79">
        <f t="shared" si="108"/>
        <v>81653.203149999987</v>
      </c>
      <c r="GB93" s="178">
        <f t="shared" si="109"/>
        <v>844.39999999999964</v>
      </c>
      <c r="GC93" s="178">
        <f t="shared" si="110"/>
        <v>6770.3</v>
      </c>
      <c r="GG93" s="14">
        <v>7.8335999999999997</v>
      </c>
      <c r="GH93" s="175">
        <f t="shared" si="111"/>
        <v>1.2699397467320261</v>
      </c>
      <c r="GI93" s="14">
        <v>10.190100000000001</v>
      </c>
      <c r="GJ93" s="175">
        <f t="shared" si="112"/>
        <v>1.1835507011707438</v>
      </c>
      <c r="GK93" s="175">
        <f t="shared" si="129"/>
        <v>8.6389045561282352E-2</v>
      </c>
      <c r="GN93" s="14">
        <v>10.186499999999999</v>
      </c>
      <c r="GO93" s="175">
        <f t="shared" si="113"/>
        <v>1.300359987745098</v>
      </c>
      <c r="GP93" s="179">
        <f t="shared" si="114"/>
        <v>0.97660629264222265</v>
      </c>
      <c r="GQ93" s="14">
        <v>12.0661</v>
      </c>
      <c r="GR93" s="175">
        <f t="shared" si="115"/>
        <v>1.1841002541682613</v>
      </c>
      <c r="GS93" s="175">
        <f t="shared" si="116"/>
        <v>0.9995358898069796</v>
      </c>
      <c r="GV93" s="32">
        <f t="shared" si="117"/>
        <v>8400.2600799999964</v>
      </c>
      <c r="GW93" s="32">
        <f t="shared" si="118"/>
        <v>81653.203149999987</v>
      </c>
      <c r="GX93" s="180">
        <f t="shared" si="119"/>
        <v>90053.463229999979</v>
      </c>
      <c r="GZ93" s="32">
        <f t="shared" si="120"/>
        <v>9.9481999999999999</v>
      </c>
      <c r="HA93" s="32">
        <f t="shared" si="121"/>
        <v>12.060499999999998</v>
      </c>
      <c r="HB93" s="32">
        <f t="shared" si="122"/>
        <v>11.826265411638014</v>
      </c>
    </row>
    <row r="94" spans="1:210" ht="19.2" customHeight="1" x14ac:dyDescent="0.3">
      <c r="A94" s="50">
        <v>86</v>
      </c>
      <c r="B94" s="51" t="s">
        <v>631</v>
      </c>
      <c r="C94" s="150" t="s">
        <v>581</v>
      </c>
      <c r="D94" s="52">
        <v>10</v>
      </c>
      <c r="E94" s="52">
        <v>1</v>
      </c>
      <c r="F94" s="63">
        <v>41</v>
      </c>
      <c r="G94" s="54" t="s">
        <v>242</v>
      </c>
      <c r="H94" s="181" t="s">
        <v>241</v>
      </c>
      <c r="I94" s="55">
        <f t="shared" si="99"/>
        <v>232.29999999999973</v>
      </c>
      <c r="J94" s="55">
        <f t="shared" si="79"/>
        <v>2108.4</v>
      </c>
      <c r="K94" s="55">
        <f t="shared" si="80"/>
        <v>0</v>
      </c>
      <c r="L94" s="56">
        <v>2340.6999999999998</v>
      </c>
      <c r="M94" s="56">
        <v>2340.6999999999998</v>
      </c>
      <c r="N94" s="56">
        <f t="shared" si="100"/>
        <v>232.29999999999973</v>
      </c>
      <c r="O94" s="56">
        <v>0</v>
      </c>
      <c r="P94" s="56">
        <v>0</v>
      </c>
      <c r="Q94" s="55"/>
      <c r="R94" s="55">
        <v>2340.6999999999998</v>
      </c>
      <c r="S94" s="55"/>
      <c r="T94" s="55">
        <v>2108.4</v>
      </c>
      <c r="U94" s="152">
        <v>232.29999999999973</v>
      </c>
      <c r="V94" s="57">
        <v>0.1431</v>
      </c>
      <c r="W94" s="57">
        <v>8.7999999999999995E-2</v>
      </c>
      <c r="X94" s="153">
        <v>0.30980000000000002</v>
      </c>
      <c r="Y94" s="153">
        <v>6.7199999999999996E-2</v>
      </c>
      <c r="Z94" s="57">
        <v>1.7500000000000002E-2</v>
      </c>
      <c r="AA94" s="57">
        <v>0.27410000000000001</v>
      </c>
      <c r="AB94" s="57">
        <v>0</v>
      </c>
      <c r="AC94" s="153">
        <v>0.63149999999999995</v>
      </c>
      <c r="AD94" s="57">
        <v>0.1351</v>
      </c>
      <c r="AE94" s="57">
        <v>0</v>
      </c>
      <c r="AF94" s="57">
        <v>1.6278999999999999</v>
      </c>
      <c r="AG94" s="57">
        <v>0.18970000000000001</v>
      </c>
      <c r="AH94" s="57">
        <v>0.3155</v>
      </c>
      <c r="AI94" s="57">
        <v>0.10730000000000001</v>
      </c>
      <c r="AJ94" s="57">
        <v>8.48E-2</v>
      </c>
      <c r="AK94" s="57">
        <v>3.4000000000000002E-2</v>
      </c>
      <c r="AL94" s="57">
        <v>7.0999999999999994E-2</v>
      </c>
      <c r="AM94" s="57">
        <v>2.93E-2</v>
      </c>
      <c r="AN94" s="57">
        <v>0</v>
      </c>
      <c r="AO94" s="57">
        <v>2.9415</v>
      </c>
      <c r="AP94" s="153">
        <v>1.4276</v>
      </c>
      <c r="AQ94" s="153">
        <v>7.8799999999999995E-2</v>
      </c>
      <c r="AR94" s="57">
        <v>0.53080000000000005</v>
      </c>
      <c r="AS94" s="57">
        <v>3.7600000000000001E-2</v>
      </c>
      <c r="AT94" s="153">
        <v>6.1000000000000004E-3</v>
      </c>
      <c r="AU94" s="153">
        <v>0.34489999999999998</v>
      </c>
      <c r="AV94" s="153">
        <v>0</v>
      </c>
      <c r="AW94" s="154">
        <v>9.4930999999999983</v>
      </c>
      <c r="AX94" s="58">
        <v>0.47470000000000001</v>
      </c>
      <c r="AY94" s="155">
        <f t="shared" si="81"/>
        <v>0.47070000000000001</v>
      </c>
      <c r="AZ94" s="155">
        <f t="shared" si="82"/>
        <v>4.0000000000000036E-3</v>
      </c>
      <c r="BA94" s="14">
        <v>9.9677999999999987</v>
      </c>
      <c r="BB94" s="59">
        <f>BA94-'[1]Тариф 26 свод без  ПДВ'!AU94</f>
        <v>-5.9000000000004604E-3</v>
      </c>
      <c r="BC94" s="57">
        <v>0.79449999999999998</v>
      </c>
      <c r="BD94" s="57">
        <v>0</v>
      </c>
      <c r="BE94" s="57">
        <v>0.36820000000000003</v>
      </c>
      <c r="BF94" s="156">
        <v>10.655799999999997</v>
      </c>
      <c r="BG94" s="59">
        <v>0.53280000000000005</v>
      </c>
      <c r="BH94" s="59"/>
      <c r="BI94" s="59"/>
      <c r="BJ94" s="14">
        <v>11.188599999999997</v>
      </c>
      <c r="BK94" s="60"/>
      <c r="BL94" s="60">
        <v>4.2483000000000004</v>
      </c>
      <c r="BM94" s="60">
        <v>0.21240000000000001</v>
      </c>
      <c r="BN94" s="14">
        <v>4.4607000000000001</v>
      </c>
      <c r="BO94" s="14"/>
      <c r="BP94" s="157"/>
      <c r="BQ94" s="158">
        <f>BJ94-'[1]Тариф 26 свод без  ПДВ'!BG94</f>
        <v>4.09999999999755E-3</v>
      </c>
      <c r="BR94" s="77">
        <f>'[1]Тариф 26 свод без  ПДВ'!BG94</f>
        <v>11.1845</v>
      </c>
      <c r="BS94" s="159">
        <f t="shared" si="83"/>
        <v>4.09999999999755E-3</v>
      </c>
      <c r="BU94" s="77">
        <f>'[1]Тариф 26 свод без  ПДВ'!AU94</f>
        <v>9.9736999999999991</v>
      </c>
      <c r="BV94" s="159">
        <f t="shared" si="84"/>
        <v>-5.9000000000004604E-3</v>
      </c>
      <c r="BX94" s="95">
        <v>4.7514000000000003</v>
      </c>
      <c r="BY94" s="95">
        <v>5.7394999999999996</v>
      </c>
      <c r="BZ94" s="95"/>
      <c r="CA94" s="207">
        <f t="shared" si="85"/>
        <v>2.0978658921581004</v>
      </c>
      <c r="CB94" s="207">
        <f t="shared" si="86"/>
        <v>1.9494032581235297</v>
      </c>
      <c r="CD94" s="160">
        <f t="shared" si="132"/>
        <v>232.29999999999973</v>
      </c>
      <c r="CE94" s="160">
        <f t="shared" si="133"/>
        <v>2108.4</v>
      </c>
      <c r="CF94" s="77">
        <f t="shared" si="134"/>
        <v>2315.519939999997</v>
      </c>
      <c r="CG94" s="77">
        <f t="shared" si="135"/>
        <v>23590.044239999996</v>
      </c>
      <c r="CI94" s="160">
        <f>'[1]0 СВОД'!AYY109</f>
        <v>25906.81477782247</v>
      </c>
      <c r="CJ94" s="77">
        <f t="shared" si="87"/>
        <v>310881.77733386966</v>
      </c>
      <c r="CM94" s="161">
        <v>92</v>
      </c>
      <c r="CN94" s="183" t="s">
        <v>632</v>
      </c>
      <c r="CO94" s="163">
        <v>10</v>
      </c>
      <c r="CP94" s="163">
        <v>1</v>
      </c>
      <c r="CQ94" s="164" t="s">
        <v>242</v>
      </c>
      <c r="CR94" s="165" t="s">
        <v>241</v>
      </c>
      <c r="CS94" s="166">
        <v>232.59000000000015</v>
      </c>
      <c r="CT94" s="166">
        <v>2108.1099999999997</v>
      </c>
      <c r="CU94" s="167">
        <v>0</v>
      </c>
      <c r="CV94" s="168">
        <v>2340.6999999999998</v>
      </c>
      <c r="CW94" s="166">
        <v>2340.6999999999998</v>
      </c>
      <c r="CX94" s="167">
        <v>0</v>
      </c>
      <c r="CY94" s="166">
        <v>0</v>
      </c>
      <c r="CZ94" s="166"/>
      <c r="DA94" s="166">
        <v>2340.6999999999998</v>
      </c>
      <c r="DB94" s="166"/>
      <c r="DC94" s="166">
        <v>2108.1099999999997</v>
      </c>
      <c r="DD94" s="59">
        <v>0.14019999999999999</v>
      </c>
      <c r="DE94" s="59">
        <v>0.14299999999999999</v>
      </c>
      <c r="DF94" s="59">
        <v>0.2036</v>
      </c>
      <c r="DG94" s="59">
        <v>3.9600000000000003E-2</v>
      </c>
      <c r="DH94" s="59">
        <v>6.6E-3</v>
      </c>
      <c r="DI94" s="59">
        <v>0.1158</v>
      </c>
      <c r="DJ94" s="59">
        <v>4.8099999999999997E-2</v>
      </c>
      <c r="DK94" s="59">
        <v>0.3458</v>
      </c>
      <c r="DL94" s="169">
        <v>0</v>
      </c>
      <c r="DM94" s="59">
        <v>8.2199999999999995E-2</v>
      </c>
      <c r="DN94" s="169">
        <v>0</v>
      </c>
      <c r="DO94" s="184">
        <v>1.1295000000000002</v>
      </c>
      <c r="DP94" s="171">
        <f t="shared" si="88"/>
        <v>1.6278999999999999</v>
      </c>
      <c r="DQ94" s="59">
        <v>9.1300000000000006E-2</v>
      </c>
      <c r="DR94" s="59">
        <v>0.18909999999999999</v>
      </c>
      <c r="DS94" s="59">
        <v>2.7799999999999998E-2</v>
      </c>
      <c r="DT94" s="59">
        <v>4.02E-2</v>
      </c>
      <c r="DU94" s="59">
        <v>1.44E-2</v>
      </c>
      <c r="DV94" s="59">
        <v>2.47E-2</v>
      </c>
      <c r="DW94" s="59">
        <v>7.1999999999999998E-3</v>
      </c>
      <c r="DX94" s="169">
        <v>0</v>
      </c>
      <c r="DY94" s="59">
        <v>1.4167000000000001</v>
      </c>
      <c r="DZ94" s="171">
        <f t="shared" si="89"/>
        <v>2.0763040869626597</v>
      </c>
      <c r="EA94" s="59">
        <v>0.8498</v>
      </c>
      <c r="EB94" s="171">
        <f t="shared" si="90"/>
        <v>1.772652388797364</v>
      </c>
      <c r="EC94" s="59">
        <v>0.29339999999999999</v>
      </c>
      <c r="ED94" s="171">
        <f t="shared" si="91"/>
        <v>1.8091342876618952</v>
      </c>
      <c r="EE94" s="59">
        <v>2.8799999999999999E-2</v>
      </c>
      <c r="EF94" s="59">
        <v>4.0000000000000001E-3</v>
      </c>
      <c r="EG94" s="59">
        <v>0.2525</v>
      </c>
      <c r="EH94" s="59">
        <v>0</v>
      </c>
      <c r="EI94" s="155">
        <v>0.13739999999999999</v>
      </c>
      <c r="EJ94" s="172">
        <v>5.6317000000000021</v>
      </c>
      <c r="EK94" s="173"/>
      <c r="EL94" s="59">
        <v>1.04</v>
      </c>
      <c r="EM94" s="59">
        <v>0.48570000000000002</v>
      </c>
      <c r="EN94" s="59">
        <v>0.17549999999999999</v>
      </c>
      <c r="EO94" s="172">
        <v>7.1955000000000009</v>
      </c>
      <c r="ES94" s="57">
        <f t="shared" si="101"/>
        <v>5.6317000000000021</v>
      </c>
      <c r="ET94" s="57">
        <f t="shared" si="102"/>
        <v>7.1955000000000009</v>
      </c>
      <c r="EU94" s="31"/>
      <c r="EV94" s="61">
        <f t="shared" si="92"/>
        <v>1.7699451320205257</v>
      </c>
      <c r="EW94" s="61">
        <f t="shared" si="128"/>
        <v>1.5549440622611348</v>
      </c>
      <c r="EX94" s="185">
        <v>7.3061999999999996</v>
      </c>
      <c r="EY94" s="174">
        <v>10.117699999999999</v>
      </c>
      <c r="EZ94" s="158">
        <f t="shared" si="93"/>
        <v>9.9677999999999987</v>
      </c>
      <c r="FA94" s="210">
        <f t="shared" si="94"/>
        <v>11.188599999999997</v>
      </c>
      <c r="FH94" s="174">
        <f t="shared" si="103"/>
        <v>23331.629459999996</v>
      </c>
      <c r="FJ94" s="87">
        <v>1.3119000000000001</v>
      </c>
      <c r="FK94" s="176">
        <f t="shared" si="104"/>
        <v>1.3491463770260885</v>
      </c>
      <c r="FL94" s="87">
        <v>1.4175</v>
      </c>
      <c r="FM94" s="87">
        <f t="shared" si="105"/>
        <v>1.0969623014187899</v>
      </c>
      <c r="FO94" s="88">
        <f t="shared" si="95"/>
        <v>23331.629459999996</v>
      </c>
      <c r="FP94" s="79">
        <f t="shared" si="96"/>
        <v>23590.044239999996</v>
      </c>
      <c r="FS94" s="79">
        <f t="shared" si="97"/>
        <v>13182.120190000003</v>
      </c>
      <c r="FT94" s="79">
        <f t="shared" si="98"/>
        <v>15170.992200000002</v>
      </c>
      <c r="FU94" s="79">
        <f t="shared" si="106"/>
        <v>1.7699451320205259</v>
      </c>
      <c r="FV94" s="79">
        <f t="shared" si="106"/>
        <v>1.5549440622611348</v>
      </c>
      <c r="FY94" s="79">
        <f t="shared" si="107"/>
        <v>2315.519939999997</v>
      </c>
      <c r="FZ94" s="79">
        <f t="shared" si="108"/>
        <v>23590.044239999996</v>
      </c>
      <c r="GB94" s="178">
        <f t="shared" si="109"/>
        <v>232.29999999999973</v>
      </c>
      <c r="GC94" s="178">
        <f t="shared" si="110"/>
        <v>2108.4</v>
      </c>
      <c r="GG94" s="14">
        <v>7.8490000000000002</v>
      </c>
      <c r="GH94" s="175">
        <f t="shared" si="111"/>
        <v>1.2699452159510765</v>
      </c>
      <c r="GI94" s="14">
        <v>9.3066999999999993</v>
      </c>
      <c r="GJ94" s="175">
        <f t="shared" si="112"/>
        <v>1.2022091611419727</v>
      </c>
      <c r="GK94" s="175">
        <f t="shared" si="129"/>
        <v>6.7736054809103718E-2</v>
      </c>
      <c r="GN94" s="14">
        <v>10.048300000000001</v>
      </c>
      <c r="GO94" s="175">
        <f t="shared" si="113"/>
        <v>1.2802012995286025</v>
      </c>
      <c r="GP94" s="179">
        <f t="shared" si="114"/>
        <v>0.99198869460505734</v>
      </c>
      <c r="GQ94" s="14">
        <v>11.236700000000001</v>
      </c>
      <c r="GR94" s="175">
        <f t="shared" si="115"/>
        <v>1.2073774807396824</v>
      </c>
      <c r="GS94" s="175">
        <f t="shared" si="116"/>
        <v>0.99571938380485348</v>
      </c>
      <c r="GV94" s="32">
        <f t="shared" si="117"/>
        <v>2315.519939999997</v>
      </c>
      <c r="GW94" s="32">
        <f t="shared" si="118"/>
        <v>23590.044239999996</v>
      </c>
      <c r="GX94" s="180">
        <f t="shared" si="119"/>
        <v>25905.564179999994</v>
      </c>
      <c r="GZ94" s="32">
        <f t="shared" si="120"/>
        <v>9.9677999999999987</v>
      </c>
      <c r="HA94" s="32">
        <f t="shared" si="121"/>
        <v>11.188599999999997</v>
      </c>
      <c r="HB94" s="32">
        <f t="shared" si="122"/>
        <v>11.067443149485195</v>
      </c>
    </row>
    <row r="95" spans="1:210" ht="19.2" customHeight="1" x14ac:dyDescent="0.3">
      <c r="A95" s="50">
        <v>87</v>
      </c>
      <c r="B95" s="51" t="s">
        <v>633</v>
      </c>
      <c r="C95" s="150" t="s">
        <v>581</v>
      </c>
      <c r="D95" s="52">
        <v>5</v>
      </c>
      <c r="E95" s="52">
        <v>2</v>
      </c>
      <c r="F95" s="63">
        <v>30</v>
      </c>
      <c r="G95" s="54" t="s">
        <v>81</v>
      </c>
      <c r="H95" s="181" t="s">
        <v>56</v>
      </c>
      <c r="I95" s="55">
        <f t="shared" si="99"/>
        <v>1727.6</v>
      </c>
      <c r="J95" s="55">
        <f t="shared" si="79"/>
        <v>0</v>
      </c>
      <c r="K95" s="55">
        <f t="shared" si="80"/>
        <v>0</v>
      </c>
      <c r="L95" s="56">
        <v>1727.6</v>
      </c>
      <c r="M95" s="56">
        <v>1727.6</v>
      </c>
      <c r="N95" s="56">
        <f t="shared" si="100"/>
        <v>1727.6</v>
      </c>
      <c r="O95" s="56">
        <v>0</v>
      </c>
      <c r="P95" s="56">
        <v>0</v>
      </c>
      <c r="Q95" s="55"/>
      <c r="R95" s="55">
        <v>1727.6</v>
      </c>
      <c r="S95" s="55"/>
      <c r="T95" s="55">
        <v>0</v>
      </c>
      <c r="U95" s="152">
        <v>1727.6</v>
      </c>
      <c r="V95" s="57">
        <v>0.1507</v>
      </c>
      <c r="W95" s="153">
        <v>7.5899999999999995E-2</v>
      </c>
      <c r="X95" s="57">
        <v>0.28139999999999998</v>
      </c>
      <c r="Y95" s="57">
        <v>7.0499999999999993E-2</v>
      </c>
      <c r="Z95" s="153">
        <v>2.4899999999999999E-2</v>
      </c>
      <c r="AA95" s="57">
        <v>0.32540000000000002</v>
      </c>
      <c r="AB95" s="153">
        <v>0</v>
      </c>
      <c r="AC95" s="57">
        <v>0.63149999999999995</v>
      </c>
      <c r="AD95" s="57">
        <v>0.13730000000000001</v>
      </c>
      <c r="AE95" s="57">
        <v>0</v>
      </c>
      <c r="AF95" s="57">
        <v>0.89800000000000002</v>
      </c>
      <c r="AG95" s="57">
        <v>0.20019999999999999</v>
      </c>
      <c r="AH95" s="57">
        <v>0.26900000000000002</v>
      </c>
      <c r="AI95" s="153">
        <v>8.1900000000000001E-2</v>
      </c>
      <c r="AJ95" s="153">
        <v>8.1799999999999998E-2</v>
      </c>
      <c r="AK95" s="153">
        <v>4.8399999999999999E-2</v>
      </c>
      <c r="AL95" s="57">
        <v>0.10150000000000001</v>
      </c>
      <c r="AM95" s="153">
        <v>3.5099999999999999E-2</v>
      </c>
      <c r="AN95" s="57">
        <v>0</v>
      </c>
      <c r="AO95" s="153">
        <v>2.9184000000000001</v>
      </c>
      <c r="AP95" s="57">
        <v>1.1091</v>
      </c>
      <c r="AQ95" s="57">
        <v>9.1200000000000003E-2</v>
      </c>
      <c r="AR95" s="153">
        <v>1.2326999999999999</v>
      </c>
      <c r="AS95" s="57">
        <v>6.4500000000000002E-2</v>
      </c>
      <c r="AT95" s="57">
        <v>1.0500000000000001E-2</v>
      </c>
      <c r="AU95" s="153">
        <v>0.47639999999999999</v>
      </c>
      <c r="AV95" s="153">
        <v>0</v>
      </c>
      <c r="AW95" s="154">
        <v>9.3163000000000018</v>
      </c>
      <c r="AX95" s="58">
        <v>0.46579999999999999</v>
      </c>
      <c r="AY95" s="155">
        <f t="shared" si="81"/>
        <v>0.46129999999999999</v>
      </c>
      <c r="AZ95" s="155">
        <f t="shared" si="82"/>
        <v>4.500000000000004E-3</v>
      </c>
      <c r="BA95" s="14">
        <v>9.7821000000000016</v>
      </c>
      <c r="BB95" s="59">
        <f>BA95-'[1]Тариф 26 свод без  ПДВ'!AU95</f>
        <v>-2.0999999999986585E-3</v>
      </c>
      <c r="BC95" s="57">
        <v>0</v>
      </c>
      <c r="BD95" s="57">
        <v>0</v>
      </c>
      <c r="BE95" s="57">
        <v>0</v>
      </c>
      <c r="BF95" s="156">
        <v>9.3163000000000018</v>
      </c>
      <c r="BG95" s="59">
        <v>0.46579999999999999</v>
      </c>
      <c r="BH95" s="59"/>
      <c r="BI95" s="59"/>
      <c r="BJ95" s="14">
        <v>9.7821000000000016</v>
      </c>
      <c r="BK95" s="60"/>
      <c r="BL95" s="60">
        <v>3.5797000000000025</v>
      </c>
      <c r="BM95" s="60">
        <v>0.17899999999999999</v>
      </c>
      <c r="BN95" s="14">
        <v>3.7587000000000024</v>
      </c>
      <c r="BO95" s="14"/>
      <c r="BP95" s="157"/>
      <c r="BQ95" s="158">
        <f>BJ95-'[1]Тариф 26 свод без  ПДВ'!BG95</f>
        <v>-2.0999999999986585E-3</v>
      </c>
      <c r="BR95" s="77">
        <f>'[1]Тариф 26 свод без  ПДВ'!BG95</f>
        <v>9.7842000000000002</v>
      </c>
      <c r="BS95" s="159">
        <f t="shared" si="83"/>
        <v>-2.0999999999986585E-3</v>
      </c>
      <c r="BU95" s="77">
        <f>'[1]Тариф 26 свод без  ПДВ'!AU95</f>
        <v>9.7842000000000002</v>
      </c>
      <c r="BV95" s="159">
        <f t="shared" si="84"/>
        <v>-2.0999999999986585E-3</v>
      </c>
      <c r="BX95" s="95">
        <v>4.7078999999999995</v>
      </c>
      <c r="BY95" s="95">
        <v>5.8318000000000003</v>
      </c>
      <c r="BZ95" s="95"/>
      <c r="CA95" s="182">
        <f t="shared" si="85"/>
        <v>2.0778053909386358</v>
      </c>
      <c r="CB95" s="182">
        <f t="shared" si="86"/>
        <v>1.6773723378716694</v>
      </c>
      <c r="CD95" s="160">
        <f t="shared" si="132"/>
        <v>1727.6</v>
      </c>
      <c r="CE95" s="160">
        <f t="shared" si="133"/>
        <v>0</v>
      </c>
      <c r="CF95" s="77">
        <f t="shared" si="134"/>
        <v>16899.555960000002</v>
      </c>
      <c r="CG95" s="77">
        <f t="shared" si="135"/>
        <v>0</v>
      </c>
      <c r="CI95" s="160">
        <f>'[1]0 СВОД'!AYY110</f>
        <v>16899.48024585118</v>
      </c>
      <c r="CJ95" s="77">
        <f t="shared" si="87"/>
        <v>202793.76295021415</v>
      </c>
      <c r="CM95" s="161">
        <v>93</v>
      </c>
      <c r="CN95" s="162" t="s">
        <v>634</v>
      </c>
      <c r="CO95" s="163">
        <v>5</v>
      </c>
      <c r="CP95" s="163">
        <v>2</v>
      </c>
      <c r="CQ95" s="164" t="s">
        <v>81</v>
      </c>
      <c r="CR95" s="165" t="s">
        <v>56</v>
      </c>
      <c r="CS95" s="166">
        <v>1721.1</v>
      </c>
      <c r="CT95" s="166">
        <v>0</v>
      </c>
      <c r="CU95" s="167">
        <v>0</v>
      </c>
      <c r="CV95" s="168">
        <v>1721.1</v>
      </c>
      <c r="CW95" s="166">
        <v>1721.1</v>
      </c>
      <c r="CX95" s="167">
        <v>0</v>
      </c>
      <c r="CY95" s="166">
        <v>0</v>
      </c>
      <c r="CZ95" s="166"/>
      <c r="DA95" s="166">
        <v>1721.1</v>
      </c>
      <c r="DB95" s="166"/>
      <c r="DC95" s="166">
        <v>0</v>
      </c>
      <c r="DD95" s="59">
        <v>0.14810000000000001</v>
      </c>
      <c r="DE95" s="59">
        <v>0.1237</v>
      </c>
      <c r="DF95" s="59">
        <v>0.1855</v>
      </c>
      <c r="DG95" s="59">
        <v>4.1700000000000001E-2</v>
      </c>
      <c r="DH95" s="59">
        <v>9.4000000000000004E-3</v>
      </c>
      <c r="DI95" s="59">
        <v>0.14230000000000001</v>
      </c>
      <c r="DJ95" s="59">
        <v>4.8099999999999997E-2</v>
      </c>
      <c r="DK95" s="59">
        <v>0.3458</v>
      </c>
      <c r="DL95" s="169">
        <v>0</v>
      </c>
      <c r="DM95" s="59">
        <v>8.3900000000000002E-2</v>
      </c>
      <c r="DN95" s="169">
        <v>0</v>
      </c>
      <c r="DO95" s="170">
        <v>0.71274999999999999</v>
      </c>
      <c r="DP95" s="171">
        <f t="shared" si="88"/>
        <v>0.89800000000000002</v>
      </c>
      <c r="DQ95" s="59">
        <v>9.6799999999999997E-2</v>
      </c>
      <c r="DR95" s="59">
        <v>0.16159999999999999</v>
      </c>
      <c r="DS95" s="59">
        <v>2.1000000000000001E-2</v>
      </c>
      <c r="DT95" s="59">
        <v>3.8600000000000002E-2</v>
      </c>
      <c r="DU95" s="59">
        <v>2.0500000000000001E-2</v>
      </c>
      <c r="DV95" s="59">
        <v>3.5499999999999997E-2</v>
      </c>
      <c r="DW95" s="59">
        <v>0.01</v>
      </c>
      <c r="DX95" s="169">
        <v>0</v>
      </c>
      <c r="DY95" s="170">
        <v>1.5074000000000001</v>
      </c>
      <c r="DZ95" s="171">
        <f t="shared" si="89"/>
        <v>1.9360488257927557</v>
      </c>
      <c r="EA95" s="59">
        <v>0.68059999999999998</v>
      </c>
      <c r="EB95" s="171">
        <f t="shared" si="90"/>
        <v>1.7635909491625037</v>
      </c>
      <c r="EC95" s="59">
        <v>0.68340000000000001</v>
      </c>
      <c r="ED95" s="171">
        <f t="shared" si="91"/>
        <v>1.8037752414398593</v>
      </c>
      <c r="EE95" s="59">
        <v>4.9599999999999998E-2</v>
      </c>
      <c r="EF95" s="59">
        <v>6.8999999999999999E-3</v>
      </c>
      <c r="EG95" s="59">
        <v>0.104</v>
      </c>
      <c r="EH95" s="59">
        <v>0</v>
      </c>
      <c r="EI95" s="208">
        <v>0.13139999999999999</v>
      </c>
      <c r="EJ95" s="172">
        <v>5.3885499999999995</v>
      </c>
      <c r="EK95" s="173"/>
      <c r="EL95" s="169">
        <v>0</v>
      </c>
      <c r="EM95" s="169">
        <v>0</v>
      </c>
      <c r="EN95" s="59"/>
      <c r="EO95" s="172"/>
      <c r="ES95" s="57">
        <f t="shared" si="101"/>
        <v>5.3885499999999995</v>
      </c>
      <c r="ET95" s="57">
        <f t="shared" si="102"/>
        <v>0</v>
      </c>
      <c r="EU95" s="31"/>
      <c r="EV95" s="211">
        <f t="shared" si="92"/>
        <v>1.8153492126824475</v>
      </c>
      <c r="EW95" s="62"/>
      <c r="EX95" s="158">
        <f>ES95*1.305-BA95</f>
        <v>-2.7500422500000026</v>
      </c>
      <c r="EY95" s="77">
        <f t="shared" ref="EY95:EY96" si="136">ES95*1.344</f>
        <v>7.2422111999999998</v>
      </c>
      <c r="EZ95" s="158">
        <f t="shared" si="93"/>
        <v>9.7821000000000016</v>
      </c>
      <c r="FA95" s="158">
        <f t="shared" si="94"/>
        <v>9.7821000000000016</v>
      </c>
      <c r="FH95" s="174">
        <f t="shared" si="103"/>
        <v>16899.555960000002</v>
      </c>
      <c r="FJ95" s="87">
        <v>1.4180066993903744</v>
      </c>
      <c r="FK95" s="176">
        <f t="shared" si="104"/>
        <v>1.2802120141342757</v>
      </c>
      <c r="FM95" s="87" t="e">
        <f t="shared" si="105"/>
        <v>#DIV/0!</v>
      </c>
      <c r="FO95" s="88">
        <f t="shared" si="95"/>
        <v>16899.555960000002</v>
      </c>
      <c r="FP95" s="79">
        <f t="shared" si="96"/>
        <v>0</v>
      </c>
      <c r="FS95" s="79">
        <f t="shared" si="97"/>
        <v>9309.2589799999987</v>
      </c>
      <c r="FT95" s="79">
        <f t="shared" si="98"/>
        <v>0</v>
      </c>
      <c r="FU95" s="79">
        <f t="shared" si="106"/>
        <v>1.8153492126824475</v>
      </c>
      <c r="FV95" s="79" t="e">
        <f t="shared" si="106"/>
        <v>#DIV/0!</v>
      </c>
      <c r="FY95" s="79">
        <f t="shared" si="107"/>
        <v>16899.555960000002</v>
      </c>
      <c r="FZ95" s="79">
        <f t="shared" si="108"/>
        <v>0</v>
      </c>
      <c r="GB95" s="178">
        <f t="shared" si="109"/>
        <v>1727.6</v>
      </c>
      <c r="GC95" s="178">
        <f t="shared" si="110"/>
        <v>0</v>
      </c>
      <c r="GG95" s="14">
        <v>7.7027999999999999</v>
      </c>
      <c r="GH95" s="175">
        <f t="shared" si="111"/>
        <v>1.2699408007477802</v>
      </c>
      <c r="GI95" s="14">
        <v>7.7027999999999999</v>
      </c>
      <c r="GJ95" s="175">
        <f t="shared" si="112"/>
        <v>1.2699408007477802</v>
      </c>
      <c r="GK95" s="175">
        <f t="shared" si="129"/>
        <v>0</v>
      </c>
      <c r="GN95" s="14">
        <v>10.0722</v>
      </c>
      <c r="GO95" s="175">
        <f t="shared" si="113"/>
        <v>1.3076024302850913</v>
      </c>
      <c r="GP95" s="179">
        <f t="shared" si="114"/>
        <v>0.97119795079525839</v>
      </c>
      <c r="GQ95" s="14">
        <v>10.0722</v>
      </c>
      <c r="GR95" s="175">
        <f t="shared" si="115"/>
        <v>1.3076024302850913</v>
      </c>
      <c r="GS95" s="175">
        <f t="shared" si="116"/>
        <v>0.97119795079525839</v>
      </c>
      <c r="GV95" s="32">
        <f t="shared" si="117"/>
        <v>16899.555960000002</v>
      </c>
      <c r="GW95" s="32">
        <f t="shared" si="118"/>
        <v>0</v>
      </c>
      <c r="GX95" s="180">
        <f t="shared" si="119"/>
        <v>16899.555960000002</v>
      </c>
      <c r="GZ95" s="32">
        <f t="shared" si="120"/>
        <v>9.7821000000000016</v>
      </c>
      <c r="HA95" s="32" t="e">
        <f t="shared" si="121"/>
        <v>#DIV/0!</v>
      </c>
      <c r="HB95" s="32">
        <f t="shared" si="122"/>
        <v>9.7821000000000016</v>
      </c>
    </row>
    <row r="96" spans="1:210" ht="19.2" customHeight="1" x14ac:dyDescent="0.3">
      <c r="A96" s="50">
        <v>88</v>
      </c>
      <c r="B96" s="51" t="s">
        <v>635</v>
      </c>
      <c r="C96" s="150" t="s">
        <v>581</v>
      </c>
      <c r="D96" s="52">
        <v>5</v>
      </c>
      <c r="E96" s="52">
        <v>6</v>
      </c>
      <c r="F96" s="63">
        <v>61</v>
      </c>
      <c r="G96" s="54" t="s">
        <v>82</v>
      </c>
      <c r="H96" s="181" t="s">
        <v>56</v>
      </c>
      <c r="I96" s="55">
        <f t="shared" si="99"/>
        <v>3452.9</v>
      </c>
      <c r="J96" s="55">
        <f t="shared" si="79"/>
        <v>0</v>
      </c>
      <c r="K96" s="55">
        <f t="shared" si="80"/>
        <v>0</v>
      </c>
      <c r="L96" s="56">
        <v>3452.9</v>
      </c>
      <c r="M96" s="56">
        <v>3452.9</v>
      </c>
      <c r="N96" s="56">
        <f t="shared" si="100"/>
        <v>3452.9</v>
      </c>
      <c r="O96" s="56">
        <v>0</v>
      </c>
      <c r="P96" s="56">
        <v>0</v>
      </c>
      <c r="Q96" s="55"/>
      <c r="R96" s="55">
        <v>3452.9</v>
      </c>
      <c r="S96" s="55"/>
      <c r="T96" s="55">
        <v>0</v>
      </c>
      <c r="U96" s="152">
        <v>3452.9</v>
      </c>
      <c r="V96" s="57">
        <v>0.14660000000000001</v>
      </c>
      <c r="W96" s="153">
        <v>8.6099999999999996E-2</v>
      </c>
      <c r="X96" s="57">
        <v>0.32840000000000003</v>
      </c>
      <c r="Y96" s="57">
        <v>7.2800000000000004E-2</v>
      </c>
      <c r="Z96" s="153">
        <v>3.73E-2</v>
      </c>
      <c r="AA96" s="57">
        <v>0.74490000000000001</v>
      </c>
      <c r="AB96" s="153">
        <v>0</v>
      </c>
      <c r="AC96" s="57">
        <v>0.63149999999999995</v>
      </c>
      <c r="AD96" s="57">
        <v>0.13739999999999999</v>
      </c>
      <c r="AE96" s="57">
        <v>0</v>
      </c>
      <c r="AF96" s="57">
        <v>1.4334</v>
      </c>
      <c r="AG96" s="57">
        <v>0.1928</v>
      </c>
      <c r="AH96" s="57">
        <v>0.3054</v>
      </c>
      <c r="AI96" s="153">
        <v>9.1700000000000004E-2</v>
      </c>
      <c r="AJ96" s="153">
        <v>8.5999999999999993E-2</v>
      </c>
      <c r="AK96" s="153">
        <v>7.2599999999999998E-2</v>
      </c>
      <c r="AL96" s="57">
        <v>0.26250000000000001</v>
      </c>
      <c r="AM96" s="153">
        <v>3.6999999999999998E-2</v>
      </c>
      <c r="AN96" s="57">
        <v>0</v>
      </c>
      <c r="AO96" s="153">
        <v>2.4607000000000001</v>
      </c>
      <c r="AP96" s="57">
        <v>1.3976</v>
      </c>
      <c r="AQ96" s="57">
        <v>0.1038</v>
      </c>
      <c r="AR96" s="153">
        <v>0.68089999999999995</v>
      </c>
      <c r="AS96" s="57">
        <v>6.5299999999999997E-2</v>
      </c>
      <c r="AT96" s="57">
        <v>1.06E-2</v>
      </c>
      <c r="AU96" s="153">
        <v>0.32979999999999998</v>
      </c>
      <c r="AV96" s="153">
        <v>0</v>
      </c>
      <c r="AW96" s="154">
        <v>9.7151000000000014</v>
      </c>
      <c r="AX96" s="58">
        <v>0.48580000000000001</v>
      </c>
      <c r="AY96" s="155">
        <f t="shared" si="81"/>
        <v>0.48060000000000003</v>
      </c>
      <c r="AZ96" s="155">
        <f t="shared" si="82"/>
        <v>5.1999999999999824E-3</v>
      </c>
      <c r="BA96" s="14">
        <v>10.200900000000001</v>
      </c>
      <c r="BB96" s="59">
        <f>BA96-'[1]Тариф 26 свод без  ПДВ'!AU96</f>
        <v>5.6000000000011596E-3</v>
      </c>
      <c r="BC96" s="57">
        <v>0</v>
      </c>
      <c r="BD96" s="57">
        <v>0</v>
      </c>
      <c r="BE96" s="57">
        <v>0</v>
      </c>
      <c r="BF96" s="156">
        <v>9.7151000000000014</v>
      </c>
      <c r="BG96" s="59">
        <v>0.48580000000000001</v>
      </c>
      <c r="BH96" s="59"/>
      <c r="BI96" s="59"/>
      <c r="BJ96" s="14">
        <v>10.200900000000001</v>
      </c>
      <c r="BK96" s="60"/>
      <c r="BL96" s="60">
        <v>4.8461000000000016</v>
      </c>
      <c r="BM96" s="60">
        <v>0.24229999999999999</v>
      </c>
      <c r="BN96" s="14">
        <v>5.0884000000000018</v>
      </c>
      <c r="BO96" s="14"/>
      <c r="BP96" s="157"/>
      <c r="BQ96" s="158">
        <f>BJ96-'[1]Тариф 26 свод без  ПДВ'!BG96</f>
        <v>5.6000000000011596E-3</v>
      </c>
      <c r="BR96" s="77">
        <f>'[1]Тариф 26 свод без  ПДВ'!BG96</f>
        <v>10.1953</v>
      </c>
      <c r="BS96" s="159">
        <f t="shared" si="83"/>
        <v>5.6000000000011596E-3</v>
      </c>
      <c r="BU96" s="77">
        <f>'[1]Тариф 26 свод без  ПДВ'!AU96</f>
        <v>10.1953</v>
      </c>
      <c r="BV96" s="159">
        <f t="shared" si="84"/>
        <v>5.6000000000011596E-3</v>
      </c>
      <c r="BX96" s="95">
        <v>4.5970999999999993</v>
      </c>
      <c r="BY96" s="95">
        <v>5.4522999999999993</v>
      </c>
      <c r="BZ96" s="95"/>
      <c r="CA96" s="182">
        <f t="shared" si="85"/>
        <v>2.2189858824041249</v>
      </c>
      <c r="CB96" s="182">
        <f t="shared" si="86"/>
        <v>1.8709352016580163</v>
      </c>
      <c r="CD96" s="160">
        <f t="shared" si="132"/>
        <v>3452.9</v>
      </c>
      <c r="CE96" s="160">
        <f t="shared" si="133"/>
        <v>0</v>
      </c>
      <c r="CF96" s="77">
        <f t="shared" si="134"/>
        <v>35222.687610000001</v>
      </c>
      <c r="CG96" s="77">
        <f t="shared" si="135"/>
        <v>0</v>
      </c>
      <c r="CI96" s="160">
        <f>'[1]0 СВОД'!AYY111</f>
        <v>35223.084431208226</v>
      </c>
      <c r="CJ96" s="77">
        <f t="shared" si="87"/>
        <v>422677.01317449869</v>
      </c>
      <c r="CM96" s="161">
        <v>94</v>
      </c>
      <c r="CN96" s="162" t="s">
        <v>636</v>
      </c>
      <c r="CO96" s="163">
        <v>5</v>
      </c>
      <c r="CP96" s="163">
        <v>6</v>
      </c>
      <c r="CQ96" s="164" t="s">
        <v>82</v>
      </c>
      <c r="CR96" s="165" t="s">
        <v>56</v>
      </c>
      <c r="CS96" s="166">
        <v>3452.2</v>
      </c>
      <c r="CT96" s="166">
        <v>0</v>
      </c>
      <c r="CU96" s="167">
        <v>0</v>
      </c>
      <c r="CV96" s="168">
        <v>3452.2</v>
      </c>
      <c r="CW96" s="166">
        <v>3452.2</v>
      </c>
      <c r="CX96" s="167">
        <v>0</v>
      </c>
      <c r="CY96" s="166">
        <v>0</v>
      </c>
      <c r="CZ96" s="166"/>
      <c r="DA96" s="166">
        <v>3452.2</v>
      </c>
      <c r="DB96" s="166"/>
      <c r="DC96" s="166">
        <v>0</v>
      </c>
      <c r="DD96" s="59">
        <v>0.1439</v>
      </c>
      <c r="DE96" s="59">
        <v>0.1399</v>
      </c>
      <c r="DF96" s="59">
        <v>0.216</v>
      </c>
      <c r="DG96" s="59">
        <v>4.2900000000000001E-2</v>
      </c>
      <c r="DH96" s="59">
        <v>1.4E-2</v>
      </c>
      <c r="DI96" s="59">
        <v>0.32729999999999998</v>
      </c>
      <c r="DJ96" s="59">
        <v>4.8099999999999997E-2</v>
      </c>
      <c r="DK96" s="59">
        <v>0.3458</v>
      </c>
      <c r="DL96" s="169">
        <v>0</v>
      </c>
      <c r="DM96" s="59">
        <v>8.3599999999999994E-2</v>
      </c>
      <c r="DN96" s="169">
        <v>0</v>
      </c>
      <c r="DO96" s="170">
        <v>0.84909999999999997</v>
      </c>
      <c r="DP96" s="171">
        <f t="shared" si="88"/>
        <v>1.4334</v>
      </c>
      <c r="DQ96" s="59">
        <v>9.2799999999999994E-2</v>
      </c>
      <c r="DR96" s="59">
        <v>0.18279999999999999</v>
      </c>
      <c r="DS96" s="59">
        <v>2.3900000000000001E-2</v>
      </c>
      <c r="DT96" s="59">
        <v>4.0399999999999998E-2</v>
      </c>
      <c r="DU96" s="59">
        <v>3.0599999999999999E-2</v>
      </c>
      <c r="DV96" s="59">
        <v>9.1700000000000004E-2</v>
      </c>
      <c r="DW96" s="59">
        <v>1.0800000000000001E-2</v>
      </c>
      <c r="DX96" s="169">
        <v>0</v>
      </c>
      <c r="DY96" s="170">
        <v>1.2552999999999999</v>
      </c>
      <c r="DZ96" s="171">
        <f t="shared" si="89"/>
        <v>1.9602485461642638</v>
      </c>
      <c r="EA96" s="59">
        <v>0.84309999999999996</v>
      </c>
      <c r="EB96" s="171">
        <f t="shared" si="90"/>
        <v>1.7808089194638832</v>
      </c>
      <c r="EC96" s="59">
        <v>0.39240000000000003</v>
      </c>
      <c r="ED96" s="171">
        <f t="shared" si="91"/>
        <v>1.7352191641182464</v>
      </c>
      <c r="EE96" s="59">
        <v>4.99E-2</v>
      </c>
      <c r="EF96" s="59">
        <v>6.8999999999999999E-3</v>
      </c>
      <c r="EG96" s="59">
        <v>0.33400000000000002</v>
      </c>
      <c r="EH96" s="59">
        <v>0</v>
      </c>
      <c r="EI96" s="208">
        <v>0.1391</v>
      </c>
      <c r="EJ96" s="172">
        <v>5.7042999999999999</v>
      </c>
      <c r="EK96" s="173"/>
      <c r="EL96" s="169">
        <v>0</v>
      </c>
      <c r="EM96" s="169">
        <v>0</v>
      </c>
      <c r="EN96" s="59"/>
      <c r="EO96" s="172"/>
      <c r="ES96" s="57">
        <f t="shared" si="101"/>
        <v>5.7042999999999999</v>
      </c>
      <c r="ET96" s="57">
        <f t="shared" si="102"/>
        <v>0</v>
      </c>
      <c r="EU96" s="31"/>
      <c r="EV96" s="211">
        <f t="shared" si="92"/>
        <v>1.7882825237101836</v>
      </c>
      <c r="EW96" s="62"/>
      <c r="EX96" s="158">
        <f>ES96*1.305-BA96</f>
        <v>-2.7567885000000008</v>
      </c>
      <c r="EY96" s="77">
        <f t="shared" si="136"/>
        <v>7.6665792000000001</v>
      </c>
      <c r="EZ96" s="158">
        <f t="shared" si="93"/>
        <v>10.200900000000001</v>
      </c>
      <c r="FA96" s="158">
        <f t="shared" si="94"/>
        <v>10.200900000000001</v>
      </c>
      <c r="FH96" s="174">
        <f t="shared" si="103"/>
        <v>35222.687610000001</v>
      </c>
      <c r="FJ96" s="87">
        <v>1.4082884841260099</v>
      </c>
      <c r="FK96" s="176">
        <f t="shared" si="104"/>
        <v>1.269826845754547</v>
      </c>
      <c r="FM96" s="87" t="e">
        <f t="shared" si="105"/>
        <v>#DIV/0!</v>
      </c>
      <c r="FO96" s="88">
        <f t="shared" si="95"/>
        <v>35222.687610000001</v>
      </c>
      <c r="FP96" s="79">
        <f t="shared" si="96"/>
        <v>0</v>
      </c>
      <c r="FS96" s="79">
        <f t="shared" si="97"/>
        <v>19696.377469999999</v>
      </c>
      <c r="FT96" s="79">
        <f t="shared" si="98"/>
        <v>0</v>
      </c>
      <c r="FU96" s="79">
        <f t="shared" si="106"/>
        <v>1.7882825237101836</v>
      </c>
      <c r="FV96" s="79" t="e">
        <f t="shared" si="106"/>
        <v>#DIV/0!</v>
      </c>
      <c r="FY96" s="79">
        <f t="shared" si="107"/>
        <v>35222.687610000001</v>
      </c>
      <c r="FZ96" s="79">
        <f t="shared" si="108"/>
        <v>0</v>
      </c>
      <c r="GB96" s="178">
        <f t="shared" si="109"/>
        <v>3452.9</v>
      </c>
      <c r="GC96" s="178">
        <f t="shared" si="110"/>
        <v>0</v>
      </c>
      <c r="GG96" s="14">
        <v>8.0327000000000002</v>
      </c>
      <c r="GH96" s="175">
        <f t="shared" si="111"/>
        <v>1.2699216950713956</v>
      </c>
      <c r="GI96" s="14">
        <v>8.0327000000000002</v>
      </c>
      <c r="GJ96" s="175">
        <f t="shared" si="112"/>
        <v>1.2699216950713956</v>
      </c>
      <c r="GK96" s="175">
        <f t="shared" si="129"/>
        <v>0</v>
      </c>
      <c r="GN96" s="14">
        <v>10.3283</v>
      </c>
      <c r="GO96" s="175">
        <f t="shared" si="113"/>
        <v>1.2857818666201899</v>
      </c>
      <c r="GP96" s="179">
        <f t="shared" si="114"/>
        <v>0.98766495938344168</v>
      </c>
      <c r="GQ96" s="14">
        <v>10.3283</v>
      </c>
      <c r="GR96" s="175">
        <f t="shared" si="115"/>
        <v>1.2857818666201899</v>
      </c>
      <c r="GS96" s="175">
        <f t="shared" si="116"/>
        <v>0.98766495938344168</v>
      </c>
      <c r="GV96" s="32">
        <f t="shared" si="117"/>
        <v>35222.687610000001</v>
      </c>
      <c r="GW96" s="32">
        <f t="shared" si="118"/>
        <v>0</v>
      </c>
      <c r="GX96" s="180">
        <f t="shared" si="119"/>
        <v>35222.687610000001</v>
      </c>
      <c r="GZ96" s="32">
        <f t="shared" si="120"/>
        <v>10.200900000000001</v>
      </c>
      <c r="HA96" s="32" t="e">
        <f t="shared" si="121"/>
        <v>#DIV/0!</v>
      </c>
      <c r="HB96" s="32">
        <f t="shared" si="122"/>
        <v>10.200900000000001</v>
      </c>
    </row>
    <row r="97" spans="1:210" ht="19.2" customHeight="1" x14ac:dyDescent="0.3">
      <c r="A97" s="50">
        <v>89</v>
      </c>
      <c r="B97" s="51" t="s">
        <v>637</v>
      </c>
      <c r="C97" s="150" t="s">
        <v>638</v>
      </c>
      <c r="D97" s="52">
        <v>5</v>
      </c>
      <c r="E97" s="52">
        <v>4</v>
      </c>
      <c r="F97" s="63">
        <v>57</v>
      </c>
      <c r="G97" s="54" t="s">
        <v>83</v>
      </c>
      <c r="H97" s="181" t="s">
        <v>49</v>
      </c>
      <c r="I97" s="55">
        <f t="shared" si="99"/>
        <v>2579.15</v>
      </c>
      <c r="J97" s="55">
        <f t="shared" si="79"/>
        <v>0</v>
      </c>
      <c r="K97" s="55">
        <f t="shared" si="80"/>
        <v>182.5</v>
      </c>
      <c r="L97" s="56">
        <v>2761.65</v>
      </c>
      <c r="M97" s="56">
        <v>2579.15</v>
      </c>
      <c r="N97" s="56">
        <f t="shared" si="100"/>
        <v>2579.15</v>
      </c>
      <c r="O97" s="56">
        <v>182.5</v>
      </c>
      <c r="P97" s="56">
        <v>0</v>
      </c>
      <c r="Q97" s="55"/>
      <c r="R97" s="55">
        <v>2761.65</v>
      </c>
      <c r="S97" s="55"/>
      <c r="T97" s="55">
        <v>0</v>
      </c>
      <c r="U97" s="152">
        <v>2761.65</v>
      </c>
      <c r="V97" s="57">
        <v>0.1638</v>
      </c>
      <c r="W97" s="153">
        <v>9.2200000000000004E-2</v>
      </c>
      <c r="X97" s="57">
        <v>0.32429999999999998</v>
      </c>
      <c r="Y97" s="57">
        <v>7.4300000000000005E-2</v>
      </c>
      <c r="Z97" s="153">
        <v>3.1099999999999999E-2</v>
      </c>
      <c r="AA97" s="57">
        <v>0.48770000000000002</v>
      </c>
      <c r="AB97" s="153">
        <v>0</v>
      </c>
      <c r="AC97" s="57">
        <v>0.63149999999999995</v>
      </c>
      <c r="AD97" s="57">
        <v>0.16889999999999999</v>
      </c>
      <c r="AE97" s="57">
        <v>0</v>
      </c>
      <c r="AF97" s="57">
        <v>2.5303</v>
      </c>
      <c r="AG97" s="57">
        <v>0.22109999999999999</v>
      </c>
      <c r="AH97" s="57">
        <v>0.3271</v>
      </c>
      <c r="AI97" s="153">
        <v>8.8099999999999998E-2</v>
      </c>
      <c r="AJ97" s="153">
        <v>0.10299999999999999</v>
      </c>
      <c r="AK97" s="153">
        <v>6.0499999999999998E-2</v>
      </c>
      <c r="AL97" s="57">
        <v>0.16650000000000001</v>
      </c>
      <c r="AM97" s="153">
        <v>3.2599999999999997E-2</v>
      </c>
      <c r="AN97" s="57">
        <v>0</v>
      </c>
      <c r="AO97" s="153">
        <v>1.3284</v>
      </c>
      <c r="AP97" s="57">
        <v>1.2096</v>
      </c>
      <c r="AQ97" s="57">
        <v>8.8400000000000006E-2</v>
      </c>
      <c r="AR97" s="153">
        <v>0.65439999999999998</v>
      </c>
      <c r="AS97" s="57">
        <v>5.2999999999999999E-2</v>
      </c>
      <c r="AT97" s="57">
        <v>8.6E-3</v>
      </c>
      <c r="AU97" s="153">
        <v>0.28089999999999998</v>
      </c>
      <c r="AV97" s="153">
        <v>0</v>
      </c>
      <c r="AW97" s="154">
        <v>9.1263000000000023</v>
      </c>
      <c r="AX97" s="58">
        <v>0.45629999999999998</v>
      </c>
      <c r="AY97" s="155">
        <f t="shared" si="81"/>
        <v>0.45190000000000002</v>
      </c>
      <c r="AZ97" s="155">
        <f t="shared" si="82"/>
        <v>4.3999999999999595E-3</v>
      </c>
      <c r="BA97" s="14">
        <v>9.5826000000000029</v>
      </c>
      <c r="BB97" s="59">
        <f>BA97-'[1]Тариф 26 свод без  ПДВ'!AU97</f>
        <v>0</v>
      </c>
      <c r="BC97" s="57">
        <v>0</v>
      </c>
      <c r="BD97" s="57">
        <v>0</v>
      </c>
      <c r="BE97" s="57">
        <v>0</v>
      </c>
      <c r="BF97" s="156">
        <v>9.1263000000000023</v>
      </c>
      <c r="BG97" s="59">
        <v>0.45629999999999998</v>
      </c>
      <c r="BH97" s="59"/>
      <c r="BI97" s="59"/>
      <c r="BJ97" s="14">
        <v>9.5826000000000029</v>
      </c>
      <c r="BK97" s="60"/>
      <c r="BL97" s="60">
        <v>5.6530000000000005</v>
      </c>
      <c r="BM97" s="60">
        <v>0.28270000000000001</v>
      </c>
      <c r="BN97" s="14">
        <v>5.9357000000000006</v>
      </c>
      <c r="BO97" s="14"/>
      <c r="BP97" s="157"/>
      <c r="BQ97" s="158">
        <f>BJ97-'[1]Тариф 26 свод без  ПДВ'!BG97</f>
        <v>0</v>
      </c>
      <c r="BR97" s="77">
        <f>'[1]Тариф 26 свод без  ПДВ'!BG97</f>
        <v>9.5825999999999993</v>
      </c>
      <c r="BS97" s="159">
        <f t="shared" si="83"/>
        <v>0</v>
      </c>
      <c r="BU97" s="77">
        <f>'[1]Тариф 26 свод без  ПДВ'!AU97</f>
        <v>9.5825999999999993</v>
      </c>
      <c r="BV97" s="159">
        <f t="shared" si="84"/>
        <v>0</v>
      </c>
      <c r="BX97" s="95">
        <v>4.7058999999999997</v>
      </c>
      <c r="BY97" s="95">
        <v>5.8340999999999994</v>
      </c>
      <c r="BZ97" s="95"/>
      <c r="CA97" s="62">
        <f t="shared" si="85"/>
        <v>2.0362948638942613</v>
      </c>
      <c r="CB97" s="62">
        <f t="shared" si="86"/>
        <v>1.6425155550984734</v>
      </c>
      <c r="CD97" s="160">
        <f t="shared" si="132"/>
        <v>2761.65</v>
      </c>
      <c r="CE97" s="160">
        <f t="shared" si="133"/>
        <v>0</v>
      </c>
      <c r="CF97" s="77">
        <f t="shared" si="134"/>
        <v>26463.787290000007</v>
      </c>
      <c r="CG97" s="77">
        <f t="shared" si="135"/>
        <v>0</v>
      </c>
      <c r="CI97" s="160">
        <f>'[1]0 СВОД'!AYY112</f>
        <v>25798.854749327224</v>
      </c>
      <c r="CJ97" s="77">
        <f t="shared" si="87"/>
        <v>309586.2569919267</v>
      </c>
      <c r="CM97" s="161">
        <v>95</v>
      </c>
      <c r="CN97" s="162" t="s">
        <v>639</v>
      </c>
      <c r="CO97" s="163">
        <v>5</v>
      </c>
      <c r="CP97" s="163">
        <v>4</v>
      </c>
      <c r="CQ97" s="164" t="s">
        <v>83</v>
      </c>
      <c r="CR97" s="165" t="s">
        <v>49</v>
      </c>
      <c r="CS97" s="166">
        <v>2576.5700000000002</v>
      </c>
      <c r="CT97" s="166">
        <v>0</v>
      </c>
      <c r="CU97" s="167">
        <v>182.5</v>
      </c>
      <c r="CV97" s="168">
        <v>2759.07</v>
      </c>
      <c r="CW97" s="166">
        <v>2576.5700000000002</v>
      </c>
      <c r="CX97" s="167">
        <v>182.5</v>
      </c>
      <c r="CY97" s="166">
        <v>0</v>
      </c>
      <c r="CZ97" s="166"/>
      <c r="DA97" s="166">
        <v>2759.07</v>
      </c>
      <c r="DB97" s="166"/>
      <c r="DC97" s="166">
        <v>0</v>
      </c>
      <c r="DD97" s="59">
        <v>0.1648</v>
      </c>
      <c r="DE97" s="59">
        <v>0.15</v>
      </c>
      <c r="DF97" s="59">
        <v>0.21340000000000001</v>
      </c>
      <c r="DG97" s="59">
        <v>4.3700000000000003E-2</v>
      </c>
      <c r="DH97" s="59">
        <v>1.17E-2</v>
      </c>
      <c r="DI97" s="59">
        <v>0.2122</v>
      </c>
      <c r="DJ97" s="59">
        <v>4.8099999999999997E-2</v>
      </c>
      <c r="DK97" s="59">
        <v>0.3458</v>
      </c>
      <c r="DL97" s="169">
        <v>0</v>
      </c>
      <c r="DM97" s="59">
        <v>0.10290000000000001</v>
      </c>
      <c r="DN97" s="169">
        <v>0</v>
      </c>
      <c r="DO97" s="170">
        <v>1.2952000000000001</v>
      </c>
      <c r="DP97" s="171">
        <f t="shared" si="88"/>
        <v>2.5303</v>
      </c>
      <c r="DQ97" s="59">
        <v>0.1065</v>
      </c>
      <c r="DR97" s="59">
        <v>0.19589999999999999</v>
      </c>
      <c r="DS97" s="59">
        <v>2.29E-2</v>
      </c>
      <c r="DT97" s="59">
        <v>4.8500000000000001E-2</v>
      </c>
      <c r="DU97" s="59">
        <v>2.5499999999999998E-2</v>
      </c>
      <c r="DV97" s="59">
        <v>5.8000000000000003E-2</v>
      </c>
      <c r="DW97" s="59">
        <v>8.6999999999999994E-3</v>
      </c>
      <c r="DX97" s="169">
        <v>0</v>
      </c>
      <c r="DY97" s="59">
        <v>0.74780000000000002</v>
      </c>
      <c r="DZ97" s="171">
        <f t="shared" si="89"/>
        <v>1.7764108050280825</v>
      </c>
      <c r="EA97" s="59">
        <v>0.72919999999999996</v>
      </c>
      <c r="EB97" s="171">
        <f t="shared" si="90"/>
        <v>1.7800329127811301</v>
      </c>
      <c r="EC97" s="59">
        <v>0.40350000000000003</v>
      </c>
      <c r="ED97" s="171">
        <f t="shared" si="91"/>
        <v>1.62180916976456</v>
      </c>
      <c r="EE97" s="59">
        <v>4.0599999999999997E-2</v>
      </c>
      <c r="EF97" s="59">
        <v>5.5999999999999999E-3</v>
      </c>
      <c r="EG97" s="59">
        <v>0.20169999999999999</v>
      </c>
      <c r="EH97" s="59">
        <v>0</v>
      </c>
      <c r="EI97" s="208">
        <v>0.12959999999999999</v>
      </c>
      <c r="EJ97" s="172">
        <v>5.3118000000000007</v>
      </c>
      <c r="EK97" s="173"/>
      <c r="EL97" s="169">
        <v>0</v>
      </c>
      <c r="EM97" s="169">
        <v>0</v>
      </c>
      <c r="EN97" s="59"/>
      <c r="EO97" s="172"/>
      <c r="ES97" s="57">
        <f t="shared" si="101"/>
        <v>5.3118000000000007</v>
      </c>
      <c r="ET97" s="57">
        <f t="shared" si="102"/>
        <v>0</v>
      </c>
      <c r="EU97" s="31"/>
      <c r="EV97" s="61">
        <f t="shared" si="92"/>
        <v>1.8040212357392977</v>
      </c>
      <c r="EW97" s="62"/>
      <c r="EX97" s="158">
        <f>ES97*1.305-BA97</f>
        <v>-2.6507010000000024</v>
      </c>
      <c r="EY97" s="77">
        <f>ES97*1.344</f>
        <v>7.139059200000001</v>
      </c>
      <c r="EZ97" s="158">
        <f t="shared" si="93"/>
        <v>9.5826000000000029</v>
      </c>
      <c r="FA97" s="158">
        <f t="shared" si="94"/>
        <v>9.5826000000000029</v>
      </c>
      <c r="FH97" s="174">
        <f t="shared" si="103"/>
        <v>26463.787290000007</v>
      </c>
      <c r="FJ97" s="87">
        <v>1.3614593922963962</v>
      </c>
      <c r="FK97" s="176">
        <f t="shared" si="104"/>
        <v>1.3250642993445623</v>
      </c>
      <c r="FM97" s="87" t="e">
        <f t="shared" si="105"/>
        <v>#DIV/0!</v>
      </c>
      <c r="FO97" s="88">
        <f t="shared" si="95"/>
        <v>26463.787290000007</v>
      </c>
      <c r="FP97" s="79">
        <f t="shared" si="96"/>
        <v>0</v>
      </c>
      <c r="FS97" s="79">
        <f t="shared" si="97"/>
        <v>14669.332470000003</v>
      </c>
      <c r="FT97" s="79">
        <f t="shared" si="98"/>
        <v>0</v>
      </c>
      <c r="FU97" s="79">
        <f t="shared" si="106"/>
        <v>1.8040212357392975</v>
      </c>
      <c r="FV97" s="79" t="e">
        <f t="shared" si="106"/>
        <v>#DIV/0!</v>
      </c>
      <c r="FY97" s="79">
        <f t="shared" si="107"/>
        <v>26463.787290000007</v>
      </c>
      <c r="FZ97" s="79">
        <f t="shared" si="108"/>
        <v>0</v>
      </c>
      <c r="GB97" s="178">
        <f t="shared" si="109"/>
        <v>2761.65</v>
      </c>
      <c r="GC97" s="178">
        <f t="shared" si="110"/>
        <v>0</v>
      </c>
      <c r="GG97" s="14">
        <v>7.5458000000000007</v>
      </c>
      <c r="GH97" s="175">
        <f t="shared" si="111"/>
        <v>1.2699249913859367</v>
      </c>
      <c r="GI97" s="14">
        <v>7.5458000000000007</v>
      </c>
      <c r="GJ97" s="175">
        <f t="shared" si="112"/>
        <v>1.2699249913859367</v>
      </c>
      <c r="GK97" s="175">
        <f t="shared" si="129"/>
        <v>0</v>
      </c>
      <c r="GN97" s="14">
        <v>9.7111999999999998</v>
      </c>
      <c r="GO97" s="175">
        <f t="shared" si="113"/>
        <v>1.2869675846166078</v>
      </c>
      <c r="GP97" s="179">
        <f t="shared" si="114"/>
        <v>0.98675755828321965</v>
      </c>
      <c r="GQ97" s="14">
        <v>9.7111999999999998</v>
      </c>
      <c r="GR97" s="175">
        <f t="shared" si="115"/>
        <v>1.2869675846166078</v>
      </c>
      <c r="GS97" s="175">
        <f t="shared" si="116"/>
        <v>0.98675755828321965</v>
      </c>
      <c r="GV97" s="32">
        <f t="shared" si="117"/>
        <v>26463.787290000007</v>
      </c>
      <c r="GW97" s="32">
        <f t="shared" si="118"/>
        <v>0</v>
      </c>
      <c r="GX97" s="180">
        <f t="shared" si="119"/>
        <v>26463.787290000007</v>
      </c>
      <c r="GZ97" s="32">
        <f t="shared" si="120"/>
        <v>9.5826000000000029</v>
      </c>
      <c r="HA97" s="32" t="e">
        <f t="shared" si="121"/>
        <v>#DIV/0!</v>
      </c>
      <c r="HB97" s="32">
        <f t="shared" si="122"/>
        <v>9.5826000000000029</v>
      </c>
    </row>
    <row r="98" spans="1:210" ht="19.2" customHeight="1" x14ac:dyDescent="0.3">
      <c r="A98" s="50">
        <v>90</v>
      </c>
      <c r="B98" s="51" t="s">
        <v>640</v>
      </c>
      <c r="C98" s="150" t="s">
        <v>638</v>
      </c>
      <c r="D98" s="52">
        <v>9</v>
      </c>
      <c r="E98" s="52">
        <v>1</v>
      </c>
      <c r="F98" s="63">
        <v>34</v>
      </c>
      <c r="G98" s="54" t="s">
        <v>216</v>
      </c>
      <c r="H98" s="218" t="s">
        <v>179</v>
      </c>
      <c r="I98" s="55">
        <f t="shared" si="99"/>
        <v>115.39999999999995</v>
      </c>
      <c r="J98" s="55">
        <f t="shared" si="79"/>
        <v>1872.97</v>
      </c>
      <c r="K98" s="55">
        <f t="shared" si="80"/>
        <v>123.4</v>
      </c>
      <c r="L98" s="56">
        <v>2111.77</v>
      </c>
      <c r="M98" s="56">
        <v>1988.37</v>
      </c>
      <c r="N98" s="56">
        <f t="shared" si="100"/>
        <v>115.39999999999986</v>
      </c>
      <c r="O98" s="56">
        <v>123.4</v>
      </c>
      <c r="P98" s="56">
        <v>0</v>
      </c>
      <c r="Q98" s="55"/>
      <c r="R98" s="55">
        <v>2111.77</v>
      </c>
      <c r="S98" s="55"/>
      <c r="T98" s="55">
        <v>1872.97</v>
      </c>
      <c r="U98" s="152">
        <v>238.79999999999995</v>
      </c>
      <c r="V98" s="57">
        <v>0.16889999999999999</v>
      </c>
      <c r="W98" s="57">
        <v>0.1023</v>
      </c>
      <c r="X98" s="153">
        <v>0.29170000000000001</v>
      </c>
      <c r="Y98" s="153">
        <v>6.8000000000000005E-2</v>
      </c>
      <c r="Z98" s="57">
        <v>1.89E-2</v>
      </c>
      <c r="AA98" s="57">
        <v>0.22009999999999999</v>
      </c>
      <c r="AB98" s="57">
        <v>0</v>
      </c>
      <c r="AC98" s="153">
        <v>0.63149999999999995</v>
      </c>
      <c r="AD98" s="57">
        <v>0.1348</v>
      </c>
      <c r="AE98" s="57">
        <v>0</v>
      </c>
      <c r="AF98" s="57">
        <v>2.1454</v>
      </c>
      <c r="AG98" s="57">
        <v>0.22220000000000001</v>
      </c>
      <c r="AH98" s="57">
        <v>0.34329999999999999</v>
      </c>
      <c r="AI98" s="57">
        <v>0.1177</v>
      </c>
      <c r="AJ98" s="57">
        <v>9.3299999999999994E-2</v>
      </c>
      <c r="AK98" s="57">
        <v>3.6799999999999999E-2</v>
      </c>
      <c r="AL98" s="57">
        <v>5.8200000000000002E-2</v>
      </c>
      <c r="AM98" s="57">
        <v>3.1600000000000003E-2</v>
      </c>
      <c r="AN98" s="57">
        <v>0</v>
      </c>
      <c r="AO98" s="57">
        <v>1.0190999999999999</v>
      </c>
      <c r="AP98" s="153">
        <v>1.4434</v>
      </c>
      <c r="AQ98" s="153">
        <v>8.6300000000000002E-2</v>
      </c>
      <c r="AR98" s="57">
        <v>0.26650000000000001</v>
      </c>
      <c r="AS98" s="57">
        <v>3.8699999999999998E-2</v>
      </c>
      <c r="AT98" s="153">
        <v>6.3E-3</v>
      </c>
      <c r="AU98" s="153">
        <v>0.7288</v>
      </c>
      <c r="AV98" s="153">
        <v>0</v>
      </c>
      <c r="AW98" s="154">
        <v>8.2738000000000014</v>
      </c>
      <c r="AX98" s="58">
        <v>0.41370000000000001</v>
      </c>
      <c r="AY98" s="155">
        <f t="shared" si="81"/>
        <v>0.40939999999999999</v>
      </c>
      <c r="AZ98" s="155">
        <f t="shared" si="82"/>
        <v>4.300000000000026E-3</v>
      </c>
      <c r="BA98" s="14">
        <v>8.6875000000000018</v>
      </c>
      <c r="BB98" s="59">
        <f>BA98-'[1]Тариф 26 свод без  ПДВ'!AU98</f>
        <v>5.7000000000009265E-3</v>
      </c>
      <c r="BC98" s="57">
        <v>1.8298000000000001</v>
      </c>
      <c r="BD98" s="57">
        <v>0</v>
      </c>
      <c r="BE98" s="57">
        <v>0.55269999999999997</v>
      </c>
      <c r="BF98" s="156">
        <v>10.656300000000002</v>
      </c>
      <c r="BG98" s="59">
        <v>0.53280000000000005</v>
      </c>
      <c r="BH98" s="59"/>
      <c r="BI98" s="59"/>
      <c r="BJ98" s="14">
        <v>11.189100000000002</v>
      </c>
      <c r="BK98" s="60"/>
      <c r="BL98" s="60">
        <v>4.8160000000000025</v>
      </c>
      <c r="BM98" s="60">
        <v>0.24079999999999999</v>
      </c>
      <c r="BN98" s="14">
        <v>5.0568000000000026</v>
      </c>
      <c r="BO98" s="14"/>
      <c r="BP98" s="157"/>
      <c r="BQ98" s="158">
        <f>BJ98-'[1]Тариф 26 свод без  ПДВ'!BG98</f>
        <v>4.9000000000010147E-3</v>
      </c>
      <c r="BR98" s="77">
        <f>'[1]Тариф 26 свод без  ПДВ'!BG98</f>
        <v>11.184200000000001</v>
      </c>
      <c r="BS98" s="159">
        <f t="shared" si="83"/>
        <v>4.9000000000010147E-3</v>
      </c>
      <c r="BU98" s="77">
        <f>'[1]Тариф 26 свод без  ПДВ'!AU98</f>
        <v>8.6818000000000008</v>
      </c>
      <c r="BV98" s="159">
        <f t="shared" si="84"/>
        <v>5.7000000000009265E-3</v>
      </c>
      <c r="BX98" s="95">
        <v>4.6841999999999997</v>
      </c>
      <c r="BY98" s="95">
        <v>5.7366999999999999</v>
      </c>
      <c r="BZ98" s="95"/>
      <c r="CA98" s="62">
        <f t="shared" si="85"/>
        <v>1.8546389991887626</v>
      </c>
      <c r="CB98" s="62">
        <f t="shared" si="86"/>
        <v>1.950441891679886</v>
      </c>
      <c r="CD98" s="160">
        <f t="shared" si="132"/>
        <v>238.79999999999995</v>
      </c>
      <c r="CE98" s="160">
        <f t="shared" si="133"/>
        <v>1872.97</v>
      </c>
      <c r="CF98" s="77">
        <f t="shared" si="134"/>
        <v>2074.5749999999998</v>
      </c>
      <c r="CG98" s="77">
        <f t="shared" si="135"/>
        <v>20956.848627000003</v>
      </c>
      <c r="CI98" s="160">
        <f>'[1]0 СВОД'!AYY113</f>
        <v>22582.950445077586</v>
      </c>
      <c r="CJ98" s="77">
        <f t="shared" si="87"/>
        <v>270995.40534093103</v>
      </c>
      <c r="CM98" s="161">
        <v>96</v>
      </c>
      <c r="CN98" s="183" t="s">
        <v>641</v>
      </c>
      <c r="CO98" s="163">
        <v>9</v>
      </c>
      <c r="CP98" s="163">
        <v>1</v>
      </c>
      <c r="CQ98" s="164" t="s">
        <v>216</v>
      </c>
      <c r="CR98" s="165" t="s">
        <v>179</v>
      </c>
      <c r="CS98" s="166">
        <v>115.39999999999995</v>
      </c>
      <c r="CT98" s="166">
        <v>1873.0000000000002</v>
      </c>
      <c r="CU98" s="167">
        <v>123.4</v>
      </c>
      <c r="CV98" s="168">
        <v>2111.8000000000002</v>
      </c>
      <c r="CW98" s="166">
        <v>1988.4</v>
      </c>
      <c r="CX98" s="167">
        <v>123.4</v>
      </c>
      <c r="CY98" s="166">
        <v>0</v>
      </c>
      <c r="CZ98" s="166"/>
      <c r="DA98" s="166">
        <v>2111.8000000000002</v>
      </c>
      <c r="DB98" s="166"/>
      <c r="DC98" s="166">
        <v>1873.0000000000002</v>
      </c>
      <c r="DD98" s="59">
        <v>0.1663</v>
      </c>
      <c r="DE98" s="59">
        <v>0.15939999999999999</v>
      </c>
      <c r="DF98" s="59">
        <v>0.19159999999999999</v>
      </c>
      <c r="DG98" s="59">
        <v>0.04</v>
      </c>
      <c r="DH98" s="59">
        <v>7.1000000000000004E-3</v>
      </c>
      <c r="DI98" s="59">
        <v>9.5399999999999999E-2</v>
      </c>
      <c r="DJ98" s="59">
        <v>4.8099999999999997E-2</v>
      </c>
      <c r="DK98" s="59">
        <v>0.3458</v>
      </c>
      <c r="DL98" s="169">
        <v>0</v>
      </c>
      <c r="DM98" s="59">
        <v>8.2000000000000003E-2</v>
      </c>
      <c r="DN98" s="169">
        <v>0</v>
      </c>
      <c r="DO98" s="184">
        <v>1.6525999999999998</v>
      </c>
      <c r="DP98" s="171">
        <f t="shared" si="88"/>
        <v>2.1454</v>
      </c>
      <c r="DQ98" s="59">
        <v>0.107</v>
      </c>
      <c r="DR98" s="59">
        <v>0.2059</v>
      </c>
      <c r="DS98" s="59">
        <v>3.0599999999999999E-2</v>
      </c>
      <c r="DT98" s="59">
        <v>4.4200000000000003E-2</v>
      </c>
      <c r="DU98" s="59">
        <v>1.55E-2</v>
      </c>
      <c r="DV98" s="59">
        <v>2.0299999999999999E-2</v>
      </c>
      <c r="DW98" s="59">
        <v>8.2000000000000007E-3</v>
      </c>
      <c r="DX98" s="169">
        <v>0</v>
      </c>
      <c r="DY98" s="59">
        <v>0.45619999999999999</v>
      </c>
      <c r="DZ98" s="171">
        <f t="shared" si="89"/>
        <v>2.2338886453309952</v>
      </c>
      <c r="EA98" s="59">
        <v>0.86539999999999995</v>
      </c>
      <c r="EB98" s="171">
        <f t="shared" si="90"/>
        <v>1.7676219089438412</v>
      </c>
      <c r="EC98" s="59">
        <v>8.6099999999999996E-2</v>
      </c>
      <c r="ED98" s="171">
        <f t="shared" si="91"/>
        <v>3.0952380952380953</v>
      </c>
      <c r="EE98" s="59">
        <v>2.9600000000000001E-2</v>
      </c>
      <c r="EF98" s="59">
        <v>4.1000000000000003E-3</v>
      </c>
      <c r="EG98" s="59">
        <v>0.3407</v>
      </c>
      <c r="EH98" s="59">
        <v>0</v>
      </c>
      <c r="EI98" s="155">
        <v>0.12509999999999999</v>
      </c>
      <c r="EJ98" s="172">
        <v>5.1272000000000011</v>
      </c>
      <c r="EK98" s="173"/>
      <c r="EL98" s="59">
        <v>1.5814999999999999</v>
      </c>
      <c r="EM98" s="59">
        <v>0.3977</v>
      </c>
      <c r="EN98" s="59">
        <v>0.17449999999999999</v>
      </c>
      <c r="EO98" s="172">
        <v>7.1558000000000019</v>
      </c>
      <c r="ES98" s="57">
        <f t="shared" si="101"/>
        <v>5.1272000000000011</v>
      </c>
      <c r="ET98" s="57">
        <f t="shared" si="102"/>
        <v>7.1558000000000019</v>
      </c>
      <c r="EU98" s="31"/>
      <c r="EV98" s="61">
        <f t="shared" si="92"/>
        <v>1.6943946013418629</v>
      </c>
      <c r="EW98" s="61">
        <f>BJ98/ET98</f>
        <v>1.5636406830822547</v>
      </c>
      <c r="EX98" s="185">
        <v>6.5431999999999997</v>
      </c>
      <c r="EY98" s="174">
        <v>9.4139999999999997</v>
      </c>
      <c r="EZ98" s="158">
        <f t="shared" si="93"/>
        <v>8.6875000000000018</v>
      </c>
      <c r="FA98" s="158">
        <f t="shared" si="94"/>
        <v>11.189100000000002</v>
      </c>
      <c r="FB98" s="158">
        <f>BA98-EX98</f>
        <v>2.1443000000000021</v>
      </c>
      <c r="FC98" s="158">
        <f>BJ98-EY98</f>
        <v>1.7751000000000019</v>
      </c>
      <c r="FD98" s="175">
        <f t="shared" ref="FD98:FD99" si="137">FB98/EX98</f>
        <v>0.32771426824795241</v>
      </c>
      <c r="FE98" s="175">
        <f t="shared" ref="FE98:FE99" si="138">FC98/FA98</f>
        <v>0.15864546746387123</v>
      </c>
      <c r="FH98" s="174">
        <f t="shared" si="103"/>
        <v>18346.001875000005</v>
      </c>
      <c r="FJ98" s="176">
        <v>1.252</v>
      </c>
      <c r="FK98" s="176">
        <f t="shared" si="104"/>
        <v>1.3533503205605935</v>
      </c>
      <c r="FL98" s="87">
        <v>1.2982</v>
      </c>
      <c r="FM98" s="177">
        <f t="shared" si="105"/>
        <v>1.2044682507181133</v>
      </c>
      <c r="FO98" s="88">
        <f t="shared" si="95"/>
        <v>18346.001875000005</v>
      </c>
      <c r="FP98" s="79">
        <f t="shared" si="96"/>
        <v>20956.848627000003</v>
      </c>
      <c r="FS98" s="79">
        <f t="shared" si="97"/>
        <v>10827.467144000002</v>
      </c>
      <c r="FT98" s="79">
        <f t="shared" si="98"/>
        <v>13402.598726000004</v>
      </c>
      <c r="FU98" s="79">
        <f t="shared" si="106"/>
        <v>1.6943946013418631</v>
      </c>
      <c r="FV98" s="79">
        <f t="shared" si="106"/>
        <v>1.5636406830822547</v>
      </c>
      <c r="FY98" s="79">
        <f t="shared" si="107"/>
        <v>2074.5749999999998</v>
      </c>
      <c r="FZ98" s="79">
        <f t="shared" si="108"/>
        <v>20956.848627000003</v>
      </c>
      <c r="GB98" s="178">
        <f t="shared" si="109"/>
        <v>238.79999999999995</v>
      </c>
      <c r="GC98" s="178">
        <f t="shared" si="110"/>
        <v>1872.97</v>
      </c>
      <c r="GG98" s="14">
        <v>7.0577000000000005</v>
      </c>
      <c r="GH98" s="175">
        <f t="shared" si="111"/>
        <v>1.230925088909985</v>
      </c>
      <c r="GI98" s="14">
        <v>9.9920000000000009</v>
      </c>
      <c r="GJ98" s="175">
        <f t="shared" si="112"/>
        <v>1.1198058446757406</v>
      </c>
      <c r="GK98" s="175">
        <f t="shared" si="129"/>
        <v>0.11111924423424435</v>
      </c>
      <c r="GN98" s="14">
        <v>8.3992000000000022</v>
      </c>
      <c r="GO98" s="175">
        <f t="shared" si="113"/>
        <v>1.190076087110532</v>
      </c>
      <c r="GP98" s="179">
        <f t="shared" si="114"/>
        <v>1.0343246975902467</v>
      </c>
      <c r="GQ98" s="14">
        <v>10.740100000000002</v>
      </c>
      <c r="GR98" s="175">
        <f t="shared" si="115"/>
        <v>1.0748698959167335</v>
      </c>
      <c r="GS98" s="175">
        <f t="shared" si="116"/>
        <v>1.0418059422165529</v>
      </c>
      <c r="GV98" s="32">
        <f t="shared" si="117"/>
        <v>2074.5749999999998</v>
      </c>
      <c r="GW98" s="32">
        <f t="shared" si="118"/>
        <v>20956.848627000003</v>
      </c>
      <c r="GX98" s="180">
        <f t="shared" si="119"/>
        <v>23031.423627000004</v>
      </c>
      <c r="GZ98" s="32">
        <f t="shared" si="120"/>
        <v>8.6875000000000018</v>
      </c>
      <c r="HA98" s="32">
        <f t="shared" si="121"/>
        <v>11.189100000000002</v>
      </c>
      <c r="HB98" s="32">
        <f t="shared" si="122"/>
        <v>10.906217830066723</v>
      </c>
    </row>
    <row r="99" spans="1:210" ht="19.2" customHeight="1" x14ac:dyDescent="0.3">
      <c r="A99" s="50">
        <v>91</v>
      </c>
      <c r="B99" s="51" t="s">
        <v>642</v>
      </c>
      <c r="C99" s="150" t="s">
        <v>638</v>
      </c>
      <c r="D99" s="52">
        <v>9</v>
      </c>
      <c r="E99" s="52">
        <v>5</v>
      </c>
      <c r="F99" s="63">
        <v>179</v>
      </c>
      <c r="G99" s="54" t="s">
        <v>217</v>
      </c>
      <c r="H99" s="181" t="s">
        <v>173</v>
      </c>
      <c r="I99" s="55">
        <f t="shared" si="99"/>
        <v>972.79999999999961</v>
      </c>
      <c r="J99" s="55">
        <f t="shared" si="79"/>
        <v>8567.9</v>
      </c>
      <c r="K99" s="55">
        <f t="shared" si="80"/>
        <v>134.6</v>
      </c>
      <c r="L99" s="56">
        <v>9675.2999999999993</v>
      </c>
      <c r="M99" s="56">
        <v>9540.6999999999989</v>
      </c>
      <c r="N99" s="56">
        <f t="shared" si="100"/>
        <v>972.79999999999927</v>
      </c>
      <c r="O99" s="56">
        <v>134.6</v>
      </c>
      <c r="P99" s="56">
        <v>0</v>
      </c>
      <c r="Q99" s="55"/>
      <c r="R99" s="55">
        <v>9675.2999999999993</v>
      </c>
      <c r="S99" s="55"/>
      <c r="T99" s="55">
        <v>8567.9</v>
      </c>
      <c r="U99" s="152">
        <v>1107.3999999999996</v>
      </c>
      <c r="V99" s="57">
        <v>0.20519999999999999</v>
      </c>
      <c r="W99" s="57">
        <v>0.10199999999999999</v>
      </c>
      <c r="X99" s="153">
        <v>0.29360000000000003</v>
      </c>
      <c r="Y99" s="153">
        <v>6.3700000000000007E-2</v>
      </c>
      <c r="Z99" s="57">
        <v>2.58E-2</v>
      </c>
      <c r="AA99" s="57">
        <v>0.29809999999999998</v>
      </c>
      <c r="AB99" s="57">
        <v>0</v>
      </c>
      <c r="AC99" s="153">
        <v>0.63149999999999995</v>
      </c>
      <c r="AD99" s="57">
        <v>0.14630000000000001</v>
      </c>
      <c r="AE99" s="57">
        <v>0</v>
      </c>
      <c r="AF99" s="57">
        <v>2.1583999999999999</v>
      </c>
      <c r="AG99" s="57">
        <v>0.27229999999999999</v>
      </c>
      <c r="AH99" s="57">
        <v>0.36559999999999998</v>
      </c>
      <c r="AI99" s="57">
        <v>0.13339999999999999</v>
      </c>
      <c r="AJ99" s="57">
        <v>7.0400000000000004E-2</v>
      </c>
      <c r="AK99" s="57">
        <v>5.0200000000000002E-2</v>
      </c>
      <c r="AL99" s="57">
        <v>8.2699999999999996E-2</v>
      </c>
      <c r="AM99" s="57">
        <v>2.9600000000000001E-2</v>
      </c>
      <c r="AN99" s="57">
        <v>0</v>
      </c>
      <c r="AO99" s="57">
        <v>1.6553</v>
      </c>
      <c r="AP99" s="153">
        <v>1.4077</v>
      </c>
      <c r="AQ99" s="153">
        <v>7.22E-2</v>
      </c>
      <c r="AR99" s="57">
        <v>0.39929999999999999</v>
      </c>
      <c r="AS99" s="57">
        <v>2.86E-2</v>
      </c>
      <c r="AT99" s="153">
        <v>4.5999999999999999E-3</v>
      </c>
      <c r="AU99" s="153">
        <v>0.28749999999999998</v>
      </c>
      <c r="AV99" s="153">
        <v>0</v>
      </c>
      <c r="AW99" s="154">
        <v>8.7840000000000007</v>
      </c>
      <c r="AX99" s="58">
        <v>0.43919999999999998</v>
      </c>
      <c r="AY99" s="155">
        <f t="shared" si="81"/>
        <v>0.43559999999999999</v>
      </c>
      <c r="AZ99" s="155">
        <f t="shared" si="82"/>
        <v>3.5999999999999921E-3</v>
      </c>
      <c r="BA99" s="14">
        <v>9.2232000000000003</v>
      </c>
      <c r="BB99" s="59">
        <f>BA99-'[1]Тариф 26 свод без  ПДВ'!AU99</f>
        <v>-4.7999999999994714E-3</v>
      </c>
      <c r="BC99" s="57">
        <v>2</v>
      </c>
      <c r="BD99" s="57">
        <v>0</v>
      </c>
      <c r="BE99" s="57">
        <v>0.438</v>
      </c>
      <c r="BF99" s="156">
        <v>11.222000000000001</v>
      </c>
      <c r="BG99" s="59">
        <v>0.56110000000000004</v>
      </c>
      <c r="BH99" s="59"/>
      <c r="BI99" s="59"/>
      <c r="BJ99" s="14">
        <v>11.783100000000001</v>
      </c>
      <c r="BK99" s="60"/>
      <c r="BL99" s="60">
        <v>5.0342000000000002</v>
      </c>
      <c r="BM99" s="60">
        <v>0.25169999999999998</v>
      </c>
      <c r="BN99" s="14">
        <v>5.2858999999999998</v>
      </c>
      <c r="BO99" s="14"/>
      <c r="BP99" s="157"/>
      <c r="BQ99" s="158">
        <f>BJ99-'[1]Тариф 26 свод без  ПДВ'!BG99</f>
        <v>-2.7999999999988034E-3</v>
      </c>
      <c r="BR99" s="77">
        <f>'[1]Тариф 26 свод без  ПДВ'!BG99</f>
        <v>11.7859</v>
      </c>
      <c r="BS99" s="159">
        <f t="shared" si="83"/>
        <v>-2.7999999999988034E-3</v>
      </c>
      <c r="BU99" s="77">
        <f>'[1]Тариф 26 свод без  ПДВ'!AU99</f>
        <v>9.2279999999999998</v>
      </c>
      <c r="BV99" s="159">
        <f t="shared" si="84"/>
        <v>-4.7999999999994714E-3</v>
      </c>
      <c r="BX99" s="95">
        <v>4.6709000000000005</v>
      </c>
      <c r="BY99" s="95">
        <v>5.6676000000000002</v>
      </c>
      <c r="BZ99" s="95"/>
      <c r="CA99" s="182">
        <f t="shared" si="85"/>
        <v>1.9746087477788006</v>
      </c>
      <c r="CB99" s="182">
        <f t="shared" si="86"/>
        <v>2.0790281600677538</v>
      </c>
      <c r="CD99" s="160">
        <f t="shared" si="132"/>
        <v>1107.3999999999996</v>
      </c>
      <c r="CE99" s="160">
        <f t="shared" si="133"/>
        <v>8567.9</v>
      </c>
      <c r="CF99" s="77">
        <f t="shared" si="134"/>
        <v>10213.771679999996</v>
      </c>
      <c r="CG99" s="77">
        <f t="shared" si="135"/>
        <v>100956.42249</v>
      </c>
      <c r="CI99" s="160">
        <f>'[1]0 СВОД'!AYY114</f>
        <v>110638.54342389781</v>
      </c>
      <c r="CJ99" s="77">
        <f t="shared" si="87"/>
        <v>1327662.5210867736</v>
      </c>
      <c r="CM99" s="161">
        <v>97</v>
      </c>
      <c r="CN99" s="183" t="s">
        <v>643</v>
      </c>
      <c r="CO99" s="163">
        <v>9</v>
      </c>
      <c r="CP99" s="163">
        <v>5</v>
      </c>
      <c r="CQ99" s="164" t="s">
        <v>217</v>
      </c>
      <c r="CR99" s="165" t="s">
        <v>173</v>
      </c>
      <c r="CS99" s="166">
        <v>905.00000000000034</v>
      </c>
      <c r="CT99" s="166">
        <v>8627</v>
      </c>
      <c r="CU99" s="167">
        <v>134.6</v>
      </c>
      <c r="CV99" s="168">
        <v>9666.6</v>
      </c>
      <c r="CW99" s="166">
        <v>9532</v>
      </c>
      <c r="CX99" s="167">
        <v>134.6</v>
      </c>
      <c r="CY99" s="166">
        <v>3.694822225952521E-13</v>
      </c>
      <c r="CZ99" s="166"/>
      <c r="DA99" s="166">
        <v>9666.6</v>
      </c>
      <c r="DB99" s="166"/>
      <c r="DC99" s="166">
        <v>8627</v>
      </c>
      <c r="DD99" s="59">
        <v>0.19950000000000001</v>
      </c>
      <c r="DE99" s="59">
        <v>0.1658</v>
      </c>
      <c r="DF99" s="59">
        <v>0.1933</v>
      </c>
      <c r="DG99" s="59">
        <v>3.7499999999999999E-2</v>
      </c>
      <c r="DH99" s="59">
        <v>9.7000000000000003E-3</v>
      </c>
      <c r="DI99" s="59">
        <v>0.12790000000000001</v>
      </c>
      <c r="DJ99" s="59">
        <v>4.8099999999999997E-2</v>
      </c>
      <c r="DK99" s="59">
        <v>0.3458</v>
      </c>
      <c r="DL99" s="169">
        <v>0</v>
      </c>
      <c r="DM99" s="59">
        <v>8.9099999999999999E-2</v>
      </c>
      <c r="DN99" s="169">
        <v>0</v>
      </c>
      <c r="DO99" s="184">
        <v>1.4990000000000001</v>
      </c>
      <c r="DP99" s="171">
        <f t="shared" si="88"/>
        <v>2.1583999999999999</v>
      </c>
      <c r="DQ99" s="59">
        <v>0.13109999999999999</v>
      </c>
      <c r="DR99" s="59">
        <v>0.21929999999999999</v>
      </c>
      <c r="DS99" s="59">
        <v>3.49E-2</v>
      </c>
      <c r="DT99" s="59">
        <v>3.3399999999999999E-2</v>
      </c>
      <c r="DU99" s="59">
        <v>2.12E-2</v>
      </c>
      <c r="DV99" s="59">
        <v>2.8899999999999999E-2</v>
      </c>
      <c r="DW99" s="59">
        <v>7.3000000000000001E-3</v>
      </c>
      <c r="DX99" s="169">
        <v>0</v>
      </c>
      <c r="DY99" s="59">
        <v>0.77549999999999997</v>
      </c>
      <c r="DZ99" s="171">
        <f t="shared" si="89"/>
        <v>2.1344938749194071</v>
      </c>
      <c r="EA99" s="59">
        <v>0.82799999999999996</v>
      </c>
      <c r="EB99" s="171">
        <f t="shared" si="90"/>
        <v>1.7873188405797102</v>
      </c>
      <c r="EC99" s="59">
        <v>0.15809999999999999</v>
      </c>
      <c r="ED99" s="171">
        <f t="shared" si="91"/>
        <v>2.5256166982922204</v>
      </c>
      <c r="EE99" s="59">
        <v>2.1899999999999999E-2</v>
      </c>
      <c r="EF99" s="59">
        <v>3.0000000000000001E-3</v>
      </c>
      <c r="EG99" s="59">
        <v>0.16919999999999999</v>
      </c>
      <c r="EH99" s="59">
        <v>0</v>
      </c>
      <c r="EI99" s="155">
        <v>0.12870000000000001</v>
      </c>
      <c r="EJ99" s="172">
        <v>5.2762000000000002</v>
      </c>
      <c r="EK99" s="173"/>
      <c r="EL99" s="59">
        <v>1.7168000000000001</v>
      </c>
      <c r="EM99" s="59">
        <v>0.22650000000000001</v>
      </c>
      <c r="EN99" s="59">
        <v>0.17730000000000001</v>
      </c>
      <c r="EO99" s="172">
        <v>7.2680999999999996</v>
      </c>
      <c r="ES99" s="57">
        <f t="shared" si="101"/>
        <v>5.2762000000000002</v>
      </c>
      <c r="ET99" s="57">
        <f t="shared" si="102"/>
        <v>7.2680999999999996</v>
      </c>
      <c r="EU99" s="31"/>
      <c r="EV99" s="61">
        <f t="shared" si="92"/>
        <v>1.7480762670103482</v>
      </c>
      <c r="EW99" s="61">
        <f>BJ99/ET99</f>
        <v>1.6212077434267556</v>
      </c>
      <c r="EX99" s="185">
        <v>6.8632</v>
      </c>
      <c r="EY99" s="174">
        <v>9.6565999999999992</v>
      </c>
      <c r="EZ99" s="158">
        <f t="shared" si="93"/>
        <v>9.2232000000000003</v>
      </c>
      <c r="FA99" s="158">
        <f t="shared" si="94"/>
        <v>11.783100000000001</v>
      </c>
      <c r="FB99" s="158">
        <f>BA99-EX99</f>
        <v>2.3600000000000003</v>
      </c>
      <c r="FC99" s="158">
        <f>BJ99-EY99</f>
        <v>2.1265000000000018</v>
      </c>
      <c r="FD99" s="175">
        <f t="shared" si="137"/>
        <v>0.34386292108637373</v>
      </c>
      <c r="FE99" s="175">
        <f t="shared" si="138"/>
        <v>0.18047033463180331</v>
      </c>
      <c r="FF99" s="158"/>
      <c r="FG99" s="174"/>
      <c r="FH99" s="174">
        <f t="shared" si="103"/>
        <v>89237.22696</v>
      </c>
      <c r="FI99" s="174"/>
      <c r="FJ99" s="176">
        <v>1.2735000000000001</v>
      </c>
      <c r="FK99" s="176">
        <f t="shared" si="104"/>
        <v>1.3726550977701988</v>
      </c>
      <c r="FL99" s="87">
        <v>1.3088</v>
      </c>
      <c r="FM99" s="177">
        <f t="shared" si="105"/>
        <v>1.2386978479727655</v>
      </c>
      <c r="FO99" s="88">
        <f t="shared" si="95"/>
        <v>89237.22696</v>
      </c>
      <c r="FP99" s="79">
        <f t="shared" si="96"/>
        <v>100956.42249</v>
      </c>
      <c r="FS99" s="79">
        <f t="shared" si="97"/>
        <v>51048.817859999996</v>
      </c>
      <c r="FT99" s="79">
        <f t="shared" si="98"/>
        <v>62272.353989999996</v>
      </c>
      <c r="FU99" s="79">
        <f t="shared" si="106"/>
        <v>1.7480762670103485</v>
      </c>
      <c r="FV99" s="79">
        <f t="shared" si="106"/>
        <v>1.6212077434267553</v>
      </c>
      <c r="FY99" s="79">
        <f t="shared" si="107"/>
        <v>10213.771679999996</v>
      </c>
      <c r="FZ99" s="79">
        <f t="shared" si="108"/>
        <v>100956.42249</v>
      </c>
      <c r="GB99" s="178">
        <f t="shared" si="109"/>
        <v>1107.3999999999996</v>
      </c>
      <c r="GC99" s="178">
        <f t="shared" si="110"/>
        <v>8567.9</v>
      </c>
      <c r="GG99" s="14">
        <v>7.2626999999999997</v>
      </c>
      <c r="GH99" s="175">
        <f t="shared" si="111"/>
        <v>1.2699409310586973</v>
      </c>
      <c r="GI99" s="14">
        <v>10.2311</v>
      </c>
      <c r="GJ99" s="175">
        <f t="shared" si="112"/>
        <v>1.1516943437167071</v>
      </c>
      <c r="GK99" s="175">
        <f t="shared" si="129"/>
        <v>0.11824658734199023</v>
      </c>
      <c r="GN99" s="14">
        <v>9.099499999999999</v>
      </c>
      <c r="GO99" s="175">
        <f t="shared" si="113"/>
        <v>1.2529086978671844</v>
      </c>
      <c r="GP99" s="179">
        <f t="shared" si="114"/>
        <v>1.0135941535249191</v>
      </c>
      <c r="GQ99" s="14">
        <v>11.470499999999999</v>
      </c>
      <c r="GR99" s="175">
        <f t="shared" si="115"/>
        <v>1.121140444331499</v>
      </c>
      <c r="GS99" s="175">
        <f t="shared" si="116"/>
        <v>1.0272525173270566</v>
      </c>
      <c r="GV99" s="32">
        <f t="shared" si="117"/>
        <v>10213.771679999996</v>
      </c>
      <c r="GW99" s="32">
        <f t="shared" si="118"/>
        <v>100956.42249</v>
      </c>
      <c r="GX99" s="180">
        <f t="shared" si="119"/>
        <v>111170.19416999999</v>
      </c>
      <c r="GZ99" s="32">
        <f t="shared" si="120"/>
        <v>9.2232000000000003</v>
      </c>
      <c r="HA99" s="32">
        <f t="shared" si="121"/>
        <v>11.783100000000001</v>
      </c>
      <c r="HB99" s="32">
        <f t="shared" si="122"/>
        <v>11.490103063470899</v>
      </c>
    </row>
    <row r="100" spans="1:210" ht="19.2" customHeight="1" x14ac:dyDescent="0.3">
      <c r="A100" s="50">
        <v>92</v>
      </c>
      <c r="B100" s="51" t="s">
        <v>644</v>
      </c>
      <c r="C100" s="150" t="s">
        <v>638</v>
      </c>
      <c r="D100" s="52">
        <v>5</v>
      </c>
      <c r="E100" s="52">
        <v>8</v>
      </c>
      <c r="F100" s="63">
        <v>140</v>
      </c>
      <c r="G100" s="54" t="s">
        <v>84</v>
      </c>
      <c r="H100" s="181" t="s">
        <v>56</v>
      </c>
      <c r="I100" s="55">
        <f t="shared" si="99"/>
        <v>6734.02</v>
      </c>
      <c r="J100" s="55">
        <f t="shared" si="79"/>
        <v>0</v>
      </c>
      <c r="K100" s="55">
        <f t="shared" si="80"/>
        <v>4</v>
      </c>
      <c r="L100" s="56">
        <v>6738.02</v>
      </c>
      <c r="M100" s="56">
        <v>6734.02</v>
      </c>
      <c r="N100" s="56">
        <f t="shared" si="100"/>
        <v>6734.02</v>
      </c>
      <c r="O100" s="56">
        <v>4</v>
      </c>
      <c r="P100" s="56">
        <v>0</v>
      </c>
      <c r="Q100" s="55"/>
      <c r="R100" s="55">
        <v>6738.02</v>
      </c>
      <c r="S100" s="55"/>
      <c r="T100" s="55">
        <v>0</v>
      </c>
      <c r="U100" s="152">
        <v>6738.02</v>
      </c>
      <c r="V100" s="57">
        <v>0.21659999999999999</v>
      </c>
      <c r="W100" s="153">
        <v>0.10929999999999999</v>
      </c>
      <c r="X100" s="57">
        <v>0.33860000000000001</v>
      </c>
      <c r="Y100" s="57">
        <v>0</v>
      </c>
      <c r="Z100" s="153">
        <v>0</v>
      </c>
      <c r="AA100" s="57">
        <v>0.71140000000000003</v>
      </c>
      <c r="AB100" s="153">
        <v>0</v>
      </c>
      <c r="AC100" s="57">
        <v>0.62080000000000002</v>
      </c>
      <c r="AD100" s="57">
        <v>0.4788</v>
      </c>
      <c r="AE100" s="57">
        <v>0</v>
      </c>
      <c r="AF100" s="57">
        <v>1.9858</v>
      </c>
      <c r="AG100" s="57">
        <v>0.29970000000000002</v>
      </c>
      <c r="AH100" s="57">
        <v>0.37030000000000002</v>
      </c>
      <c r="AI100" s="153">
        <v>9.3100000000000002E-2</v>
      </c>
      <c r="AJ100" s="153">
        <v>0</v>
      </c>
      <c r="AK100" s="153">
        <v>0</v>
      </c>
      <c r="AL100" s="57">
        <v>0.2777</v>
      </c>
      <c r="AM100" s="153">
        <v>3.39E-2</v>
      </c>
      <c r="AN100" s="57">
        <v>0</v>
      </c>
      <c r="AO100" s="153">
        <v>1.7058</v>
      </c>
      <c r="AP100" s="57">
        <v>0.91849999999999998</v>
      </c>
      <c r="AQ100" s="57">
        <v>9.1600000000000001E-2</v>
      </c>
      <c r="AR100" s="153">
        <v>0.56230000000000002</v>
      </c>
      <c r="AS100" s="57">
        <v>5.0200000000000002E-2</v>
      </c>
      <c r="AT100" s="57">
        <v>8.0999999999999996E-3</v>
      </c>
      <c r="AU100" s="153">
        <v>0.2306</v>
      </c>
      <c r="AV100" s="153">
        <v>0</v>
      </c>
      <c r="AW100" s="154">
        <v>9.1031000000000031</v>
      </c>
      <c r="AX100" s="58">
        <v>0.45519999999999999</v>
      </c>
      <c r="AY100" s="155">
        <f t="shared" si="81"/>
        <v>0.4506</v>
      </c>
      <c r="AZ100" s="155">
        <f t="shared" si="82"/>
        <v>4.599999999999993E-3</v>
      </c>
      <c r="BA100" s="14">
        <v>9.5583000000000027</v>
      </c>
      <c r="BB100" s="59">
        <f>BA100-'[1]Тариф 26 свод без  ПДВ'!AU100</f>
        <v>-9.9999999999766942E-4</v>
      </c>
      <c r="BC100" s="57">
        <v>0</v>
      </c>
      <c r="BD100" s="57">
        <v>0</v>
      </c>
      <c r="BE100" s="57">
        <v>0</v>
      </c>
      <c r="BF100" s="156">
        <v>9.1031000000000031</v>
      </c>
      <c r="BG100" s="59">
        <v>0.45519999999999999</v>
      </c>
      <c r="BH100" s="59"/>
      <c r="BI100" s="59"/>
      <c r="BJ100" s="14">
        <v>9.5583000000000027</v>
      </c>
      <c r="BK100" s="60"/>
      <c r="BL100" s="60">
        <v>5.685900000000002</v>
      </c>
      <c r="BM100" s="60">
        <v>0.2843</v>
      </c>
      <c r="BN100" s="14">
        <v>5.9702000000000019</v>
      </c>
      <c r="BO100" s="14"/>
      <c r="BP100" s="157"/>
      <c r="BQ100" s="158">
        <f>BJ100-'[1]Тариф 26 свод без  ПДВ'!BG100</f>
        <v>-9.9999999999766942E-4</v>
      </c>
      <c r="BR100" s="77">
        <f>'[1]Тариф 26 свод без  ПДВ'!BG100</f>
        <v>9.5593000000000004</v>
      </c>
      <c r="BS100" s="159">
        <f t="shared" si="83"/>
        <v>-9.9999999999766942E-4</v>
      </c>
      <c r="BU100" s="77">
        <f>'[1]Тариф 26 свод без  ПДВ'!AU100</f>
        <v>9.5593000000000004</v>
      </c>
      <c r="BV100" s="159">
        <f t="shared" si="84"/>
        <v>-9.9999999999766942E-4</v>
      </c>
      <c r="BX100" s="95">
        <v>4.4946000000000002</v>
      </c>
      <c r="BY100" s="95">
        <v>5.9443000000000001</v>
      </c>
      <c r="BZ100" s="95"/>
      <c r="CA100" s="186">
        <f t="shared" si="85"/>
        <v>2.1266186089974641</v>
      </c>
      <c r="CB100" s="186">
        <f t="shared" si="86"/>
        <v>1.6079773901048067</v>
      </c>
      <c r="CD100" s="160">
        <f t="shared" si="132"/>
        <v>6738.02</v>
      </c>
      <c r="CE100" s="160">
        <f t="shared" si="133"/>
        <v>0</v>
      </c>
      <c r="CF100" s="77">
        <f t="shared" si="134"/>
        <v>64404.01656600002</v>
      </c>
      <c r="CG100" s="77">
        <f t="shared" si="135"/>
        <v>0</v>
      </c>
      <c r="CI100" s="160">
        <f>'[1]0 СВОД'!AYY115</f>
        <v>64390.434575357518</v>
      </c>
      <c r="CJ100" s="77">
        <f t="shared" si="87"/>
        <v>772685.21490429016</v>
      </c>
      <c r="CM100" s="161">
        <v>98</v>
      </c>
      <c r="CN100" s="183" t="s">
        <v>645</v>
      </c>
      <c r="CO100" s="163">
        <v>5</v>
      </c>
      <c r="CP100" s="163">
        <v>8</v>
      </c>
      <c r="CQ100" s="164" t="s">
        <v>84</v>
      </c>
      <c r="CR100" s="165" t="s">
        <v>56</v>
      </c>
      <c r="CS100" s="166">
        <v>6733.4</v>
      </c>
      <c r="CT100" s="166">
        <v>0</v>
      </c>
      <c r="CU100" s="167">
        <v>4</v>
      </c>
      <c r="CV100" s="168">
        <v>6737.4</v>
      </c>
      <c r="CW100" s="166">
        <v>6733.4</v>
      </c>
      <c r="CX100" s="167">
        <v>4</v>
      </c>
      <c r="CY100" s="166">
        <v>0</v>
      </c>
      <c r="CZ100" s="166"/>
      <c r="DA100" s="166">
        <v>6737.4</v>
      </c>
      <c r="DB100" s="166"/>
      <c r="DC100" s="166">
        <v>0</v>
      </c>
      <c r="DD100" s="59">
        <v>0.20730000000000001</v>
      </c>
      <c r="DE100" s="59">
        <v>0.17760000000000001</v>
      </c>
      <c r="DF100" s="59">
        <v>0.22270000000000001</v>
      </c>
      <c r="DG100" s="59">
        <v>0</v>
      </c>
      <c r="DH100" s="59">
        <v>1.34E-2</v>
      </c>
      <c r="DI100" s="59">
        <v>0.31340000000000001</v>
      </c>
      <c r="DJ100" s="59">
        <v>4.8099999999999997E-2</v>
      </c>
      <c r="DK100" s="59">
        <v>0.33839999999999998</v>
      </c>
      <c r="DL100" s="169">
        <v>0</v>
      </c>
      <c r="DM100" s="59">
        <v>0.29139999999999999</v>
      </c>
      <c r="DN100" s="169">
        <v>0</v>
      </c>
      <c r="DO100" s="184">
        <v>1.1324000000000001</v>
      </c>
      <c r="DP100" s="171">
        <f t="shared" si="88"/>
        <v>1.9858</v>
      </c>
      <c r="DQ100" s="59">
        <v>0.14419999999999999</v>
      </c>
      <c r="DR100" s="59">
        <v>0.2319</v>
      </c>
      <c r="DS100" s="59">
        <v>2.4400000000000002E-2</v>
      </c>
      <c r="DT100" s="59">
        <v>0</v>
      </c>
      <c r="DU100" s="59">
        <v>2.92E-2</v>
      </c>
      <c r="DV100" s="59">
        <v>9.7000000000000003E-2</v>
      </c>
      <c r="DW100" s="59">
        <v>9.2999999999999992E-3</v>
      </c>
      <c r="DX100" s="169">
        <v>0</v>
      </c>
      <c r="DY100" s="59">
        <v>0.92720000000000002</v>
      </c>
      <c r="DZ100" s="171">
        <f t="shared" si="89"/>
        <v>1.839732528041415</v>
      </c>
      <c r="EA100" s="59">
        <v>0.56569999999999998</v>
      </c>
      <c r="EB100" s="171">
        <f t="shared" si="90"/>
        <v>1.7855753933180132</v>
      </c>
      <c r="EC100" s="59">
        <v>0.35899999999999999</v>
      </c>
      <c r="ED100" s="171">
        <f t="shared" si="91"/>
        <v>1.5662952646239556</v>
      </c>
      <c r="EE100" s="59">
        <v>3.8399999999999997E-2</v>
      </c>
      <c r="EF100" s="59">
        <v>5.3E-3</v>
      </c>
      <c r="EG100" s="59">
        <v>0.223</v>
      </c>
      <c r="EH100" s="59">
        <v>0</v>
      </c>
      <c r="EI100" s="208">
        <v>0.13500000000000001</v>
      </c>
      <c r="EJ100" s="172">
        <v>5.5343</v>
      </c>
      <c r="EK100" s="173"/>
      <c r="EL100" s="169">
        <v>0</v>
      </c>
      <c r="EM100" s="169">
        <v>0</v>
      </c>
      <c r="EN100" s="59"/>
      <c r="EO100" s="172"/>
      <c r="ES100" s="57">
        <f t="shared" si="101"/>
        <v>5.5343</v>
      </c>
      <c r="ET100" s="57">
        <f t="shared" si="102"/>
        <v>0</v>
      </c>
      <c r="EU100" s="31"/>
      <c r="EV100" s="65">
        <f t="shared" si="92"/>
        <v>1.7271018918381733</v>
      </c>
      <c r="EW100" s="62"/>
      <c r="EX100" s="158">
        <f t="shared" ref="EX100:EX107" si="139">ES100*1.305-BA100</f>
        <v>-2.3360385000000035</v>
      </c>
      <c r="EY100" s="77">
        <f t="shared" ref="EY100:EY107" si="140">ES100*1.344</f>
        <v>7.4380992000000008</v>
      </c>
      <c r="EZ100" s="158">
        <f t="shared" si="93"/>
        <v>9.5583000000000027</v>
      </c>
      <c r="FA100" s="158">
        <f t="shared" si="94"/>
        <v>9.5583000000000027</v>
      </c>
      <c r="FH100" s="174">
        <f t="shared" si="103"/>
        <v>64404.01656600002</v>
      </c>
      <c r="FJ100" s="87">
        <v>1.2537086894458196</v>
      </c>
      <c r="FK100" s="176">
        <f t="shared" si="104"/>
        <v>1.3775942580422005</v>
      </c>
      <c r="FM100" s="87" t="e">
        <f t="shared" si="105"/>
        <v>#DIV/0!</v>
      </c>
      <c r="FO100" s="88">
        <f t="shared" si="95"/>
        <v>64404.01656600002</v>
      </c>
      <c r="FP100" s="79">
        <f t="shared" si="96"/>
        <v>0</v>
      </c>
      <c r="FS100" s="79">
        <f t="shared" si="97"/>
        <v>37290.224086000002</v>
      </c>
      <c r="FT100" s="79">
        <f t="shared" si="98"/>
        <v>0</v>
      </c>
      <c r="FU100" s="79">
        <f t="shared" si="106"/>
        <v>1.7271018918381733</v>
      </c>
      <c r="FV100" s="79" t="e">
        <f t="shared" si="106"/>
        <v>#DIV/0!</v>
      </c>
      <c r="FY100" s="79">
        <f t="shared" si="107"/>
        <v>64404.01656600002</v>
      </c>
      <c r="FZ100" s="79">
        <f t="shared" si="108"/>
        <v>0</v>
      </c>
      <c r="GB100" s="178">
        <f t="shared" si="109"/>
        <v>6738.02</v>
      </c>
      <c r="GC100" s="178">
        <f t="shared" si="110"/>
        <v>0</v>
      </c>
      <c r="GG100" s="14">
        <v>7.5601000000000003</v>
      </c>
      <c r="GH100" s="175">
        <f t="shared" si="111"/>
        <v>1.2643086731656992</v>
      </c>
      <c r="GI100" s="14">
        <v>7.5601000000000003</v>
      </c>
      <c r="GJ100" s="175">
        <f t="shared" si="112"/>
        <v>1.2643086731656992</v>
      </c>
      <c r="GK100" s="175">
        <f t="shared" si="129"/>
        <v>0</v>
      </c>
      <c r="GN100" s="14">
        <v>9.5558000000000014</v>
      </c>
      <c r="GO100" s="175">
        <f t="shared" si="113"/>
        <v>1.263977989709131</v>
      </c>
      <c r="GP100" s="179">
        <f t="shared" si="114"/>
        <v>1.0002616212143411</v>
      </c>
      <c r="GQ100" s="14">
        <v>9.5558000000000014</v>
      </c>
      <c r="GR100" s="175">
        <f t="shared" si="115"/>
        <v>1.263977989709131</v>
      </c>
      <c r="GS100" s="175">
        <f t="shared" si="116"/>
        <v>1.0002616212143411</v>
      </c>
      <c r="GV100" s="32">
        <f t="shared" si="117"/>
        <v>64404.01656600002</v>
      </c>
      <c r="GW100" s="32">
        <f t="shared" si="118"/>
        <v>0</v>
      </c>
      <c r="GX100" s="180">
        <f t="shared" si="119"/>
        <v>64404.01656600002</v>
      </c>
      <c r="GZ100" s="32">
        <f t="shared" si="120"/>
        <v>9.5583000000000027</v>
      </c>
      <c r="HA100" s="32" t="e">
        <f t="shared" si="121"/>
        <v>#DIV/0!</v>
      </c>
      <c r="HB100" s="32">
        <f t="shared" si="122"/>
        <v>9.5583000000000027</v>
      </c>
    </row>
    <row r="101" spans="1:210" ht="19.2" customHeight="1" x14ac:dyDescent="0.3">
      <c r="A101" s="50">
        <v>93</v>
      </c>
      <c r="B101" s="64" t="s">
        <v>646</v>
      </c>
      <c r="C101" s="150" t="s">
        <v>638</v>
      </c>
      <c r="D101" s="52">
        <v>5</v>
      </c>
      <c r="E101" s="52">
        <v>5</v>
      </c>
      <c r="F101" s="63">
        <v>150</v>
      </c>
      <c r="G101" s="54" t="s">
        <v>85</v>
      </c>
      <c r="H101" s="181" t="s">
        <v>65</v>
      </c>
      <c r="I101" s="55">
        <f t="shared" si="99"/>
        <v>4748.03</v>
      </c>
      <c r="J101" s="55">
        <f t="shared" si="79"/>
        <v>0</v>
      </c>
      <c r="K101" s="55">
        <f t="shared" si="80"/>
        <v>0</v>
      </c>
      <c r="L101" s="56">
        <v>4748.03</v>
      </c>
      <c r="M101" s="56">
        <v>4748.03</v>
      </c>
      <c r="N101" s="56">
        <f t="shared" si="100"/>
        <v>4748.03</v>
      </c>
      <c r="O101" s="56">
        <v>0</v>
      </c>
      <c r="P101" s="56">
        <v>0</v>
      </c>
      <c r="Q101" s="55"/>
      <c r="R101" s="55">
        <v>4748.03</v>
      </c>
      <c r="S101" s="55"/>
      <c r="T101" s="55">
        <v>0</v>
      </c>
      <c r="U101" s="152">
        <v>4748.03</v>
      </c>
      <c r="V101" s="57">
        <v>0.1641</v>
      </c>
      <c r="W101" s="153">
        <v>9.9099999999999994E-2</v>
      </c>
      <c r="X101" s="57">
        <v>0.33379999999999999</v>
      </c>
      <c r="Y101" s="57">
        <v>0</v>
      </c>
      <c r="Z101" s="153">
        <v>1.6799999999999999E-2</v>
      </c>
      <c r="AA101" s="57">
        <v>0.2797</v>
      </c>
      <c r="AB101" s="153">
        <v>0</v>
      </c>
      <c r="AC101" s="57">
        <v>0.62080000000000002</v>
      </c>
      <c r="AD101" s="57">
        <v>0.74939999999999996</v>
      </c>
      <c r="AE101" s="57">
        <v>0</v>
      </c>
      <c r="AF101" s="57">
        <v>1.9065000000000001</v>
      </c>
      <c r="AG101" s="57">
        <v>0.2225</v>
      </c>
      <c r="AH101" s="57">
        <v>0.35149999999999998</v>
      </c>
      <c r="AI101" s="153">
        <v>9.5600000000000004E-2</v>
      </c>
      <c r="AJ101" s="153">
        <v>0</v>
      </c>
      <c r="AK101" s="153">
        <v>3.27E-2</v>
      </c>
      <c r="AL101" s="57">
        <v>0.1042</v>
      </c>
      <c r="AM101" s="153">
        <v>5.0099999999999999E-2</v>
      </c>
      <c r="AN101" s="57">
        <v>0</v>
      </c>
      <c r="AO101" s="153">
        <v>2.6598999999999999</v>
      </c>
      <c r="AP101" s="57">
        <v>1.5610999999999999</v>
      </c>
      <c r="AQ101" s="57">
        <v>0.11020000000000001</v>
      </c>
      <c r="AR101" s="153">
        <v>0.45250000000000001</v>
      </c>
      <c r="AS101" s="57">
        <v>5.21E-2</v>
      </c>
      <c r="AT101" s="57">
        <v>8.5000000000000006E-3</v>
      </c>
      <c r="AU101" s="153">
        <v>0.87209999999999999</v>
      </c>
      <c r="AV101" s="153">
        <v>0</v>
      </c>
      <c r="AW101" s="154">
        <v>10.7432</v>
      </c>
      <c r="AX101" s="58">
        <v>0.53720000000000001</v>
      </c>
      <c r="AY101" s="155">
        <f t="shared" si="81"/>
        <v>0.53169999999999995</v>
      </c>
      <c r="AZ101" s="155">
        <f t="shared" si="82"/>
        <v>5.5000000000000604E-3</v>
      </c>
      <c r="BA101" s="14">
        <v>11.2804</v>
      </c>
      <c r="BB101" s="59">
        <f>BA101-'[1]Тариф 26 свод без  ПДВ'!AU101</f>
        <v>-2.8000000000005798E-3</v>
      </c>
      <c r="BC101" s="57">
        <v>0</v>
      </c>
      <c r="BD101" s="57">
        <v>0</v>
      </c>
      <c r="BE101" s="57">
        <v>0</v>
      </c>
      <c r="BF101" s="156">
        <v>10.7432</v>
      </c>
      <c r="BG101" s="59">
        <v>0.53720000000000001</v>
      </c>
      <c r="BH101" s="59"/>
      <c r="BI101" s="59"/>
      <c r="BJ101" s="14">
        <v>11.2804</v>
      </c>
      <c r="BK101" s="60"/>
      <c r="BL101" s="60">
        <v>5.1975999999999996</v>
      </c>
      <c r="BM101" s="60">
        <v>0.25990000000000002</v>
      </c>
      <c r="BN101" s="14">
        <v>5.4574999999999996</v>
      </c>
      <c r="BO101" s="14"/>
      <c r="BP101" s="157"/>
      <c r="BQ101" s="158">
        <f>BJ101-'[1]Тариф 26 свод без  ПДВ'!BG101</f>
        <v>-2.8000000000005798E-3</v>
      </c>
      <c r="BR101" s="77">
        <f>'[1]Тариф 26 свод без  ПДВ'!BG101</f>
        <v>11.283200000000001</v>
      </c>
      <c r="BS101" s="159">
        <f t="shared" si="83"/>
        <v>-2.8000000000005798E-3</v>
      </c>
      <c r="BU101" s="77">
        <f>'[1]Тариф 26 свод без  ПДВ'!AU101</f>
        <v>11.283200000000001</v>
      </c>
      <c r="BV101" s="159">
        <f t="shared" si="84"/>
        <v>-2.8000000000005798E-3</v>
      </c>
      <c r="BX101" s="95">
        <v>4.3093000000000004</v>
      </c>
      <c r="BY101" s="95">
        <v>4.3093000000000004</v>
      </c>
      <c r="BZ101" s="95"/>
      <c r="CA101" s="62">
        <f t="shared" si="85"/>
        <v>2.6176873274081638</v>
      </c>
      <c r="CB101" s="62">
        <f t="shared" si="86"/>
        <v>2.6176873274081638</v>
      </c>
      <c r="CI101" s="160">
        <f>'[1]0 СВОД'!AYY116</f>
        <v>53559.993512912311</v>
      </c>
      <c r="CJ101" s="77">
        <f t="shared" si="87"/>
        <v>642719.92215494777</v>
      </c>
      <c r="CM101" s="161">
        <v>99</v>
      </c>
      <c r="CN101" s="183" t="s">
        <v>647</v>
      </c>
      <c r="CO101" s="163">
        <v>5</v>
      </c>
      <c r="CP101" s="163">
        <v>5</v>
      </c>
      <c r="CQ101" s="164" t="s">
        <v>85</v>
      </c>
      <c r="CR101" s="165" t="s">
        <v>65</v>
      </c>
      <c r="CS101" s="166">
        <v>4746.57</v>
      </c>
      <c r="CT101" s="166">
        <v>0</v>
      </c>
      <c r="CU101" s="167">
        <v>0</v>
      </c>
      <c r="CV101" s="168">
        <v>4746.57</v>
      </c>
      <c r="CW101" s="166">
        <v>4746.57</v>
      </c>
      <c r="CX101" s="167">
        <v>0</v>
      </c>
      <c r="CY101" s="166">
        <v>0</v>
      </c>
      <c r="CZ101" s="166"/>
      <c r="DA101" s="166">
        <v>4746.57</v>
      </c>
      <c r="DB101" s="166"/>
      <c r="DC101" s="166">
        <v>0</v>
      </c>
      <c r="DD101" s="59">
        <v>0.16109999999999999</v>
      </c>
      <c r="DE101" s="59">
        <v>0.16109999999999999</v>
      </c>
      <c r="DF101" s="59">
        <v>0.21959999999999999</v>
      </c>
      <c r="DG101" s="59">
        <v>0</v>
      </c>
      <c r="DH101" s="59">
        <v>6.3E-3</v>
      </c>
      <c r="DI101" s="59">
        <v>0.251</v>
      </c>
      <c r="DJ101" s="59">
        <v>4.8099999999999997E-2</v>
      </c>
      <c r="DK101" s="59">
        <v>0.33839999999999998</v>
      </c>
      <c r="DL101" s="169">
        <v>0</v>
      </c>
      <c r="DM101" s="59">
        <v>0.45619999999999999</v>
      </c>
      <c r="DN101" s="169">
        <v>0</v>
      </c>
      <c r="DO101" s="184">
        <v>1.2679</v>
      </c>
      <c r="DP101" s="171">
        <f t="shared" si="88"/>
        <v>1.9065000000000001</v>
      </c>
      <c r="DQ101" s="59">
        <v>0.10730000000000001</v>
      </c>
      <c r="DR101" s="59">
        <v>0.2104</v>
      </c>
      <c r="DS101" s="59">
        <v>2.5000000000000001E-2</v>
      </c>
      <c r="DT101" s="59">
        <v>0</v>
      </c>
      <c r="DU101" s="59">
        <v>1.38E-2</v>
      </c>
      <c r="DV101" s="59">
        <v>2.6499999999999999E-2</v>
      </c>
      <c r="DW101" s="59">
        <v>1.7000000000000001E-2</v>
      </c>
      <c r="DX101" s="169">
        <v>0</v>
      </c>
      <c r="DY101" s="59">
        <v>1.4034</v>
      </c>
      <c r="DZ101" s="171">
        <f t="shared" si="89"/>
        <v>1.8953256377369245</v>
      </c>
      <c r="EA101" s="59">
        <v>0.91110000000000002</v>
      </c>
      <c r="EB101" s="171">
        <f t="shared" si="90"/>
        <v>1.8343760289759632</v>
      </c>
      <c r="EC101" s="59">
        <v>0.30109999999999998</v>
      </c>
      <c r="ED101" s="171">
        <f t="shared" si="91"/>
        <v>1.5028229823978747</v>
      </c>
      <c r="EE101" s="59">
        <v>3.9899999999999998E-2</v>
      </c>
      <c r="EF101" s="59">
        <v>5.4999999999999997E-3</v>
      </c>
      <c r="EG101" s="59">
        <v>0.69140000000000001</v>
      </c>
      <c r="EH101" s="59">
        <v>0</v>
      </c>
      <c r="EI101" s="208">
        <v>0.1666</v>
      </c>
      <c r="EJ101" s="172">
        <v>6.8286999999999987</v>
      </c>
      <c r="EK101" s="173"/>
      <c r="EL101" s="169">
        <v>0</v>
      </c>
      <c r="EM101" s="169">
        <v>0</v>
      </c>
      <c r="EN101" s="59"/>
      <c r="EO101" s="172"/>
      <c r="ES101" s="57">
        <f t="shared" si="101"/>
        <v>6.8286999999999987</v>
      </c>
      <c r="ET101" s="57">
        <f t="shared" si="102"/>
        <v>0</v>
      </c>
      <c r="EU101" s="31"/>
      <c r="EV101" s="65">
        <f t="shared" si="92"/>
        <v>1.6519103196801737</v>
      </c>
      <c r="EW101" s="62"/>
      <c r="EX101" s="158">
        <f t="shared" si="139"/>
        <v>-2.3689465000000016</v>
      </c>
      <c r="EY101" s="77">
        <f t="shared" si="140"/>
        <v>9.1777727999999996</v>
      </c>
      <c r="EZ101" s="214">
        <f t="shared" si="93"/>
        <v>11.2804</v>
      </c>
      <c r="FA101" s="158">
        <f t="shared" si="94"/>
        <v>11.2804</v>
      </c>
      <c r="FH101" s="174">
        <f t="shared" si="103"/>
        <v>53559.677611999999</v>
      </c>
      <c r="FJ101" s="87">
        <v>1.3324351633546652</v>
      </c>
      <c r="FK101" s="176">
        <f t="shared" si="104"/>
        <v>1.2397678814788762</v>
      </c>
      <c r="FM101" s="87" t="e">
        <f t="shared" si="105"/>
        <v>#DIV/0!</v>
      </c>
      <c r="FO101" s="88">
        <f t="shared" si="95"/>
        <v>53559.677611999999</v>
      </c>
      <c r="FP101" s="79">
        <f t="shared" si="96"/>
        <v>0</v>
      </c>
      <c r="FS101" s="79">
        <f t="shared" si="97"/>
        <v>32422.872460999992</v>
      </c>
      <c r="FT101" s="79">
        <f t="shared" si="98"/>
        <v>0</v>
      </c>
      <c r="FU101" s="79">
        <f t="shared" si="106"/>
        <v>1.6519103196801739</v>
      </c>
      <c r="FV101" s="79" t="e">
        <f t="shared" si="106"/>
        <v>#DIV/0!</v>
      </c>
      <c r="FY101" s="79">
        <f t="shared" si="107"/>
        <v>53559.677611999999</v>
      </c>
      <c r="FZ101" s="79">
        <f t="shared" si="108"/>
        <v>0</v>
      </c>
      <c r="GB101" s="178">
        <f t="shared" si="109"/>
        <v>4748.03</v>
      </c>
      <c r="GC101" s="178">
        <f t="shared" si="110"/>
        <v>0</v>
      </c>
      <c r="GG101" s="14">
        <v>8.8826999999999998</v>
      </c>
      <c r="GH101" s="175">
        <f t="shared" si="111"/>
        <v>1.2699291881972825</v>
      </c>
      <c r="GI101" s="14">
        <v>8.8826999999999998</v>
      </c>
      <c r="GJ101" s="175">
        <f t="shared" si="112"/>
        <v>1.2699291881972825</v>
      </c>
      <c r="GK101" s="175">
        <f t="shared" si="129"/>
        <v>0</v>
      </c>
      <c r="GN101" s="14">
        <v>11.025700000000001</v>
      </c>
      <c r="GO101" s="175">
        <f t="shared" si="113"/>
        <v>1.2412554741238588</v>
      </c>
      <c r="GP101" s="179">
        <f t="shared" si="114"/>
        <v>1.0231005741132082</v>
      </c>
      <c r="GQ101" s="14">
        <v>11.025700000000001</v>
      </c>
      <c r="GR101" s="175">
        <f t="shared" si="115"/>
        <v>1.2412554741238588</v>
      </c>
      <c r="GS101" s="175">
        <f t="shared" si="116"/>
        <v>1.0231005741132082</v>
      </c>
      <c r="GV101" s="32">
        <f t="shared" si="117"/>
        <v>53559.677611999999</v>
      </c>
      <c r="GW101" s="32">
        <f t="shared" si="118"/>
        <v>0</v>
      </c>
      <c r="GX101" s="180">
        <f t="shared" si="119"/>
        <v>53559.677611999999</v>
      </c>
      <c r="GZ101" s="32">
        <f t="shared" si="120"/>
        <v>11.2804</v>
      </c>
      <c r="HA101" s="32" t="e">
        <f t="shared" si="121"/>
        <v>#DIV/0!</v>
      </c>
      <c r="HB101" s="32">
        <f t="shared" si="122"/>
        <v>11.2804</v>
      </c>
    </row>
    <row r="102" spans="1:210" ht="19.2" customHeight="1" x14ac:dyDescent="0.3">
      <c r="A102" s="50">
        <v>94</v>
      </c>
      <c r="B102" s="51" t="s">
        <v>648</v>
      </c>
      <c r="C102" s="150" t="s">
        <v>638</v>
      </c>
      <c r="D102" s="52">
        <v>5</v>
      </c>
      <c r="E102" s="52">
        <v>4</v>
      </c>
      <c r="F102" s="63">
        <v>60</v>
      </c>
      <c r="G102" s="54" t="s">
        <v>86</v>
      </c>
      <c r="H102" s="181" t="s">
        <v>49</v>
      </c>
      <c r="I102" s="55">
        <f t="shared" si="99"/>
        <v>2891.9</v>
      </c>
      <c r="J102" s="55">
        <f t="shared" si="79"/>
        <v>0</v>
      </c>
      <c r="K102" s="55">
        <f t="shared" si="80"/>
        <v>0</v>
      </c>
      <c r="L102" s="56">
        <v>2891.9</v>
      </c>
      <c r="M102" s="56">
        <v>2891.9</v>
      </c>
      <c r="N102" s="56">
        <f t="shared" si="100"/>
        <v>2891.9</v>
      </c>
      <c r="O102" s="56">
        <v>0</v>
      </c>
      <c r="P102" s="56">
        <v>0</v>
      </c>
      <c r="Q102" s="55"/>
      <c r="R102" s="55">
        <v>2891.9</v>
      </c>
      <c r="S102" s="55"/>
      <c r="T102" s="55">
        <v>0</v>
      </c>
      <c r="U102" s="152">
        <v>2891.9</v>
      </c>
      <c r="V102" s="57">
        <v>0.15890000000000001</v>
      </c>
      <c r="W102" s="153">
        <v>8.8099999999999998E-2</v>
      </c>
      <c r="X102" s="57">
        <v>0.3261</v>
      </c>
      <c r="Y102" s="57">
        <v>7.4700000000000003E-2</v>
      </c>
      <c r="Z102" s="153">
        <v>2.76E-2</v>
      </c>
      <c r="AA102" s="57">
        <v>0.47560000000000002</v>
      </c>
      <c r="AB102" s="153">
        <v>0</v>
      </c>
      <c r="AC102" s="57">
        <v>0.63149999999999995</v>
      </c>
      <c r="AD102" s="57">
        <v>0.1641</v>
      </c>
      <c r="AE102" s="57">
        <v>0</v>
      </c>
      <c r="AF102" s="57">
        <v>1.6325000000000001</v>
      </c>
      <c r="AG102" s="57">
        <v>0.21060000000000001</v>
      </c>
      <c r="AH102" s="57">
        <v>0.31240000000000001</v>
      </c>
      <c r="AI102" s="153">
        <v>8.8300000000000003E-2</v>
      </c>
      <c r="AJ102" s="153">
        <v>0.1081</v>
      </c>
      <c r="AK102" s="153">
        <v>5.3699999999999998E-2</v>
      </c>
      <c r="AL102" s="57">
        <v>0.16400000000000001</v>
      </c>
      <c r="AM102" s="153">
        <v>3.27E-2</v>
      </c>
      <c r="AN102" s="57">
        <v>0</v>
      </c>
      <c r="AO102" s="153">
        <v>2.7258</v>
      </c>
      <c r="AP102" s="57">
        <v>1.2628999999999999</v>
      </c>
      <c r="AQ102" s="57">
        <v>9.0899999999999995E-2</v>
      </c>
      <c r="AR102" s="153">
        <v>0.59319999999999995</v>
      </c>
      <c r="AS102" s="57">
        <v>5.5399999999999998E-2</v>
      </c>
      <c r="AT102" s="57">
        <v>8.9999999999999993E-3</v>
      </c>
      <c r="AU102" s="153">
        <v>0.20219999999999999</v>
      </c>
      <c r="AV102" s="153">
        <v>0</v>
      </c>
      <c r="AW102" s="154">
        <v>9.4882999999999988</v>
      </c>
      <c r="AX102" s="58">
        <v>0.47439999999999999</v>
      </c>
      <c r="AY102" s="155">
        <f t="shared" si="81"/>
        <v>0.46989999999999998</v>
      </c>
      <c r="AZ102" s="155">
        <f t="shared" si="82"/>
        <v>4.500000000000004E-3</v>
      </c>
      <c r="BA102" s="14">
        <v>9.9626999999999981</v>
      </c>
      <c r="BB102" s="59">
        <f>BA102-'[1]Тариф 26 свод без  ПДВ'!AU102</f>
        <v>-5.5000000000013927E-3</v>
      </c>
      <c r="BC102" s="57">
        <v>0</v>
      </c>
      <c r="BD102" s="57">
        <v>0</v>
      </c>
      <c r="BE102" s="57">
        <v>0</v>
      </c>
      <c r="BF102" s="156">
        <v>9.4882999999999988</v>
      </c>
      <c r="BG102" s="59">
        <v>0.47439999999999999</v>
      </c>
      <c r="BH102" s="59"/>
      <c r="BI102" s="59"/>
      <c r="BJ102" s="14">
        <v>9.9626999999999981</v>
      </c>
      <c r="BK102" s="60"/>
      <c r="BL102" s="60">
        <v>4.7042000000000002</v>
      </c>
      <c r="BM102" s="60">
        <v>0.23519999999999999</v>
      </c>
      <c r="BN102" s="14">
        <v>4.9394</v>
      </c>
      <c r="BO102" s="14"/>
      <c r="BP102" s="157"/>
      <c r="BQ102" s="158">
        <f>BJ102-'[1]Тариф 26 свод без  ПДВ'!BG102</f>
        <v>-5.5000000000013927E-3</v>
      </c>
      <c r="BR102" s="77">
        <f>'[1]Тариф 26 свод без  ПДВ'!BG102</f>
        <v>9.9681999999999995</v>
      </c>
      <c r="BS102" s="159">
        <f t="shared" si="83"/>
        <v>-5.5000000000013927E-3</v>
      </c>
      <c r="BU102" s="77">
        <f>'[1]Тариф 26 свод без  ПДВ'!AU102</f>
        <v>9.9681999999999995</v>
      </c>
      <c r="BV102" s="159">
        <f t="shared" si="84"/>
        <v>-5.5000000000013927E-3</v>
      </c>
      <c r="BX102" s="95">
        <v>4.5619999999999994</v>
      </c>
      <c r="BY102" s="95">
        <v>4.5619999999999994</v>
      </c>
      <c r="BZ102" s="95"/>
      <c r="CA102" s="62">
        <f t="shared" si="85"/>
        <v>2.1838448049101271</v>
      </c>
      <c r="CB102" s="62">
        <f t="shared" si="86"/>
        <v>2.1838448049101271</v>
      </c>
      <c r="CI102" s="160">
        <f>'[1]0 СВОД'!AYY117</f>
        <v>28811.160608408467</v>
      </c>
      <c r="CJ102" s="77">
        <f t="shared" si="87"/>
        <v>345733.92730090162</v>
      </c>
      <c r="CM102" s="161">
        <v>100</v>
      </c>
      <c r="CN102" s="162" t="s">
        <v>649</v>
      </c>
      <c r="CO102" s="163">
        <v>5</v>
      </c>
      <c r="CP102" s="163">
        <v>4</v>
      </c>
      <c r="CQ102" s="164" t="s">
        <v>86</v>
      </c>
      <c r="CR102" s="165" t="s">
        <v>49</v>
      </c>
      <c r="CS102" s="166">
        <v>2882.8</v>
      </c>
      <c r="CT102" s="166">
        <v>0</v>
      </c>
      <c r="CU102" s="167">
        <v>0</v>
      </c>
      <c r="CV102" s="168">
        <v>2882.8</v>
      </c>
      <c r="CW102" s="166">
        <v>2882.8</v>
      </c>
      <c r="CX102" s="167">
        <v>0</v>
      </c>
      <c r="CY102" s="166">
        <v>0</v>
      </c>
      <c r="CZ102" s="166"/>
      <c r="DA102" s="166">
        <v>2882.8</v>
      </c>
      <c r="DB102" s="166"/>
      <c r="DC102" s="166">
        <v>0</v>
      </c>
      <c r="DD102" s="59">
        <v>0.15640000000000001</v>
      </c>
      <c r="DE102" s="59">
        <v>0.14360000000000001</v>
      </c>
      <c r="DF102" s="59">
        <v>0.215</v>
      </c>
      <c r="DG102" s="59">
        <v>4.41E-2</v>
      </c>
      <c r="DH102" s="59">
        <v>1.04E-2</v>
      </c>
      <c r="DI102" s="59">
        <v>0.20760000000000001</v>
      </c>
      <c r="DJ102" s="59">
        <v>4.8099999999999997E-2</v>
      </c>
      <c r="DK102" s="59">
        <v>0.3458</v>
      </c>
      <c r="DL102" s="169">
        <v>0</v>
      </c>
      <c r="DM102" s="59">
        <v>0.1002</v>
      </c>
      <c r="DN102" s="169">
        <v>0</v>
      </c>
      <c r="DO102" s="170">
        <v>1.0638999999999998</v>
      </c>
      <c r="DP102" s="171">
        <f t="shared" si="88"/>
        <v>1.6325000000000001</v>
      </c>
      <c r="DQ102" s="59">
        <v>0.1017</v>
      </c>
      <c r="DR102" s="59">
        <v>0.1875</v>
      </c>
      <c r="DS102" s="59">
        <v>2.3099999999999999E-2</v>
      </c>
      <c r="DT102" s="59">
        <v>5.0999999999999997E-2</v>
      </c>
      <c r="DU102" s="59">
        <v>2.2700000000000001E-2</v>
      </c>
      <c r="DV102" s="59">
        <v>5.7299999999999997E-2</v>
      </c>
      <c r="DW102" s="59">
        <v>8.8000000000000005E-3</v>
      </c>
      <c r="DX102" s="169">
        <v>0</v>
      </c>
      <c r="DY102" s="170">
        <v>1.3466</v>
      </c>
      <c r="DZ102" s="171">
        <f t="shared" si="89"/>
        <v>2.0242091192633298</v>
      </c>
      <c r="EA102" s="59">
        <v>0.75880000000000003</v>
      </c>
      <c r="EB102" s="171">
        <f t="shared" si="90"/>
        <v>1.784132841328413</v>
      </c>
      <c r="EC102" s="59">
        <v>0.2994</v>
      </c>
      <c r="ED102" s="171">
        <f t="shared" si="91"/>
        <v>1.9812959251837006</v>
      </c>
      <c r="EE102" s="59">
        <v>4.2500000000000003E-2</v>
      </c>
      <c r="EF102" s="59">
        <v>5.8999999999999999E-3</v>
      </c>
      <c r="EG102" s="59">
        <v>0.13619999999999999</v>
      </c>
      <c r="EH102" s="59">
        <v>0</v>
      </c>
      <c r="EI102" s="208">
        <v>0.13439999999999999</v>
      </c>
      <c r="EJ102" s="172">
        <v>5.5110000000000001</v>
      </c>
      <c r="EK102" s="173"/>
      <c r="EL102" s="169">
        <v>0</v>
      </c>
      <c r="EM102" s="169">
        <v>0</v>
      </c>
      <c r="EN102" s="59"/>
      <c r="EO102" s="172"/>
      <c r="ES102" s="57">
        <f t="shared" si="101"/>
        <v>5.5110000000000001</v>
      </c>
      <c r="ET102" s="57">
        <f t="shared" si="102"/>
        <v>0</v>
      </c>
      <c r="EU102" s="31"/>
      <c r="EV102" s="61">
        <f t="shared" si="92"/>
        <v>1.8077844311377242</v>
      </c>
      <c r="EW102" s="62"/>
      <c r="EX102" s="158">
        <f t="shared" si="139"/>
        <v>-2.7708449999999987</v>
      </c>
      <c r="EY102" s="77">
        <f t="shared" si="140"/>
        <v>7.4067840000000009</v>
      </c>
      <c r="EZ102" s="158">
        <f t="shared" si="93"/>
        <v>9.9626999999999981</v>
      </c>
      <c r="FA102" s="158">
        <f t="shared" si="94"/>
        <v>9.9626999999999981</v>
      </c>
      <c r="FH102" s="174">
        <f t="shared" si="103"/>
        <v>28811.132129999995</v>
      </c>
      <c r="FJ102" s="87">
        <v>1.4031754672473236</v>
      </c>
      <c r="FK102" s="176">
        <f t="shared" si="104"/>
        <v>1.2883523645721524</v>
      </c>
      <c r="FM102" s="87" t="e">
        <f t="shared" si="105"/>
        <v>#DIV/0!</v>
      </c>
      <c r="FO102" s="88">
        <f t="shared" si="95"/>
        <v>28811.132129999995</v>
      </c>
      <c r="FP102" s="79">
        <f t="shared" si="96"/>
        <v>0</v>
      </c>
      <c r="FS102" s="79">
        <f t="shared" si="97"/>
        <v>15937.260900000001</v>
      </c>
      <c r="FT102" s="79">
        <f t="shared" si="98"/>
        <v>0</v>
      </c>
      <c r="FU102" s="79">
        <f t="shared" si="106"/>
        <v>1.807784431137724</v>
      </c>
      <c r="FV102" s="79" t="e">
        <f t="shared" si="106"/>
        <v>#DIV/0!</v>
      </c>
      <c r="FY102" s="79">
        <f t="shared" si="107"/>
        <v>28811.132129999995</v>
      </c>
      <c r="FZ102" s="79">
        <f t="shared" si="108"/>
        <v>0</v>
      </c>
      <c r="GB102" s="178">
        <f t="shared" si="109"/>
        <v>2891.9</v>
      </c>
      <c r="GC102" s="178">
        <f t="shared" si="110"/>
        <v>0</v>
      </c>
      <c r="GG102" s="14">
        <v>7.8451000000000004</v>
      </c>
      <c r="GH102" s="175">
        <f t="shared" si="111"/>
        <v>1.2699264509056605</v>
      </c>
      <c r="GI102" s="14">
        <v>7.8451000000000004</v>
      </c>
      <c r="GJ102" s="175">
        <f t="shared" si="112"/>
        <v>1.2699264509056605</v>
      </c>
      <c r="GK102" s="175">
        <f t="shared" si="129"/>
        <v>0</v>
      </c>
      <c r="GN102" s="14">
        <v>10.295500000000002</v>
      </c>
      <c r="GO102" s="175">
        <f t="shared" si="113"/>
        <v>1.312347834954303</v>
      </c>
      <c r="GP102" s="179">
        <f t="shared" si="114"/>
        <v>0.96767519790199563</v>
      </c>
      <c r="GQ102" s="14">
        <v>10.295500000000002</v>
      </c>
      <c r="GR102" s="175">
        <f t="shared" si="115"/>
        <v>1.312347834954303</v>
      </c>
      <c r="GS102" s="175">
        <f t="shared" si="116"/>
        <v>0.96767519790199563</v>
      </c>
      <c r="GV102" s="32">
        <f t="shared" si="117"/>
        <v>28811.132129999995</v>
      </c>
      <c r="GW102" s="32">
        <f t="shared" si="118"/>
        <v>0</v>
      </c>
      <c r="GX102" s="180">
        <f t="shared" si="119"/>
        <v>28811.132129999995</v>
      </c>
      <c r="GZ102" s="32">
        <f t="shared" si="120"/>
        <v>9.9626999999999981</v>
      </c>
      <c r="HA102" s="32" t="e">
        <f t="shared" si="121"/>
        <v>#DIV/0!</v>
      </c>
      <c r="HB102" s="32">
        <f t="shared" si="122"/>
        <v>9.9626999999999981</v>
      </c>
    </row>
    <row r="103" spans="1:210" ht="19.2" customHeight="1" x14ac:dyDescent="0.3">
      <c r="A103" s="50">
        <v>95</v>
      </c>
      <c r="B103" s="51" t="s">
        <v>650</v>
      </c>
      <c r="C103" s="150" t="s">
        <v>638</v>
      </c>
      <c r="D103" s="52">
        <v>5</v>
      </c>
      <c r="E103" s="52">
        <v>6</v>
      </c>
      <c r="F103" s="63">
        <v>90</v>
      </c>
      <c r="G103" s="54" t="s">
        <v>87</v>
      </c>
      <c r="H103" s="181" t="s">
        <v>49</v>
      </c>
      <c r="I103" s="55">
        <f t="shared" si="99"/>
        <v>4480.54</v>
      </c>
      <c r="J103" s="55">
        <f t="shared" si="79"/>
        <v>0</v>
      </c>
      <c r="K103" s="55">
        <f t="shared" si="80"/>
        <v>0</v>
      </c>
      <c r="L103" s="56">
        <v>4480.54</v>
      </c>
      <c r="M103" s="56">
        <v>4480.54</v>
      </c>
      <c r="N103" s="56">
        <f t="shared" si="100"/>
        <v>4480.54</v>
      </c>
      <c r="O103" s="56">
        <v>0</v>
      </c>
      <c r="P103" s="56">
        <v>0</v>
      </c>
      <c r="Q103" s="55"/>
      <c r="R103" s="55">
        <v>4480.54</v>
      </c>
      <c r="S103" s="55"/>
      <c r="T103" s="55">
        <v>0</v>
      </c>
      <c r="U103" s="152">
        <v>4480.54</v>
      </c>
      <c r="V103" s="57">
        <v>0.1515</v>
      </c>
      <c r="W103" s="153">
        <v>8.4500000000000006E-2</v>
      </c>
      <c r="X103" s="57">
        <v>0.33029999999999998</v>
      </c>
      <c r="Y103" s="57">
        <v>0</v>
      </c>
      <c r="Z103" s="153">
        <v>3.1199999999999999E-2</v>
      </c>
      <c r="AA103" s="57">
        <v>0.5847</v>
      </c>
      <c r="AB103" s="153">
        <v>0</v>
      </c>
      <c r="AC103" s="57">
        <v>0.62080000000000002</v>
      </c>
      <c r="AD103" s="57">
        <v>0.28589999999999999</v>
      </c>
      <c r="AE103" s="57">
        <v>0</v>
      </c>
      <c r="AF103" s="57">
        <v>2.1415999999999999</v>
      </c>
      <c r="AG103" s="57">
        <v>0.2044</v>
      </c>
      <c r="AH103" s="57">
        <v>0.29949999999999999</v>
      </c>
      <c r="AI103" s="153">
        <v>9.1200000000000003E-2</v>
      </c>
      <c r="AJ103" s="153">
        <v>0</v>
      </c>
      <c r="AK103" s="153">
        <v>6.0699999999999997E-2</v>
      </c>
      <c r="AL103" s="57">
        <v>0.2203</v>
      </c>
      <c r="AM103" s="153">
        <v>3.2199999999999999E-2</v>
      </c>
      <c r="AN103" s="57">
        <v>0</v>
      </c>
      <c r="AO103" s="153">
        <v>2.7978000000000001</v>
      </c>
      <c r="AP103" s="57">
        <v>1.0450999999999999</v>
      </c>
      <c r="AQ103" s="57">
        <v>8.5599999999999996E-2</v>
      </c>
      <c r="AR103" s="153">
        <v>0.60550000000000004</v>
      </c>
      <c r="AS103" s="57">
        <v>4.9599999999999998E-2</v>
      </c>
      <c r="AT103" s="57">
        <v>8.0999999999999996E-3</v>
      </c>
      <c r="AU103" s="153">
        <v>0.2079</v>
      </c>
      <c r="AV103" s="153">
        <v>0</v>
      </c>
      <c r="AW103" s="154">
        <v>9.9383999999999979</v>
      </c>
      <c r="AX103" s="58">
        <v>0.49690000000000001</v>
      </c>
      <c r="AY103" s="155">
        <f t="shared" si="81"/>
        <v>0.49259999999999998</v>
      </c>
      <c r="AZ103" s="155">
        <f t="shared" si="82"/>
        <v>4.300000000000026E-3</v>
      </c>
      <c r="BA103" s="14">
        <v>10.435299999999998</v>
      </c>
      <c r="BB103" s="59">
        <f>BA103-'[1]Тариф 26 свод без  ПДВ'!AU103</f>
        <v>4.8999999999974619E-3</v>
      </c>
      <c r="BC103" s="57">
        <v>0</v>
      </c>
      <c r="BD103" s="57">
        <v>0</v>
      </c>
      <c r="BE103" s="57">
        <v>0</v>
      </c>
      <c r="BF103" s="156">
        <v>9.9383999999999979</v>
      </c>
      <c r="BG103" s="59">
        <v>0.49690000000000001</v>
      </c>
      <c r="BH103" s="59"/>
      <c r="BI103" s="59"/>
      <c r="BJ103" s="14">
        <v>10.435299999999998</v>
      </c>
      <c r="BK103" s="60"/>
      <c r="BL103" s="60">
        <v>5.282099999999998</v>
      </c>
      <c r="BM103" s="60">
        <v>0.2641</v>
      </c>
      <c r="BN103" s="14">
        <v>5.546199999999998</v>
      </c>
      <c r="BO103" s="14"/>
      <c r="BP103" s="157"/>
      <c r="BQ103" s="158">
        <f>BJ103-'[1]Тариф 26 свод без  ПДВ'!BG103</f>
        <v>4.8999999999974619E-3</v>
      </c>
      <c r="BR103" s="77">
        <f>'[1]Тариф 26 свод без  ПДВ'!BG103</f>
        <v>10.430400000000001</v>
      </c>
      <c r="BS103" s="159">
        <f t="shared" si="83"/>
        <v>4.8999999999974619E-3</v>
      </c>
      <c r="BU103" s="77">
        <f>'[1]Тариф 26 свод без  ПДВ'!AU103</f>
        <v>10.430400000000001</v>
      </c>
      <c r="BV103" s="159">
        <f t="shared" si="84"/>
        <v>4.8999999999974619E-3</v>
      </c>
      <c r="BX103" s="95">
        <v>4.2480000000000002</v>
      </c>
      <c r="BY103" s="95">
        <v>4.2480000000000002</v>
      </c>
      <c r="BZ103" s="95"/>
      <c r="CA103" s="62">
        <f t="shared" si="85"/>
        <v>2.4565207156308846</v>
      </c>
      <c r="CB103" s="62">
        <f t="shared" si="86"/>
        <v>2.4565207156308846</v>
      </c>
      <c r="CI103" s="160">
        <f>'[1]0 СВОД'!AYY118</f>
        <v>46754.990204669419</v>
      </c>
      <c r="CJ103" s="77">
        <f t="shared" si="87"/>
        <v>561059.88245603302</v>
      </c>
      <c r="CM103" s="161">
        <v>101</v>
      </c>
      <c r="CN103" s="183" t="s">
        <v>651</v>
      </c>
      <c r="CO103" s="163">
        <v>5</v>
      </c>
      <c r="CP103" s="163">
        <v>6</v>
      </c>
      <c r="CQ103" s="164" t="s">
        <v>87</v>
      </c>
      <c r="CR103" s="165" t="s">
        <v>49</v>
      </c>
      <c r="CS103" s="166">
        <v>4475.84</v>
      </c>
      <c r="CT103" s="166">
        <v>0</v>
      </c>
      <c r="CU103" s="167">
        <v>0</v>
      </c>
      <c r="CV103" s="168">
        <v>4475.84</v>
      </c>
      <c r="CW103" s="166">
        <v>4475.84</v>
      </c>
      <c r="CX103" s="167">
        <v>0</v>
      </c>
      <c r="CY103" s="166">
        <v>0</v>
      </c>
      <c r="CZ103" s="166"/>
      <c r="DA103" s="166">
        <v>4475.84</v>
      </c>
      <c r="DB103" s="166"/>
      <c r="DC103" s="166">
        <v>0</v>
      </c>
      <c r="DD103" s="59">
        <v>0.1489</v>
      </c>
      <c r="DE103" s="59">
        <v>0.13739999999999999</v>
      </c>
      <c r="DF103" s="59">
        <v>0.21740000000000001</v>
      </c>
      <c r="DG103" s="59">
        <v>0</v>
      </c>
      <c r="DH103" s="59">
        <v>1.17E-2</v>
      </c>
      <c r="DI103" s="59">
        <v>0.25219999999999998</v>
      </c>
      <c r="DJ103" s="59">
        <v>4.8099999999999997E-2</v>
      </c>
      <c r="DK103" s="59">
        <v>0.33839999999999998</v>
      </c>
      <c r="DL103" s="169">
        <v>0</v>
      </c>
      <c r="DM103" s="59">
        <v>0.15479999999999999</v>
      </c>
      <c r="DN103" s="169">
        <v>0</v>
      </c>
      <c r="DO103" s="184">
        <v>1.4928000000000001</v>
      </c>
      <c r="DP103" s="171">
        <f t="shared" si="88"/>
        <v>2.1415999999999999</v>
      </c>
      <c r="DQ103" s="59">
        <v>9.6500000000000002E-2</v>
      </c>
      <c r="DR103" s="59">
        <v>0.1794</v>
      </c>
      <c r="DS103" s="59">
        <v>2.3800000000000002E-2</v>
      </c>
      <c r="DT103" s="59">
        <v>0</v>
      </c>
      <c r="DU103" s="59">
        <v>2.5600000000000001E-2</v>
      </c>
      <c r="DV103" s="59">
        <v>7.1900000000000006E-2</v>
      </c>
      <c r="DW103" s="59">
        <v>8.5000000000000006E-3</v>
      </c>
      <c r="DX103" s="169">
        <v>0</v>
      </c>
      <c r="DY103" s="59">
        <v>1.4658</v>
      </c>
      <c r="DZ103" s="171">
        <f t="shared" si="89"/>
        <v>1.9087187883749488</v>
      </c>
      <c r="EA103" s="59">
        <v>0.6321</v>
      </c>
      <c r="EB103" s="171">
        <f t="shared" si="90"/>
        <v>1.7887992406264828</v>
      </c>
      <c r="EC103" s="59">
        <v>0.36099999999999999</v>
      </c>
      <c r="ED103" s="171">
        <f t="shared" si="91"/>
        <v>1.6772853185595569</v>
      </c>
      <c r="EE103" s="59">
        <v>3.7999999999999999E-2</v>
      </c>
      <c r="EF103" s="59">
        <v>5.3E-3</v>
      </c>
      <c r="EG103" s="59">
        <v>0.15049999999999999</v>
      </c>
      <c r="EH103" s="59">
        <v>0</v>
      </c>
      <c r="EI103" s="208">
        <v>0.14649999999999999</v>
      </c>
      <c r="EJ103" s="172">
        <v>6.0066000000000006</v>
      </c>
      <c r="EK103" s="173"/>
      <c r="EL103" s="169">
        <v>0</v>
      </c>
      <c r="EM103" s="169">
        <v>0</v>
      </c>
      <c r="EN103" s="59"/>
      <c r="EO103" s="172"/>
      <c r="ES103" s="57">
        <f t="shared" si="101"/>
        <v>6.0066000000000006</v>
      </c>
      <c r="ET103" s="57">
        <f t="shared" si="102"/>
        <v>0</v>
      </c>
      <c r="EU103" s="31"/>
      <c r="EV103" s="65">
        <f t="shared" si="92"/>
        <v>1.7373056304731458</v>
      </c>
      <c r="EW103" s="61"/>
      <c r="EX103" s="158">
        <f t="shared" si="139"/>
        <v>-2.5966869999999975</v>
      </c>
      <c r="EY103" s="77">
        <f t="shared" si="140"/>
        <v>8.0728704000000011</v>
      </c>
      <c r="EZ103" s="158">
        <f t="shared" si="93"/>
        <v>10.435299999999998</v>
      </c>
      <c r="FA103" s="158">
        <f t="shared" si="94"/>
        <v>10.435299999999998</v>
      </c>
      <c r="FH103" s="174">
        <f t="shared" si="103"/>
        <v>46755.779061999994</v>
      </c>
      <c r="FJ103" s="87">
        <v>1.2436153564412478</v>
      </c>
      <c r="FK103" s="176">
        <f t="shared" si="104"/>
        <v>1.396979879248718</v>
      </c>
      <c r="FM103" s="87" t="e">
        <f t="shared" si="105"/>
        <v>#DIV/0!</v>
      </c>
      <c r="FO103" s="88">
        <f t="shared" si="95"/>
        <v>46755.779061999994</v>
      </c>
      <c r="FP103" s="79">
        <f t="shared" si="96"/>
        <v>0</v>
      </c>
      <c r="FS103" s="79">
        <f t="shared" si="97"/>
        <v>26912.811564000003</v>
      </c>
      <c r="FT103" s="79">
        <f t="shared" si="98"/>
        <v>0</v>
      </c>
      <c r="FU103" s="79">
        <f t="shared" si="106"/>
        <v>1.7373056304731458</v>
      </c>
      <c r="FV103" s="79" t="e">
        <f t="shared" si="106"/>
        <v>#DIV/0!</v>
      </c>
      <c r="FY103" s="79">
        <f t="shared" si="107"/>
        <v>46755.779061999994</v>
      </c>
      <c r="FZ103" s="79">
        <f t="shared" si="108"/>
        <v>0</v>
      </c>
      <c r="GB103" s="178">
        <f t="shared" si="109"/>
        <v>4480.54</v>
      </c>
      <c r="GC103" s="178">
        <f t="shared" si="110"/>
        <v>0</v>
      </c>
      <c r="GG103" s="14">
        <v>8.2173999999999996</v>
      </c>
      <c r="GH103" s="175">
        <f t="shared" si="111"/>
        <v>1.2699028889916517</v>
      </c>
      <c r="GI103" s="14">
        <v>8.2173999999999996</v>
      </c>
      <c r="GJ103" s="175">
        <f t="shared" si="112"/>
        <v>1.2699028889916517</v>
      </c>
      <c r="GK103" s="175">
        <f t="shared" si="129"/>
        <v>0</v>
      </c>
      <c r="GN103" s="14">
        <v>10.839999999999996</v>
      </c>
      <c r="GO103" s="175">
        <f t="shared" si="113"/>
        <v>1.3191520432253507</v>
      </c>
      <c r="GP103" s="179">
        <f t="shared" si="114"/>
        <v>0.96266605166051678</v>
      </c>
      <c r="GQ103" s="14">
        <v>10.839999999999996</v>
      </c>
      <c r="GR103" s="175">
        <f t="shared" si="115"/>
        <v>1.3191520432253507</v>
      </c>
      <c r="GS103" s="175">
        <f t="shared" si="116"/>
        <v>0.96266605166051678</v>
      </c>
      <c r="GV103" s="32">
        <f t="shared" si="117"/>
        <v>46755.779061999994</v>
      </c>
      <c r="GW103" s="32">
        <f t="shared" si="118"/>
        <v>0</v>
      </c>
      <c r="GX103" s="180">
        <f t="shared" si="119"/>
        <v>46755.779061999994</v>
      </c>
      <c r="GZ103" s="32">
        <f t="shared" si="120"/>
        <v>10.435299999999998</v>
      </c>
      <c r="HA103" s="32" t="e">
        <f t="shared" si="121"/>
        <v>#DIV/0!</v>
      </c>
      <c r="HB103" s="32">
        <f t="shared" si="122"/>
        <v>10.435299999999998</v>
      </c>
    </row>
    <row r="104" spans="1:210" ht="19.2" customHeight="1" x14ac:dyDescent="0.3">
      <c r="A104" s="50">
        <v>96</v>
      </c>
      <c r="B104" s="51" t="s">
        <v>652</v>
      </c>
      <c r="C104" s="150" t="s">
        <v>638</v>
      </c>
      <c r="D104" s="52">
        <v>5</v>
      </c>
      <c r="E104" s="52">
        <v>4</v>
      </c>
      <c r="F104" s="63">
        <v>59</v>
      </c>
      <c r="G104" s="54" t="s">
        <v>88</v>
      </c>
      <c r="H104" s="181" t="s">
        <v>49</v>
      </c>
      <c r="I104" s="55">
        <f t="shared" si="99"/>
        <v>2677.1</v>
      </c>
      <c r="J104" s="55">
        <f t="shared" si="79"/>
        <v>0</v>
      </c>
      <c r="K104" s="55">
        <f t="shared" si="80"/>
        <v>60</v>
      </c>
      <c r="L104" s="56">
        <v>2737.1</v>
      </c>
      <c r="M104" s="56">
        <v>2677.1</v>
      </c>
      <c r="N104" s="56">
        <f t="shared" si="100"/>
        <v>2677.1</v>
      </c>
      <c r="O104" s="56">
        <v>60</v>
      </c>
      <c r="P104" s="56">
        <v>0</v>
      </c>
      <c r="Q104" s="55"/>
      <c r="R104" s="55">
        <v>2737.1</v>
      </c>
      <c r="S104" s="55"/>
      <c r="T104" s="55">
        <v>0</v>
      </c>
      <c r="U104" s="152">
        <v>2737.1</v>
      </c>
      <c r="V104" s="57">
        <v>0.1653</v>
      </c>
      <c r="W104" s="153">
        <v>9.3100000000000002E-2</v>
      </c>
      <c r="X104" s="57">
        <v>0.3246</v>
      </c>
      <c r="Y104" s="57">
        <v>7.4099999999999999E-2</v>
      </c>
      <c r="Z104" s="153">
        <v>3.0700000000000002E-2</v>
      </c>
      <c r="AA104" s="57">
        <v>0.48559999999999998</v>
      </c>
      <c r="AB104" s="153">
        <v>0</v>
      </c>
      <c r="AC104" s="57">
        <v>0.63149999999999995</v>
      </c>
      <c r="AD104" s="57">
        <v>0.17330000000000001</v>
      </c>
      <c r="AE104" s="57">
        <v>0</v>
      </c>
      <c r="AF104" s="57">
        <v>2.5390999999999999</v>
      </c>
      <c r="AG104" s="57">
        <v>0.22459999999999999</v>
      </c>
      <c r="AH104" s="57">
        <v>0.33929999999999999</v>
      </c>
      <c r="AI104" s="153">
        <v>8.7599999999999997E-2</v>
      </c>
      <c r="AJ104" s="153">
        <v>0.1021</v>
      </c>
      <c r="AK104" s="153">
        <v>5.96E-2</v>
      </c>
      <c r="AL104" s="57">
        <v>0.1734</v>
      </c>
      <c r="AM104" s="153">
        <v>3.3700000000000001E-2</v>
      </c>
      <c r="AN104" s="57">
        <v>0</v>
      </c>
      <c r="AO104" s="153">
        <v>1.7231000000000001</v>
      </c>
      <c r="AP104" s="57">
        <v>1.1539999999999999</v>
      </c>
      <c r="AQ104" s="57">
        <v>9.2700000000000005E-2</v>
      </c>
      <c r="AR104" s="153">
        <v>0.61250000000000004</v>
      </c>
      <c r="AS104" s="57">
        <v>5.8500000000000003E-2</v>
      </c>
      <c r="AT104" s="57">
        <v>9.4999999999999998E-3</v>
      </c>
      <c r="AU104" s="153">
        <v>0.33829999999999999</v>
      </c>
      <c r="AV104" s="153">
        <v>0</v>
      </c>
      <c r="AW104" s="154">
        <v>9.5261999999999993</v>
      </c>
      <c r="AX104" s="58">
        <v>0.4763</v>
      </c>
      <c r="AY104" s="155">
        <f t="shared" si="81"/>
        <v>0.47170000000000001</v>
      </c>
      <c r="AZ104" s="155">
        <f t="shared" si="82"/>
        <v>4.599999999999993E-3</v>
      </c>
      <c r="BA104" s="14">
        <v>10.0025</v>
      </c>
      <c r="BB104" s="59">
        <f>BA104-'[1]Тариф 26 свод без  ПДВ'!AU104</f>
        <v>-3.8000000000000256E-3</v>
      </c>
      <c r="BC104" s="57">
        <v>0</v>
      </c>
      <c r="BD104" s="57">
        <v>0</v>
      </c>
      <c r="BE104" s="57">
        <v>0</v>
      </c>
      <c r="BF104" s="156">
        <v>9.5261999999999993</v>
      </c>
      <c r="BG104" s="59">
        <v>0.4763</v>
      </c>
      <c r="BH104" s="59"/>
      <c r="BI104" s="59"/>
      <c r="BJ104" s="14">
        <v>10.0025</v>
      </c>
      <c r="BK104" s="60"/>
      <c r="BL104" s="60">
        <v>5.6982999999999979</v>
      </c>
      <c r="BM104" s="60">
        <v>0.28489999999999999</v>
      </c>
      <c r="BN104" s="14">
        <v>5.9831999999999983</v>
      </c>
      <c r="BO104" s="14"/>
      <c r="BP104" s="157"/>
      <c r="BQ104" s="158">
        <f>BJ104-'[1]Тариф 26 свод без  ПДВ'!BG104</f>
        <v>-3.8000000000000256E-3</v>
      </c>
      <c r="BR104" s="77">
        <f>'[1]Тариф 26 свод без  ПДВ'!BG104</f>
        <v>10.0063</v>
      </c>
      <c r="BS104" s="159">
        <f t="shared" si="83"/>
        <v>-3.8000000000000256E-3</v>
      </c>
      <c r="BU104" s="77">
        <f>'[1]Тариф 26 свод без  ПДВ'!AU104</f>
        <v>10.0063</v>
      </c>
      <c r="BV104" s="159">
        <f t="shared" si="84"/>
        <v>-3.8000000000000256E-3</v>
      </c>
      <c r="BX104" s="95">
        <v>4.1037999999999997</v>
      </c>
      <c r="BY104" s="95">
        <v>5.8955000000000002</v>
      </c>
      <c r="BZ104" s="95"/>
      <c r="CA104" s="182">
        <f t="shared" si="85"/>
        <v>2.4373751157463817</v>
      </c>
      <c r="CB104" s="182">
        <f t="shared" si="86"/>
        <v>1.6966330251887032</v>
      </c>
      <c r="CD104" s="160">
        <f>L104-CE104</f>
        <v>2737.1</v>
      </c>
      <c r="CE104" s="160">
        <f>T104</f>
        <v>0</v>
      </c>
      <c r="CF104" s="77">
        <f>CD104*BA104</f>
        <v>27377.842749999996</v>
      </c>
      <c r="CG104" s="77">
        <f>BJ104*CE104</f>
        <v>0</v>
      </c>
      <c r="CI104" s="160">
        <f>'[1]0 СВОД'!AYY119</f>
        <v>27136.765328789632</v>
      </c>
      <c r="CJ104" s="77">
        <f t="shared" si="87"/>
        <v>325641.18394547561</v>
      </c>
      <c r="CM104" s="161">
        <v>102</v>
      </c>
      <c r="CN104" s="162" t="s">
        <v>653</v>
      </c>
      <c r="CO104" s="163">
        <v>5</v>
      </c>
      <c r="CP104" s="163">
        <v>4</v>
      </c>
      <c r="CQ104" s="164" t="s">
        <v>88</v>
      </c>
      <c r="CR104" s="165" t="s">
        <v>49</v>
      </c>
      <c r="CS104" s="166">
        <v>2672.6000000000004</v>
      </c>
      <c r="CT104" s="166">
        <v>0</v>
      </c>
      <c r="CU104" s="167">
        <v>61.7</v>
      </c>
      <c r="CV104" s="168">
        <v>2734.3</v>
      </c>
      <c r="CW104" s="166">
        <v>2672.6000000000004</v>
      </c>
      <c r="CX104" s="167">
        <v>61.7</v>
      </c>
      <c r="CY104" s="166">
        <v>-1.8474111129762605E-13</v>
      </c>
      <c r="CZ104" s="166"/>
      <c r="DA104" s="166">
        <v>2734.3</v>
      </c>
      <c r="DB104" s="166"/>
      <c r="DC104" s="166">
        <v>0</v>
      </c>
      <c r="DD104" s="59">
        <v>0.16450000000000001</v>
      </c>
      <c r="DE104" s="59">
        <v>0.1701</v>
      </c>
      <c r="DF104" s="59">
        <v>0.21360000000000001</v>
      </c>
      <c r="DG104" s="59">
        <v>4.36E-2</v>
      </c>
      <c r="DH104" s="59">
        <v>1.15E-2</v>
      </c>
      <c r="DI104" s="59">
        <v>0.21160000000000001</v>
      </c>
      <c r="DJ104" s="59">
        <v>4.8099999999999997E-2</v>
      </c>
      <c r="DK104" s="59">
        <v>0.3458</v>
      </c>
      <c r="DL104" s="169">
        <v>0</v>
      </c>
      <c r="DM104" s="59">
        <v>0.1056</v>
      </c>
      <c r="DN104" s="169">
        <v>0</v>
      </c>
      <c r="DO104" s="170">
        <v>1.3179999999999998</v>
      </c>
      <c r="DP104" s="171">
        <f t="shared" si="88"/>
        <v>2.5390999999999999</v>
      </c>
      <c r="DQ104" s="59">
        <v>0.10829999999999999</v>
      </c>
      <c r="DR104" s="59">
        <v>0.22209999999999999</v>
      </c>
      <c r="DS104" s="59">
        <v>2.2800000000000001E-2</v>
      </c>
      <c r="DT104" s="59">
        <v>4.8099999999999997E-2</v>
      </c>
      <c r="DU104" s="59">
        <v>2.52E-2</v>
      </c>
      <c r="DV104" s="59">
        <v>6.0400000000000002E-2</v>
      </c>
      <c r="DW104" s="59">
        <v>9.2999999999999992E-3</v>
      </c>
      <c r="DX104" s="169">
        <v>0</v>
      </c>
      <c r="DY104" s="59">
        <v>0.9325</v>
      </c>
      <c r="DZ104" s="171">
        <f t="shared" si="89"/>
        <v>1.8478284182305631</v>
      </c>
      <c r="EA104" s="59">
        <v>0.69879999999999998</v>
      </c>
      <c r="EB104" s="171">
        <f t="shared" si="90"/>
        <v>1.7840583858042358</v>
      </c>
      <c r="EC104" s="59">
        <v>0.38</v>
      </c>
      <c r="ED104" s="171">
        <f t="shared" si="91"/>
        <v>1.611842105263158</v>
      </c>
      <c r="EE104" s="59">
        <v>4.48E-2</v>
      </c>
      <c r="EF104" s="59">
        <v>6.1999999999999998E-3</v>
      </c>
      <c r="EG104" s="59">
        <v>0.24199999999999999</v>
      </c>
      <c r="EH104" s="59">
        <v>0</v>
      </c>
      <c r="EI104" s="208">
        <v>0.1358</v>
      </c>
      <c r="EJ104" s="172">
        <v>5.5686999999999998</v>
      </c>
      <c r="EK104" s="173"/>
      <c r="EL104" s="169">
        <v>0</v>
      </c>
      <c r="EM104" s="169">
        <v>0</v>
      </c>
      <c r="EN104" s="59"/>
      <c r="EO104" s="172"/>
      <c r="ES104" s="57">
        <f t="shared" si="101"/>
        <v>5.5686999999999998</v>
      </c>
      <c r="ET104" s="57">
        <f t="shared" si="102"/>
        <v>0</v>
      </c>
      <c r="EU104" s="31"/>
      <c r="EV104" s="61">
        <f t="shared" si="92"/>
        <v>1.7962001903496327</v>
      </c>
      <c r="EW104" s="62"/>
      <c r="EX104" s="158">
        <f t="shared" si="139"/>
        <v>-2.7353465000000003</v>
      </c>
      <c r="EY104" s="77">
        <f t="shared" si="140"/>
        <v>7.4843327999999998</v>
      </c>
      <c r="EZ104" s="158">
        <f t="shared" si="93"/>
        <v>10.0025</v>
      </c>
      <c r="FA104" s="158">
        <f t="shared" si="94"/>
        <v>10.0025</v>
      </c>
      <c r="FH104" s="174">
        <f t="shared" si="103"/>
        <v>27377.842749999996</v>
      </c>
      <c r="FJ104" s="87">
        <v>1.3593298256325537</v>
      </c>
      <c r="FK104" s="176">
        <f t="shared" si="104"/>
        <v>1.3213865807099354</v>
      </c>
      <c r="FM104" s="87" t="e">
        <f t="shared" si="105"/>
        <v>#DIV/0!</v>
      </c>
      <c r="FO104" s="88">
        <f t="shared" si="95"/>
        <v>27377.842749999996</v>
      </c>
      <c r="FP104" s="79">
        <f t="shared" si="96"/>
        <v>0</v>
      </c>
      <c r="FS104" s="79">
        <f t="shared" si="97"/>
        <v>15242.088769999998</v>
      </c>
      <c r="FT104" s="79">
        <f t="shared" si="98"/>
        <v>0</v>
      </c>
      <c r="FU104" s="79">
        <f t="shared" si="106"/>
        <v>1.7962001903496327</v>
      </c>
      <c r="FV104" s="79" t="e">
        <f t="shared" si="106"/>
        <v>#DIV/0!</v>
      </c>
      <c r="FY104" s="79">
        <f t="shared" si="107"/>
        <v>27377.842749999996</v>
      </c>
      <c r="FZ104" s="79">
        <f t="shared" si="108"/>
        <v>0</v>
      </c>
      <c r="GB104" s="178">
        <f t="shared" si="109"/>
        <v>2737.1</v>
      </c>
      <c r="GC104" s="178">
        <f t="shared" si="110"/>
        <v>0</v>
      </c>
      <c r="GG104" s="14">
        <v>7.8763999999999994</v>
      </c>
      <c r="GH104" s="175">
        <f t="shared" si="111"/>
        <v>1.2699329642984105</v>
      </c>
      <c r="GI104" s="14">
        <v>7.8763999999999994</v>
      </c>
      <c r="GJ104" s="175">
        <f t="shared" si="112"/>
        <v>1.2699329642984105</v>
      </c>
      <c r="GK104" s="175">
        <f t="shared" si="129"/>
        <v>0</v>
      </c>
      <c r="GN104" s="14">
        <v>10.071199999999999</v>
      </c>
      <c r="GO104" s="175">
        <f t="shared" si="113"/>
        <v>1.2786552231984156</v>
      </c>
      <c r="GP104" s="179">
        <f t="shared" si="114"/>
        <v>0.99317856859162768</v>
      </c>
      <c r="GQ104" s="14">
        <v>10.071199999999999</v>
      </c>
      <c r="GR104" s="175">
        <f t="shared" si="115"/>
        <v>1.2786552231984156</v>
      </c>
      <c r="GS104" s="175">
        <f t="shared" si="116"/>
        <v>0.99317856859162768</v>
      </c>
      <c r="GV104" s="32">
        <f t="shared" si="117"/>
        <v>27377.842749999996</v>
      </c>
      <c r="GW104" s="32">
        <f t="shared" si="118"/>
        <v>0</v>
      </c>
      <c r="GX104" s="180">
        <f t="shared" si="119"/>
        <v>27377.842749999996</v>
      </c>
      <c r="GZ104" s="32">
        <f t="shared" si="120"/>
        <v>10.0025</v>
      </c>
      <c r="HA104" s="32" t="e">
        <f t="shared" si="121"/>
        <v>#DIV/0!</v>
      </c>
      <c r="HB104" s="32">
        <f t="shared" si="122"/>
        <v>10.0025</v>
      </c>
    </row>
    <row r="105" spans="1:210" ht="19.2" customHeight="1" x14ac:dyDescent="0.3">
      <c r="A105" s="50">
        <v>97</v>
      </c>
      <c r="B105" s="51" t="s">
        <v>654</v>
      </c>
      <c r="C105" s="150" t="s">
        <v>638</v>
      </c>
      <c r="D105" s="52">
        <v>5</v>
      </c>
      <c r="E105" s="52">
        <v>4</v>
      </c>
      <c r="F105" s="63">
        <v>60</v>
      </c>
      <c r="G105" s="54" t="s">
        <v>89</v>
      </c>
      <c r="H105" s="181" t="s">
        <v>49</v>
      </c>
      <c r="I105" s="55">
        <f t="shared" si="99"/>
        <v>2781.8</v>
      </c>
      <c r="J105" s="55">
        <f t="shared" si="79"/>
        <v>0</v>
      </c>
      <c r="K105" s="55">
        <f t="shared" si="80"/>
        <v>0</v>
      </c>
      <c r="L105" s="56">
        <v>2781.8</v>
      </c>
      <c r="M105" s="56">
        <v>2781.8</v>
      </c>
      <c r="N105" s="56">
        <f t="shared" si="100"/>
        <v>2781.8</v>
      </c>
      <c r="O105" s="56">
        <v>0</v>
      </c>
      <c r="P105" s="56">
        <v>0</v>
      </c>
      <c r="Q105" s="55"/>
      <c r="R105" s="55">
        <v>2781.8</v>
      </c>
      <c r="S105" s="55"/>
      <c r="T105" s="55">
        <v>0</v>
      </c>
      <c r="U105" s="152">
        <v>2781.8</v>
      </c>
      <c r="V105" s="57">
        <v>0.16520000000000001</v>
      </c>
      <c r="W105" s="153">
        <v>9.1600000000000001E-2</v>
      </c>
      <c r="X105" s="57">
        <v>0.32450000000000001</v>
      </c>
      <c r="Y105" s="57">
        <v>7.4099999999999999E-2</v>
      </c>
      <c r="Z105" s="153">
        <v>2.87E-2</v>
      </c>
      <c r="AA105" s="57">
        <v>0.4945</v>
      </c>
      <c r="AB105" s="153">
        <v>0</v>
      </c>
      <c r="AC105" s="57">
        <v>0.63149999999999995</v>
      </c>
      <c r="AD105" s="57">
        <v>0.1706</v>
      </c>
      <c r="AE105" s="57">
        <v>0</v>
      </c>
      <c r="AF105" s="57">
        <v>1.7276</v>
      </c>
      <c r="AG105" s="57">
        <v>0.219</v>
      </c>
      <c r="AH105" s="57">
        <v>0.32469999999999999</v>
      </c>
      <c r="AI105" s="153">
        <v>8.8200000000000001E-2</v>
      </c>
      <c r="AJ105" s="153">
        <v>0.1024</v>
      </c>
      <c r="AK105" s="153">
        <v>5.5899999999999998E-2</v>
      </c>
      <c r="AL105" s="57">
        <v>0.17050000000000001</v>
      </c>
      <c r="AM105" s="153">
        <v>3.3399999999999999E-2</v>
      </c>
      <c r="AN105" s="57">
        <v>0</v>
      </c>
      <c r="AO105" s="153">
        <v>2.5992000000000002</v>
      </c>
      <c r="AP105" s="57">
        <v>1.1356999999999999</v>
      </c>
      <c r="AQ105" s="57">
        <v>9.1399999999999995E-2</v>
      </c>
      <c r="AR105" s="153">
        <v>0.63590000000000002</v>
      </c>
      <c r="AS105" s="57">
        <v>5.7700000000000001E-2</v>
      </c>
      <c r="AT105" s="57">
        <v>9.4000000000000004E-3</v>
      </c>
      <c r="AU105" s="153">
        <v>0.31630000000000003</v>
      </c>
      <c r="AV105" s="153">
        <v>0</v>
      </c>
      <c r="AW105" s="154">
        <v>9.548</v>
      </c>
      <c r="AX105" s="58">
        <v>0.47739999999999999</v>
      </c>
      <c r="AY105" s="155">
        <f t="shared" si="81"/>
        <v>0.4728</v>
      </c>
      <c r="AZ105" s="155">
        <f t="shared" si="82"/>
        <v>4.599999999999993E-3</v>
      </c>
      <c r="BA105" s="14">
        <v>10.025399999999999</v>
      </c>
      <c r="BB105" s="59">
        <f>BA105-'[1]Тариф 26 свод без  ПДВ'!AU105</f>
        <v>-2.6000000000010459E-3</v>
      </c>
      <c r="BC105" s="57">
        <v>0</v>
      </c>
      <c r="BD105" s="57">
        <v>0</v>
      </c>
      <c r="BE105" s="57">
        <v>0</v>
      </c>
      <c r="BF105" s="156">
        <v>9.548</v>
      </c>
      <c r="BG105" s="59">
        <v>0.47739999999999999</v>
      </c>
      <c r="BH105" s="59"/>
      <c r="BI105" s="59"/>
      <c r="BJ105" s="14">
        <v>10.025399999999999</v>
      </c>
      <c r="BK105" s="60"/>
      <c r="BL105" s="60">
        <v>4.8609000000000009</v>
      </c>
      <c r="BM105" s="60">
        <v>0.24299999999999999</v>
      </c>
      <c r="BN105" s="14">
        <v>5.1039000000000012</v>
      </c>
      <c r="BO105" s="14"/>
      <c r="BP105" s="157"/>
      <c r="BQ105" s="158">
        <f>BJ105-'[1]Тариф 26 свод без  ПДВ'!BG105</f>
        <v>-2.6000000000010459E-3</v>
      </c>
      <c r="BR105" s="77">
        <f>'[1]Тариф 26 свод без  ПДВ'!BG105</f>
        <v>10.028</v>
      </c>
      <c r="BS105" s="159">
        <f t="shared" si="83"/>
        <v>-2.6000000000010459E-3</v>
      </c>
      <c r="BU105" s="77">
        <f>'[1]Тариф 26 свод без  ПДВ'!AU105</f>
        <v>10.028</v>
      </c>
      <c r="BV105" s="159">
        <f t="shared" si="84"/>
        <v>-2.6000000000010459E-3</v>
      </c>
      <c r="BX105" s="95">
        <v>4.2210999999999999</v>
      </c>
      <c r="BY105" s="95">
        <v>5.8093000000000004</v>
      </c>
      <c r="BZ105" s="95"/>
      <c r="CA105" s="182">
        <f t="shared" si="85"/>
        <v>2.3750681102082396</v>
      </c>
      <c r="CB105" s="182">
        <f t="shared" si="86"/>
        <v>1.7257500903723337</v>
      </c>
      <c r="CD105" s="160">
        <f>L105-CE105</f>
        <v>2781.8</v>
      </c>
      <c r="CE105" s="160">
        <f>T105</f>
        <v>0</v>
      </c>
      <c r="CF105" s="77">
        <f>CD105*BA105</f>
        <v>27888.657719999999</v>
      </c>
      <c r="CG105" s="77">
        <f>BJ105*CE105</f>
        <v>0</v>
      </c>
      <c r="CI105" s="160">
        <f>'[1]0 СВОД'!AYY120</f>
        <v>27888.367510669439</v>
      </c>
      <c r="CJ105" s="77">
        <f t="shared" si="87"/>
        <v>334660.41012803325</v>
      </c>
      <c r="CM105" s="161">
        <v>103</v>
      </c>
      <c r="CN105" s="162" t="s">
        <v>655</v>
      </c>
      <c r="CO105" s="163">
        <v>5</v>
      </c>
      <c r="CP105" s="163">
        <v>4</v>
      </c>
      <c r="CQ105" s="164" t="s">
        <v>89</v>
      </c>
      <c r="CR105" s="165" t="s">
        <v>49</v>
      </c>
      <c r="CS105" s="166">
        <v>2779.4</v>
      </c>
      <c r="CT105" s="166">
        <v>0</v>
      </c>
      <c r="CU105" s="167">
        <v>0</v>
      </c>
      <c r="CV105" s="168">
        <v>2779.4</v>
      </c>
      <c r="CW105" s="166">
        <v>2779.4</v>
      </c>
      <c r="CX105" s="167">
        <v>0</v>
      </c>
      <c r="CY105" s="166">
        <v>0</v>
      </c>
      <c r="CZ105" s="166"/>
      <c r="DA105" s="166">
        <v>2779.4</v>
      </c>
      <c r="DB105" s="166"/>
      <c r="DC105" s="166">
        <v>0</v>
      </c>
      <c r="DD105" s="59">
        <v>0.16220000000000001</v>
      </c>
      <c r="DE105" s="59">
        <v>0.1489</v>
      </c>
      <c r="DF105" s="59">
        <v>0.2135</v>
      </c>
      <c r="DG105" s="59">
        <v>4.3700000000000003E-2</v>
      </c>
      <c r="DH105" s="59">
        <v>1.0800000000000001E-2</v>
      </c>
      <c r="DI105" s="59">
        <v>0.21529999999999999</v>
      </c>
      <c r="DJ105" s="59">
        <v>4.8099999999999997E-2</v>
      </c>
      <c r="DK105" s="59">
        <v>0.3458</v>
      </c>
      <c r="DL105" s="169">
        <v>0</v>
      </c>
      <c r="DM105" s="59">
        <v>0.10390000000000001</v>
      </c>
      <c r="DN105" s="169">
        <v>0</v>
      </c>
      <c r="DO105" s="170">
        <v>0.92349999999999999</v>
      </c>
      <c r="DP105" s="171">
        <f t="shared" si="88"/>
        <v>1.7276</v>
      </c>
      <c r="DQ105" s="59">
        <v>0.1055</v>
      </c>
      <c r="DR105" s="59">
        <v>0.19439999999999999</v>
      </c>
      <c r="DS105" s="59">
        <v>2.3E-2</v>
      </c>
      <c r="DT105" s="59">
        <v>4.82E-2</v>
      </c>
      <c r="DU105" s="59">
        <v>2.3599999999999999E-2</v>
      </c>
      <c r="DV105" s="59">
        <v>5.9400000000000001E-2</v>
      </c>
      <c r="DW105" s="59">
        <v>9.1000000000000004E-3</v>
      </c>
      <c r="DX105" s="169">
        <v>0</v>
      </c>
      <c r="DY105" s="170">
        <v>1.3552999999999999</v>
      </c>
      <c r="DZ105" s="171">
        <f t="shared" si="89"/>
        <v>1.917804176197152</v>
      </c>
      <c r="EA105" s="59">
        <v>0.68220000000000003</v>
      </c>
      <c r="EB105" s="171">
        <f t="shared" si="90"/>
        <v>1.7987393726180003</v>
      </c>
      <c r="EC105" s="59">
        <v>0.39340000000000003</v>
      </c>
      <c r="ED105" s="171">
        <f t="shared" si="91"/>
        <v>1.6164209456024401</v>
      </c>
      <c r="EE105" s="59">
        <v>4.4200000000000003E-2</v>
      </c>
      <c r="EF105" s="59">
        <v>6.1000000000000004E-3</v>
      </c>
      <c r="EG105" s="59">
        <v>0.29360000000000003</v>
      </c>
      <c r="EH105" s="59">
        <v>0</v>
      </c>
      <c r="EI105" s="208">
        <v>0.1363</v>
      </c>
      <c r="EJ105" s="172">
        <v>5.59</v>
      </c>
      <c r="EK105" s="173"/>
      <c r="EL105" s="169">
        <v>0</v>
      </c>
      <c r="EM105" s="169">
        <v>0</v>
      </c>
      <c r="EN105" s="59"/>
      <c r="EO105" s="172"/>
      <c r="ES105" s="57">
        <f t="shared" si="101"/>
        <v>5.59</v>
      </c>
      <c r="ET105" s="57">
        <f t="shared" si="102"/>
        <v>0</v>
      </c>
      <c r="EU105" s="31"/>
      <c r="EV105" s="61">
        <f t="shared" si="92"/>
        <v>1.7934525939177102</v>
      </c>
      <c r="EW105" s="182"/>
      <c r="EX105" s="158">
        <f t="shared" si="139"/>
        <v>-2.7304500000000003</v>
      </c>
      <c r="EY105" s="77">
        <f t="shared" si="140"/>
        <v>7.5129600000000005</v>
      </c>
      <c r="EZ105" s="158">
        <f t="shared" si="93"/>
        <v>10.025399999999999</v>
      </c>
      <c r="FA105" s="158">
        <f t="shared" si="94"/>
        <v>10.025399999999999</v>
      </c>
      <c r="FH105" s="174">
        <f t="shared" si="103"/>
        <v>27888.657719999999</v>
      </c>
      <c r="FJ105" s="87">
        <v>1.3844007155635063</v>
      </c>
      <c r="FK105" s="176">
        <f t="shared" si="104"/>
        <v>1.2954721662273221</v>
      </c>
      <c r="FM105" s="87" t="e">
        <f t="shared" si="105"/>
        <v>#DIV/0!</v>
      </c>
      <c r="FO105" s="88">
        <f t="shared" si="95"/>
        <v>27888.657719999999</v>
      </c>
      <c r="FP105" s="79">
        <f t="shared" si="96"/>
        <v>0</v>
      </c>
      <c r="FS105" s="79">
        <f t="shared" si="97"/>
        <v>15550.262000000001</v>
      </c>
      <c r="FT105" s="79">
        <f t="shared" si="98"/>
        <v>0</v>
      </c>
      <c r="FU105" s="79">
        <f t="shared" si="106"/>
        <v>1.7934525939177102</v>
      </c>
      <c r="FV105" s="79" t="e">
        <f t="shared" si="106"/>
        <v>#DIV/0!</v>
      </c>
      <c r="FY105" s="79">
        <f t="shared" si="107"/>
        <v>27888.657719999999</v>
      </c>
      <c r="FZ105" s="79">
        <f t="shared" si="108"/>
        <v>0</v>
      </c>
      <c r="GB105" s="178">
        <f t="shared" si="109"/>
        <v>2781.8</v>
      </c>
      <c r="GC105" s="178">
        <f t="shared" si="110"/>
        <v>0</v>
      </c>
      <c r="GG105" s="14">
        <v>7.8945999999999987</v>
      </c>
      <c r="GH105" s="175">
        <f t="shared" si="111"/>
        <v>1.2699060117042029</v>
      </c>
      <c r="GI105" s="14">
        <v>7.8945999999999987</v>
      </c>
      <c r="GJ105" s="175">
        <f t="shared" si="112"/>
        <v>1.2699060117042029</v>
      </c>
      <c r="GK105" s="175">
        <f t="shared" si="129"/>
        <v>0</v>
      </c>
      <c r="GN105" s="14">
        <v>10.167299999999999</v>
      </c>
      <c r="GO105" s="175">
        <f t="shared" si="113"/>
        <v>1.2878803232589366</v>
      </c>
      <c r="GP105" s="179">
        <f t="shared" si="114"/>
        <v>0.98604349237260636</v>
      </c>
      <c r="GQ105" s="14">
        <v>10.167299999999999</v>
      </c>
      <c r="GR105" s="175">
        <f t="shared" si="115"/>
        <v>1.2878803232589366</v>
      </c>
      <c r="GS105" s="175">
        <f t="shared" si="116"/>
        <v>0.98604349237260636</v>
      </c>
      <c r="GV105" s="32">
        <f t="shared" si="117"/>
        <v>27888.657719999999</v>
      </c>
      <c r="GW105" s="32">
        <f t="shared" si="118"/>
        <v>0</v>
      </c>
      <c r="GX105" s="180">
        <f t="shared" si="119"/>
        <v>27888.657719999999</v>
      </c>
      <c r="GZ105" s="32">
        <f t="shared" si="120"/>
        <v>10.025399999999999</v>
      </c>
      <c r="HA105" s="32" t="e">
        <f t="shared" si="121"/>
        <v>#DIV/0!</v>
      </c>
      <c r="HB105" s="32">
        <f t="shared" si="122"/>
        <v>10.025399999999999</v>
      </c>
    </row>
    <row r="106" spans="1:210" ht="19.2" customHeight="1" x14ac:dyDescent="0.3">
      <c r="A106" s="50">
        <v>98</v>
      </c>
      <c r="B106" s="51" t="s">
        <v>656</v>
      </c>
      <c r="C106" s="150" t="s">
        <v>638</v>
      </c>
      <c r="D106" s="52">
        <v>5</v>
      </c>
      <c r="E106" s="52">
        <v>4</v>
      </c>
      <c r="F106" s="63">
        <v>60</v>
      </c>
      <c r="G106" s="54" t="s">
        <v>90</v>
      </c>
      <c r="H106" s="181" t="s">
        <v>49</v>
      </c>
      <c r="I106" s="55">
        <f t="shared" si="99"/>
        <v>2776.2</v>
      </c>
      <c r="J106" s="55">
        <f t="shared" si="79"/>
        <v>0</v>
      </c>
      <c r="K106" s="55">
        <f t="shared" si="80"/>
        <v>0</v>
      </c>
      <c r="L106" s="56">
        <v>2776.2</v>
      </c>
      <c r="M106" s="56">
        <v>2776.2</v>
      </c>
      <c r="N106" s="56">
        <f t="shared" si="100"/>
        <v>2776.2</v>
      </c>
      <c r="O106" s="56">
        <v>0</v>
      </c>
      <c r="P106" s="56">
        <v>0</v>
      </c>
      <c r="Q106" s="55"/>
      <c r="R106" s="55">
        <v>2776.2</v>
      </c>
      <c r="S106" s="55"/>
      <c r="T106" s="55">
        <v>0</v>
      </c>
      <c r="U106" s="152">
        <v>2776.2</v>
      </c>
      <c r="V106" s="57">
        <v>0.16550000000000001</v>
      </c>
      <c r="W106" s="153">
        <v>9.1800000000000007E-2</v>
      </c>
      <c r="X106" s="57">
        <v>0.32519999999999999</v>
      </c>
      <c r="Y106" s="57">
        <v>7.4300000000000005E-2</v>
      </c>
      <c r="Z106" s="153">
        <v>3.09E-2</v>
      </c>
      <c r="AA106" s="57">
        <v>0.4955</v>
      </c>
      <c r="AB106" s="153">
        <v>0</v>
      </c>
      <c r="AC106" s="57">
        <v>0.63149999999999995</v>
      </c>
      <c r="AD106" s="57">
        <v>0.1709</v>
      </c>
      <c r="AE106" s="57">
        <v>0</v>
      </c>
      <c r="AF106" s="57">
        <v>1.8931</v>
      </c>
      <c r="AG106" s="57">
        <v>0.21940000000000001</v>
      </c>
      <c r="AH106" s="57">
        <v>0.32540000000000002</v>
      </c>
      <c r="AI106" s="153">
        <v>8.8400000000000006E-2</v>
      </c>
      <c r="AJ106" s="153">
        <v>0.1026</v>
      </c>
      <c r="AK106" s="153">
        <v>6.0199999999999997E-2</v>
      </c>
      <c r="AL106" s="57">
        <v>0.17080000000000001</v>
      </c>
      <c r="AM106" s="153">
        <v>3.3399999999999999E-2</v>
      </c>
      <c r="AN106" s="57">
        <v>0</v>
      </c>
      <c r="AO106" s="153">
        <v>2.6183000000000001</v>
      </c>
      <c r="AP106" s="57">
        <v>1.1379999999999999</v>
      </c>
      <c r="AQ106" s="57">
        <v>9.1899999999999996E-2</v>
      </c>
      <c r="AR106" s="153">
        <v>0.62519999999999998</v>
      </c>
      <c r="AS106" s="57">
        <v>5.8000000000000003E-2</v>
      </c>
      <c r="AT106" s="57">
        <v>9.4000000000000004E-3</v>
      </c>
      <c r="AU106" s="153">
        <v>0.28520000000000001</v>
      </c>
      <c r="AV106" s="153">
        <v>0</v>
      </c>
      <c r="AW106" s="154">
        <v>9.7049000000000003</v>
      </c>
      <c r="AX106" s="58">
        <v>0.48520000000000002</v>
      </c>
      <c r="AY106" s="155">
        <f t="shared" si="81"/>
        <v>0.48070000000000002</v>
      </c>
      <c r="AZ106" s="155">
        <f t="shared" si="82"/>
        <v>4.500000000000004E-3</v>
      </c>
      <c r="BA106" s="14">
        <v>10.190100000000001</v>
      </c>
      <c r="BB106" s="59">
        <f>BA106-'[1]Тариф 26 свод без  ПДВ'!AU106</f>
        <v>5.2000000000003155E-3</v>
      </c>
      <c r="BC106" s="57">
        <v>0</v>
      </c>
      <c r="BD106" s="57">
        <v>0</v>
      </c>
      <c r="BE106" s="57">
        <v>0</v>
      </c>
      <c r="BF106" s="156">
        <v>9.7049000000000003</v>
      </c>
      <c r="BG106" s="59">
        <v>0.48520000000000002</v>
      </c>
      <c r="BH106" s="59"/>
      <c r="BI106" s="59"/>
      <c r="BJ106" s="14">
        <v>10.190100000000001</v>
      </c>
      <c r="BK106" s="60"/>
      <c r="BL106" s="60">
        <v>5.0382000000000016</v>
      </c>
      <c r="BM106" s="60">
        <v>0.25190000000000001</v>
      </c>
      <c r="BN106" s="14">
        <v>5.2901000000000016</v>
      </c>
      <c r="BO106" s="14"/>
      <c r="BP106" s="157"/>
      <c r="BQ106" s="158">
        <f>BJ106-'[1]Тариф 26 свод без  ПДВ'!BG106</f>
        <v>5.2000000000003155E-3</v>
      </c>
      <c r="BR106" s="77">
        <f>'[1]Тариф 26 свод без  ПДВ'!BG106</f>
        <v>10.184900000000001</v>
      </c>
      <c r="BS106" s="159">
        <f t="shared" si="83"/>
        <v>5.2000000000003155E-3</v>
      </c>
      <c r="BU106" s="77">
        <f>'[1]Тариф 26 свод без  ПДВ'!AU106</f>
        <v>10.184900000000001</v>
      </c>
      <c r="BV106" s="159">
        <f t="shared" si="84"/>
        <v>5.2000000000003155E-3</v>
      </c>
      <c r="BX106" s="95">
        <v>4.4260999999999999</v>
      </c>
      <c r="BY106" s="95">
        <v>4.4260999999999999</v>
      </c>
      <c r="BZ106" s="95"/>
      <c r="CA106" s="182">
        <f t="shared" si="85"/>
        <v>2.3022751406430042</v>
      </c>
      <c r="CB106" s="182">
        <f t="shared" si="86"/>
        <v>2.3022751406430042</v>
      </c>
      <c r="CI106" s="160">
        <f>'[1]0 СВОД'!AYY121</f>
        <v>28289.555312021072</v>
      </c>
      <c r="CJ106" s="77">
        <f t="shared" si="87"/>
        <v>339474.66374425287</v>
      </c>
      <c r="CM106" s="161">
        <v>104</v>
      </c>
      <c r="CN106" s="162" t="s">
        <v>657</v>
      </c>
      <c r="CO106" s="163">
        <v>5</v>
      </c>
      <c r="CP106" s="163">
        <v>4</v>
      </c>
      <c r="CQ106" s="164" t="s">
        <v>90</v>
      </c>
      <c r="CR106" s="165" t="s">
        <v>49</v>
      </c>
      <c r="CS106" s="166">
        <v>2776.8</v>
      </c>
      <c r="CT106" s="166">
        <v>0</v>
      </c>
      <c r="CU106" s="167">
        <v>0</v>
      </c>
      <c r="CV106" s="168">
        <v>2776.8</v>
      </c>
      <c r="CW106" s="166">
        <v>2776.8</v>
      </c>
      <c r="CX106" s="167">
        <v>0</v>
      </c>
      <c r="CY106" s="166">
        <v>0</v>
      </c>
      <c r="CZ106" s="166"/>
      <c r="DA106" s="166">
        <v>2776.8</v>
      </c>
      <c r="DB106" s="166"/>
      <c r="DC106" s="166">
        <v>0</v>
      </c>
      <c r="DD106" s="59">
        <v>0.1623</v>
      </c>
      <c r="DE106" s="59">
        <v>0.14899999999999999</v>
      </c>
      <c r="DF106" s="59">
        <v>0.2137</v>
      </c>
      <c r="DG106" s="59">
        <v>4.3700000000000003E-2</v>
      </c>
      <c r="DH106" s="59">
        <v>1.1599999999999999E-2</v>
      </c>
      <c r="DI106" s="59">
        <v>0.2155</v>
      </c>
      <c r="DJ106" s="59">
        <v>4.8099999999999997E-2</v>
      </c>
      <c r="DK106" s="59">
        <v>0.3458</v>
      </c>
      <c r="DL106" s="169">
        <v>0</v>
      </c>
      <c r="DM106" s="59">
        <v>0.104</v>
      </c>
      <c r="DN106" s="169">
        <v>0</v>
      </c>
      <c r="DO106" s="170">
        <v>1.0921000000000001</v>
      </c>
      <c r="DP106" s="171">
        <f t="shared" si="88"/>
        <v>1.8931</v>
      </c>
      <c r="DQ106" s="59">
        <v>0.1056</v>
      </c>
      <c r="DR106" s="59">
        <v>0.1946</v>
      </c>
      <c r="DS106" s="59">
        <v>2.3E-2</v>
      </c>
      <c r="DT106" s="59">
        <v>4.8300000000000003E-2</v>
      </c>
      <c r="DU106" s="59">
        <v>2.5399999999999999E-2</v>
      </c>
      <c r="DV106" s="59">
        <v>5.9499999999999997E-2</v>
      </c>
      <c r="DW106" s="59">
        <v>9.1000000000000004E-3</v>
      </c>
      <c r="DX106" s="169">
        <v>0</v>
      </c>
      <c r="DY106" s="59">
        <v>1.3673999999999999</v>
      </c>
      <c r="DZ106" s="171">
        <f t="shared" si="89"/>
        <v>1.9148018136609626</v>
      </c>
      <c r="EA106" s="59">
        <v>0.68689999999999996</v>
      </c>
      <c r="EB106" s="171">
        <f t="shared" si="90"/>
        <v>1.7905080797787161</v>
      </c>
      <c r="EC106" s="59">
        <v>0.38700000000000001</v>
      </c>
      <c r="ED106" s="171">
        <f t="shared" si="91"/>
        <v>1.6155038759689921</v>
      </c>
      <c r="EE106" s="59">
        <v>4.4299999999999999E-2</v>
      </c>
      <c r="EF106" s="59">
        <v>6.1999999999999998E-3</v>
      </c>
      <c r="EG106" s="59">
        <v>0.20519999999999999</v>
      </c>
      <c r="EH106" s="59">
        <v>0</v>
      </c>
      <c r="EI106" s="208">
        <v>0.13869999999999999</v>
      </c>
      <c r="EJ106" s="172">
        <v>5.6869999999999994</v>
      </c>
      <c r="EK106" s="173"/>
      <c r="EL106" s="169">
        <v>0</v>
      </c>
      <c r="EM106" s="169">
        <v>0</v>
      </c>
      <c r="EN106" s="59"/>
      <c r="EO106" s="172"/>
      <c r="ES106" s="57">
        <f t="shared" si="101"/>
        <v>5.6869999999999994</v>
      </c>
      <c r="ET106" s="57">
        <f t="shared" si="102"/>
        <v>0</v>
      </c>
      <c r="EU106" s="31"/>
      <c r="EV106" s="61">
        <f t="shared" si="92"/>
        <v>1.7918234570072098</v>
      </c>
      <c r="EW106" s="62"/>
      <c r="EX106" s="158">
        <f t="shared" si="139"/>
        <v>-2.7685650000000024</v>
      </c>
      <c r="EY106" s="77">
        <f t="shared" si="140"/>
        <v>7.6433279999999995</v>
      </c>
      <c r="EZ106" s="158">
        <f t="shared" si="93"/>
        <v>10.190100000000001</v>
      </c>
      <c r="FA106" s="158">
        <f t="shared" si="94"/>
        <v>10.190100000000001</v>
      </c>
      <c r="FH106" s="174">
        <f t="shared" si="103"/>
        <v>28289.75562</v>
      </c>
      <c r="FJ106" s="87">
        <v>1.3650430807103922</v>
      </c>
      <c r="FK106" s="176">
        <f t="shared" si="104"/>
        <v>1.3126497488084505</v>
      </c>
      <c r="FM106" s="87" t="e">
        <f t="shared" si="105"/>
        <v>#DIV/0!</v>
      </c>
      <c r="FO106" s="88">
        <f t="shared" si="95"/>
        <v>28289.75562</v>
      </c>
      <c r="FP106" s="79">
        <f t="shared" si="96"/>
        <v>0</v>
      </c>
      <c r="FS106" s="79">
        <f t="shared" si="97"/>
        <v>15788.249399999997</v>
      </c>
      <c r="FT106" s="79">
        <f t="shared" si="98"/>
        <v>0</v>
      </c>
      <c r="FU106" s="79">
        <f t="shared" si="106"/>
        <v>1.7918234570072098</v>
      </c>
      <c r="FV106" s="79" t="e">
        <f t="shared" si="106"/>
        <v>#DIV/0!</v>
      </c>
      <c r="FY106" s="79">
        <f t="shared" si="107"/>
        <v>28289.75562</v>
      </c>
      <c r="FZ106" s="79">
        <f t="shared" si="108"/>
        <v>0</v>
      </c>
      <c r="GB106" s="178">
        <f t="shared" si="109"/>
        <v>2776.2</v>
      </c>
      <c r="GC106" s="178">
        <f t="shared" si="110"/>
        <v>0</v>
      </c>
      <c r="GG106" s="14">
        <v>8.0242000000000004</v>
      </c>
      <c r="GH106" s="175">
        <f t="shared" si="111"/>
        <v>1.2699209890082501</v>
      </c>
      <c r="GI106" s="14">
        <v>8.0242000000000004</v>
      </c>
      <c r="GJ106" s="175">
        <f t="shared" si="112"/>
        <v>1.2699209890082501</v>
      </c>
      <c r="GK106" s="175">
        <f t="shared" si="129"/>
        <v>0</v>
      </c>
      <c r="GN106" s="14">
        <v>10.443900000000001</v>
      </c>
      <c r="GO106" s="175">
        <f t="shared" si="113"/>
        <v>1.3015503103113084</v>
      </c>
      <c r="GP106" s="179">
        <f t="shared" si="114"/>
        <v>0.97569873323183864</v>
      </c>
      <c r="GQ106" s="14">
        <v>10.443900000000001</v>
      </c>
      <c r="GR106" s="175">
        <f t="shared" si="115"/>
        <v>1.3015503103113084</v>
      </c>
      <c r="GS106" s="175">
        <f t="shared" si="116"/>
        <v>0.97569873323183864</v>
      </c>
      <c r="GV106" s="32">
        <f t="shared" si="117"/>
        <v>28289.75562</v>
      </c>
      <c r="GW106" s="32">
        <f t="shared" si="118"/>
        <v>0</v>
      </c>
      <c r="GX106" s="180">
        <f t="shared" si="119"/>
        <v>28289.75562</v>
      </c>
      <c r="GZ106" s="32">
        <f t="shared" si="120"/>
        <v>10.190100000000001</v>
      </c>
      <c r="HA106" s="32" t="e">
        <f t="shared" si="121"/>
        <v>#DIV/0!</v>
      </c>
      <c r="HB106" s="32">
        <f t="shared" si="122"/>
        <v>10.190100000000001</v>
      </c>
    </row>
    <row r="107" spans="1:210" ht="19.2" customHeight="1" x14ac:dyDescent="0.3">
      <c r="A107" s="50">
        <v>99</v>
      </c>
      <c r="B107" s="51" t="s">
        <v>658</v>
      </c>
      <c r="C107" s="150" t="s">
        <v>638</v>
      </c>
      <c r="D107" s="52">
        <v>5</v>
      </c>
      <c r="E107" s="52">
        <v>4</v>
      </c>
      <c r="F107" s="63">
        <v>60</v>
      </c>
      <c r="G107" s="54" t="s">
        <v>91</v>
      </c>
      <c r="H107" s="181" t="s">
        <v>49</v>
      </c>
      <c r="I107" s="55">
        <f t="shared" si="99"/>
        <v>2756.5</v>
      </c>
      <c r="J107" s="55">
        <f t="shared" si="79"/>
        <v>0</v>
      </c>
      <c r="K107" s="55">
        <f t="shared" si="80"/>
        <v>0</v>
      </c>
      <c r="L107" s="56">
        <v>2756.5</v>
      </c>
      <c r="M107" s="56">
        <v>2756.5</v>
      </c>
      <c r="N107" s="56">
        <f t="shared" si="100"/>
        <v>2756.5</v>
      </c>
      <c r="O107" s="56">
        <v>0</v>
      </c>
      <c r="P107" s="56">
        <v>0</v>
      </c>
      <c r="Q107" s="55"/>
      <c r="R107" s="55">
        <v>2756.5</v>
      </c>
      <c r="S107" s="55"/>
      <c r="T107" s="55">
        <v>0</v>
      </c>
      <c r="U107" s="152">
        <v>2756.5</v>
      </c>
      <c r="V107" s="57">
        <v>0.16669999999999999</v>
      </c>
      <c r="W107" s="153">
        <v>9.2399999999999996E-2</v>
      </c>
      <c r="X107" s="57">
        <v>0.32390000000000002</v>
      </c>
      <c r="Y107" s="57">
        <v>7.4200000000000002E-2</v>
      </c>
      <c r="Z107" s="153">
        <v>2.9000000000000001E-2</v>
      </c>
      <c r="AA107" s="57">
        <v>0.499</v>
      </c>
      <c r="AB107" s="153">
        <v>0</v>
      </c>
      <c r="AC107" s="57">
        <v>0.63149999999999995</v>
      </c>
      <c r="AD107" s="57">
        <v>0.1721</v>
      </c>
      <c r="AE107" s="57">
        <v>0</v>
      </c>
      <c r="AF107" s="57">
        <v>1.7186999999999999</v>
      </c>
      <c r="AG107" s="57">
        <v>0.221</v>
      </c>
      <c r="AH107" s="57">
        <v>0.32769999999999999</v>
      </c>
      <c r="AI107" s="153">
        <v>8.7999999999999995E-2</v>
      </c>
      <c r="AJ107" s="153">
        <v>0.1032</v>
      </c>
      <c r="AK107" s="153">
        <v>5.6399999999999999E-2</v>
      </c>
      <c r="AL107" s="57">
        <v>0.17199999999999999</v>
      </c>
      <c r="AM107" s="153">
        <v>3.3599999999999998E-2</v>
      </c>
      <c r="AN107" s="57">
        <v>0</v>
      </c>
      <c r="AO107" s="153">
        <v>2.7185000000000001</v>
      </c>
      <c r="AP107" s="57">
        <v>1.1460999999999999</v>
      </c>
      <c r="AQ107" s="57">
        <v>9.2499999999999999E-2</v>
      </c>
      <c r="AR107" s="153">
        <v>0.622</v>
      </c>
      <c r="AS107" s="57">
        <v>5.8400000000000001E-2</v>
      </c>
      <c r="AT107" s="57">
        <v>9.4999999999999998E-3</v>
      </c>
      <c r="AU107" s="153">
        <v>0.2122</v>
      </c>
      <c r="AV107" s="153">
        <v>0</v>
      </c>
      <c r="AW107" s="154">
        <v>9.5685999999999982</v>
      </c>
      <c r="AX107" s="58">
        <v>0.47839999999999999</v>
      </c>
      <c r="AY107" s="155">
        <f t="shared" si="81"/>
        <v>0.4738</v>
      </c>
      <c r="AZ107" s="155">
        <f t="shared" si="82"/>
        <v>4.599999999999993E-3</v>
      </c>
      <c r="BA107" s="14">
        <v>10.046999999999999</v>
      </c>
      <c r="BB107" s="59">
        <f>BA107-'[1]Тариф 26 свод без  ПДВ'!AU107</f>
        <v>-1.7000000000013671E-3</v>
      </c>
      <c r="BC107" s="57">
        <v>0</v>
      </c>
      <c r="BD107" s="57">
        <v>0</v>
      </c>
      <c r="BE107" s="57">
        <v>0</v>
      </c>
      <c r="BF107" s="156">
        <v>9.5685999999999982</v>
      </c>
      <c r="BG107" s="59">
        <v>0.47839999999999999</v>
      </c>
      <c r="BH107" s="59"/>
      <c r="BI107" s="59"/>
      <c r="BJ107" s="14">
        <v>10.046999999999999</v>
      </c>
      <c r="BK107" s="60"/>
      <c r="BL107" s="60">
        <v>4.8697999999999997</v>
      </c>
      <c r="BM107" s="60">
        <v>0.24349999999999999</v>
      </c>
      <c r="BN107" s="14">
        <v>5.1132999999999997</v>
      </c>
      <c r="BO107" s="14"/>
      <c r="BP107" s="157"/>
      <c r="BQ107" s="158">
        <f>BJ107-'[1]Тариф 26 свод без  ПДВ'!BG107</f>
        <v>-1.7000000000013671E-3</v>
      </c>
      <c r="BR107" s="77">
        <f>'[1]Тариф 26 свод без  ПДВ'!BG107</f>
        <v>10.0487</v>
      </c>
      <c r="BS107" s="159">
        <f t="shared" si="83"/>
        <v>-1.7000000000013671E-3</v>
      </c>
      <c r="BU107" s="77">
        <f>'[1]Тариф 26 свод без  ПДВ'!AU107</f>
        <v>10.0487</v>
      </c>
      <c r="BV107" s="159">
        <f t="shared" si="84"/>
        <v>-1.7000000000013671E-3</v>
      </c>
      <c r="BX107" s="95">
        <v>5.4621999999999993</v>
      </c>
      <c r="BY107" s="95">
        <v>5.4621999999999993</v>
      </c>
      <c r="BZ107" s="95"/>
      <c r="CA107" s="182">
        <f t="shared" si="85"/>
        <v>1.8393687525173008</v>
      </c>
      <c r="CB107" s="182">
        <f t="shared" si="86"/>
        <v>1.8393687525173008</v>
      </c>
      <c r="CI107" s="160">
        <f>'[1]0 СВОД'!AYY122</f>
        <v>27694.70963780105</v>
      </c>
      <c r="CJ107" s="77">
        <f t="shared" si="87"/>
        <v>332336.51565361262</v>
      </c>
      <c r="CM107" s="161">
        <v>105</v>
      </c>
      <c r="CN107" s="162" t="s">
        <v>659</v>
      </c>
      <c r="CO107" s="163">
        <v>5</v>
      </c>
      <c r="CP107" s="163">
        <v>4</v>
      </c>
      <c r="CQ107" s="164" t="s">
        <v>91</v>
      </c>
      <c r="CR107" s="165" t="s">
        <v>49</v>
      </c>
      <c r="CS107" s="166">
        <v>2751.4</v>
      </c>
      <c r="CT107" s="166">
        <v>0</v>
      </c>
      <c r="CU107" s="167">
        <v>0</v>
      </c>
      <c r="CV107" s="168">
        <v>2751.4</v>
      </c>
      <c r="CW107" s="166">
        <v>2751.4</v>
      </c>
      <c r="CX107" s="167">
        <v>0</v>
      </c>
      <c r="CY107" s="166">
        <v>0</v>
      </c>
      <c r="CZ107" s="166"/>
      <c r="DA107" s="166">
        <v>2751.4</v>
      </c>
      <c r="DB107" s="166"/>
      <c r="DC107" s="166">
        <v>0</v>
      </c>
      <c r="DD107" s="59">
        <v>0.1638</v>
      </c>
      <c r="DE107" s="59">
        <v>0.15040000000000001</v>
      </c>
      <c r="DF107" s="59">
        <v>0.21329999999999999</v>
      </c>
      <c r="DG107" s="59">
        <v>4.3799999999999999E-2</v>
      </c>
      <c r="DH107" s="59">
        <v>1.09E-2</v>
      </c>
      <c r="DI107" s="59">
        <v>0.2175</v>
      </c>
      <c r="DJ107" s="59">
        <v>4.8099999999999997E-2</v>
      </c>
      <c r="DK107" s="59">
        <v>0.3458</v>
      </c>
      <c r="DL107" s="169">
        <v>0</v>
      </c>
      <c r="DM107" s="59">
        <v>0.10489999999999999</v>
      </c>
      <c r="DN107" s="169">
        <v>0</v>
      </c>
      <c r="DO107" s="170">
        <v>1.0122</v>
      </c>
      <c r="DP107" s="171">
        <f t="shared" si="88"/>
        <v>1.7186999999999999</v>
      </c>
      <c r="DQ107" s="59">
        <v>0.1066</v>
      </c>
      <c r="DR107" s="59">
        <v>0.19639999999999999</v>
      </c>
      <c r="DS107" s="59">
        <v>2.29E-2</v>
      </c>
      <c r="DT107" s="59">
        <v>4.87E-2</v>
      </c>
      <c r="DU107" s="59">
        <v>2.3800000000000002E-2</v>
      </c>
      <c r="DV107" s="59">
        <v>0.06</v>
      </c>
      <c r="DW107" s="59">
        <v>9.1999999999999998E-3</v>
      </c>
      <c r="DX107" s="169">
        <v>0</v>
      </c>
      <c r="DY107" s="170">
        <v>1.3885000000000001</v>
      </c>
      <c r="DZ107" s="171">
        <f t="shared" si="89"/>
        <v>1.957868203096867</v>
      </c>
      <c r="EA107" s="59">
        <v>0.69330000000000003</v>
      </c>
      <c r="EB107" s="171">
        <f t="shared" si="90"/>
        <v>1.7865281984710801</v>
      </c>
      <c r="EC107" s="59">
        <v>0.38650000000000001</v>
      </c>
      <c r="ED107" s="171">
        <f t="shared" si="91"/>
        <v>1.6093143596377748</v>
      </c>
      <c r="EE107" s="59">
        <v>4.4699999999999997E-2</v>
      </c>
      <c r="EF107" s="59">
        <v>6.1999999999999998E-3</v>
      </c>
      <c r="EG107" s="59">
        <v>0.16370000000000001</v>
      </c>
      <c r="EH107" s="59">
        <v>0</v>
      </c>
      <c r="EI107" s="208">
        <v>0.13650000000000001</v>
      </c>
      <c r="EJ107" s="172">
        <v>5.5976999999999997</v>
      </c>
      <c r="EK107" s="173"/>
      <c r="EL107" s="169">
        <v>0</v>
      </c>
      <c r="EM107" s="169">
        <v>0</v>
      </c>
      <c r="EN107" s="59"/>
      <c r="EO107" s="172"/>
      <c r="ES107" s="57">
        <f t="shared" si="101"/>
        <v>5.5976999999999997</v>
      </c>
      <c r="ET107" s="57">
        <f t="shared" si="102"/>
        <v>0</v>
      </c>
      <c r="EU107" s="31"/>
      <c r="EV107" s="61">
        <f t="shared" si="92"/>
        <v>1.7948443110563266</v>
      </c>
      <c r="EW107" s="62"/>
      <c r="EX107" s="158">
        <f t="shared" si="139"/>
        <v>-2.7420014999999998</v>
      </c>
      <c r="EY107" s="77">
        <f t="shared" si="140"/>
        <v>7.5233087999999997</v>
      </c>
      <c r="EZ107" s="158">
        <f t="shared" si="93"/>
        <v>10.046999999999999</v>
      </c>
      <c r="FA107" s="158">
        <f t="shared" si="94"/>
        <v>10.046999999999999</v>
      </c>
      <c r="FH107" s="174">
        <f t="shared" si="103"/>
        <v>27694.555499999995</v>
      </c>
      <c r="FJ107" s="87">
        <v>1.3604158850956642</v>
      </c>
      <c r="FK107" s="176">
        <f t="shared" si="104"/>
        <v>1.319335014182162</v>
      </c>
      <c r="FM107" s="87" t="e">
        <f t="shared" si="105"/>
        <v>#DIV/0!</v>
      </c>
      <c r="FO107" s="88">
        <f t="shared" si="95"/>
        <v>27694.555499999995</v>
      </c>
      <c r="FP107" s="79">
        <f t="shared" si="96"/>
        <v>0</v>
      </c>
      <c r="FS107" s="79">
        <f t="shared" si="97"/>
        <v>15430.060049999998</v>
      </c>
      <c r="FT107" s="79">
        <f t="shared" si="98"/>
        <v>0</v>
      </c>
      <c r="FU107" s="79">
        <f t="shared" si="106"/>
        <v>1.7948443110563266</v>
      </c>
      <c r="FV107" s="79" t="e">
        <f t="shared" si="106"/>
        <v>#DIV/0!</v>
      </c>
      <c r="FY107" s="79">
        <f t="shared" si="107"/>
        <v>27694.555499999995</v>
      </c>
      <c r="FZ107" s="79">
        <f t="shared" si="108"/>
        <v>0</v>
      </c>
      <c r="GB107" s="178">
        <f t="shared" si="109"/>
        <v>2756.5</v>
      </c>
      <c r="GC107" s="178">
        <f t="shared" si="110"/>
        <v>0</v>
      </c>
      <c r="GG107" s="14">
        <v>7.9114999999999984</v>
      </c>
      <c r="GH107" s="175">
        <f t="shared" si="111"/>
        <v>1.2699235290400051</v>
      </c>
      <c r="GI107" s="14">
        <v>7.9114999999999984</v>
      </c>
      <c r="GJ107" s="175">
        <f t="shared" si="112"/>
        <v>1.2699235290400051</v>
      </c>
      <c r="GK107" s="175">
        <f t="shared" si="129"/>
        <v>0</v>
      </c>
      <c r="GN107" s="14">
        <v>10.317899999999998</v>
      </c>
      <c r="GO107" s="175">
        <f t="shared" si="113"/>
        <v>1.3041648233584024</v>
      </c>
      <c r="GP107" s="179">
        <f t="shared" si="114"/>
        <v>0.97374465734306404</v>
      </c>
      <c r="GQ107" s="14">
        <v>10.317899999999998</v>
      </c>
      <c r="GR107" s="175">
        <f t="shared" si="115"/>
        <v>1.3041648233584024</v>
      </c>
      <c r="GS107" s="175">
        <f t="shared" si="116"/>
        <v>0.97374465734306404</v>
      </c>
      <c r="GV107" s="32">
        <f t="shared" si="117"/>
        <v>27694.555499999995</v>
      </c>
      <c r="GW107" s="32">
        <f t="shared" si="118"/>
        <v>0</v>
      </c>
      <c r="GX107" s="180">
        <f t="shared" si="119"/>
        <v>27694.555499999995</v>
      </c>
      <c r="GZ107" s="32">
        <f t="shared" si="120"/>
        <v>10.046999999999999</v>
      </c>
      <c r="HA107" s="32" t="e">
        <f t="shared" si="121"/>
        <v>#DIV/0!</v>
      </c>
      <c r="HB107" s="32">
        <f t="shared" si="122"/>
        <v>10.046999999999999</v>
      </c>
    </row>
    <row r="108" spans="1:210" ht="19.2" customHeight="1" x14ac:dyDescent="0.3">
      <c r="A108" s="50">
        <v>100</v>
      </c>
      <c r="B108" s="51" t="s">
        <v>660</v>
      </c>
      <c r="C108" s="150" t="s">
        <v>638</v>
      </c>
      <c r="D108" s="52">
        <v>9</v>
      </c>
      <c r="E108" s="52">
        <v>1</v>
      </c>
      <c r="F108" s="63">
        <v>34</v>
      </c>
      <c r="G108" s="54" t="s">
        <v>218</v>
      </c>
      <c r="H108" s="181" t="s">
        <v>179</v>
      </c>
      <c r="I108" s="55">
        <f t="shared" si="99"/>
        <v>49.199999999999989</v>
      </c>
      <c r="J108" s="55">
        <f t="shared" si="79"/>
        <v>1829.52</v>
      </c>
      <c r="K108" s="55">
        <f t="shared" si="80"/>
        <v>186.3</v>
      </c>
      <c r="L108" s="56">
        <v>2065.02</v>
      </c>
      <c r="M108" s="56">
        <v>1878.72</v>
      </c>
      <c r="N108" s="56">
        <f t="shared" si="100"/>
        <v>49.200000000000045</v>
      </c>
      <c r="O108" s="56">
        <v>186.3</v>
      </c>
      <c r="P108" s="56">
        <v>0</v>
      </c>
      <c r="Q108" s="55"/>
      <c r="R108" s="55">
        <v>2065.02</v>
      </c>
      <c r="S108" s="55"/>
      <c r="T108" s="55">
        <v>1829.52</v>
      </c>
      <c r="U108" s="152">
        <v>235.5</v>
      </c>
      <c r="V108" s="57">
        <v>0.17599999999999999</v>
      </c>
      <c r="W108" s="57">
        <v>0.1134</v>
      </c>
      <c r="X108" s="153">
        <v>0.28170000000000001</v>
      </c>
      <c r="Y108" s="153">
        <v>6.5699999999999995E-2</v>
      </c>
      <c r="Z108" s="57">
        <v>2.1299999999999999E-2</v>
      </c>
      <c r="AA108" s="57">
        <v>0.2278</v>
      </c>
      <c r="AB108" s="57">
        <v>0</v>
      </c>
      <c r="AC108" s="153">
        <v>0.63149999999999995</v>
      </c>
      <c r="AD108" s="57">
        <v>0.13400000000000001</v>
      </c>
      <c r="AE108" s="57">
        <v>0</v>
      </c>
      <c r="AF108" s="57">
        <v>2.0295000000000001</v>
      </c>
      <c r="AG108" s="57">
        <v>0.23350000000000001</v>
      </c>
      <c r="AH108" s="57">
        <v>0.39529999999999998</v>
      </c>
      <c r="AI108" s="57">
        <v>0.1113</v>
      </c>
      <c r="AJ108" s="57">
        <v>9.3799999999999994E-2</v>
      </c>
      <c r="AK108" s="57">
        <v>4.1399999999999999E-2</v>
      </c>
      <c r="AL108" s="57">
        <v>5.9499999999999997E-2</v>
      </c>
      <c r="AM108" s="57">
        <v>2.69E-2</v>
      </c>
      <c r="AN108" s="57">
        <v>0</v>
      </c>
      <c r="AO108" s="57">
        <v>1.2790999999999999</v>
      </c>
      <c r="AP108" s="153">
        <v>1.5176000000000001</v>
      </c>
      <c r="AQ108" s="153">
        <v>8.43E-2</v>
      </c>
      <c r="AR108" s="57">
        <v>0.443</v>
      </c>
      <c r="AS108" s="57">
        <v>2.9499999999999998E-2</v>
      </c>
      <c r="AT108" s="153">
        <v>4.7999999999999996E-3</v>
      </c>
      <c r="AU108" s="153">
        <v>0.2727</v>
      </c>
      <c r="AV108" s="153">
        <v>0</v>
      </c>
      <c r="AW108" s="154">
        <v>8.2735999999999983</v>
      </c>
      <c r="AX108" s="58">
        <v>0.41370000000000001</v>
      </c>
      <c r="AY108" s="155">
        <f t="shared" si="81"/>
        <v>0.40949999999999998</v>
      </c>
      <c r="AZ108" s="155">
        <f t="shared" si="82"/>
        <v>4.200000000000037E-3</v>
      </c>
      <c r="BA108" s="14">
        <v>8.6872999999999987</v>
      </c>
      <c r="BB108" s="59">
        <f>BA108-'[1]Тариф 26 свод без  ПДВ'!AU108</f>
        <v>5.49999999999784E-3</v>
      </c>
      <c r="BC108" s="57">
        <v>1.8732</v>
      </c>
      <c r="BD108" s="57">
        <v>0</v>
      </c>
      <c r="BE108" s="57">
        <v>0.50919999999999999</v>
      </c>
      <c r="BF108" s="156">
        <v>10.655999999999999</v>
      </c>
      <c r="BG108" s="59">
        <v>0.53280000000000005</v>
      </c>
      <c r="BH108" s="59"/>
      <c r="BI108" s="59"/>
      <c r="BJ108" s="14">
        <v>11.188799999999999</v>
      </c>
      <c r="BK108" s="60"/>
      <c r="BL108" s="60">
        <v>4.7611999999999988</v>
      </c>
      <c r="BM108" s="60">
        <v>0.23810000000000001</v>
      </c>
      <c r="BN108" s="14">
        <v>4.999299999999999</v>
      </c>
      <c r="BO108" s="14"/>
      <c r="BP108" s="157"/>
      <c r="BQ108" s="158">
        <f>BJ108-'[1]Тариф 26 свод без  ПДВ'!BG108</f>
        <v>4.5999999999981611E-3</v>
      </c>
      <c r="BR108" s="77">
        <f>'[1]Тариф 26 свод без  ПДВ'!BG108</f>
        <v>11.184200000000001</v>
      </c>
      <c r="BS108" s="159">
        <f t="shared" si="83"/>
        <v>4.5999999999981611E-3</v>
      </c>
      <c r="BU108" s="77">
        <f>'[1]Тариф 26 свод без  ПДВ'!AU108</f>
        <v>8.6818000000000008</v>
      </c>
      <c r="BV108" s="159">
        <f t="shared" si="84"/>
        <v>5.49999999999784E-3</v>
      </c>
      <c r="BX108" s="95">
        <v>4.4079000000000006</v>
      </c>
      <c r="BY108" s="95">
        <v>4.4079000000000006</v>
      </c>
      <c r="BZ108" s="95"/>
      <c r="CA108" s="62">
        <f t="shared" si="85"/>
        <v>1.9708477960026312</v>
      </c>
      <c r="CB108" s="62">
        <f t="shared" si="86"/>
        <v>2.5383515959980936</v>
      </c>
      <c r="CI108" s="160">
        <f>'[1]0 СВОД'!AYY123</f>
        <v>21828.900506692891</v>
      </c>
      <c r="CJ108" s="77">
        <f t="shared" si="87"/>
        <v>261946.80608031468</v>
      </c>
      <c r="CM108" s="161">
        <v>106</v>
      </c>
      <c r="CN108" s="183" t="s">
        <v>661</v>
      </c>
      <c r="CO108" s="163">
        <v>9</v>
      </c>
      <c r="CP108" s="163">
        <v>1</v>
      </c>
      <c r="CQ108" s="164" t="s">
        <v>218</v>
      </c>
      <c r="CR108" s="165" t="s">
        <v>179</v>
      </c>
      <c r="CS108" s="166">
        <v>49.199999999999989</v>
      </c>
      <c r="CT108" s="166">
        <v>1830.52</v>
      </c>
      <c r="CU108" s="167">
        <v>186.3</v>
      </c>
      <c r="CV108" s="168">
        <v>2066.02</v>
      </c>
      <c r="CW108" s="166">
        <v>1879.72</v>
      </c>
      <c r="CX108" s="167">
        <v>186.3</v>
      </c>
      <c r="CY108" s="166">
        <v>0</v>
      </c>
      <c r="CZ108" s="166"/>
      <c r="DA108" s="166">
        <v>2066.02</v>
      </c>
      <c r="DB108" s="166"/>
      <c r="DC108" s="166">
        <v>1830.52</v>
      </c>
      <c r="DD108" s="59">
        <v>0.17249999999999999</v>
      </c>
      <c r="DE108" s="59">
        <v>0.18099999999999999</v>
      </c>
      <c r="DF108" s="59">
        <v>0.18490000000000001</v>
      </c>
      <c r="DG108" s="59">
        <v>3.8699999999999998E-2</v>
      </c>
      <c r="DH108" s="59">
        <v>8.0000000000000002E-3</v>
      </c>
      <c r="DI108" s="59">
        <v>9.8699999999999996E-2</v>
      </c>
      <c r="DJ108" s="59">
        <v>4.8099999999999997E-2</v>
      </c>
      <c r="DK108" s="59">
        <v>0.3458</v>
      </c>
      <c r="DL108" s="59">
        <v>7.8600000000000003E-2</v>
      </c>
      <c r="DM108" s="59">
        <v>8.1500000000000003E-2</v>
      </c>
      <c r="DN108" s="169">
        <v>0</v>
      </c>
      <c r="DO108" s="184">
        <v>1.4418</v>
      </c>
      <c r="DP108" s="171">
        <f t="shared" si="88"/>
        <v>2.0295000000000001</v>
      </c>
      <c r="DQ108" s="59">
        <v>0.1124</v>
      </c>
      <c r="DR108" s="59">
        <v>0.23680000000000001</v>
      </c>
      <c r="DS108" s="59">
        <v>2.9000000000000001E-2</v>
      </c>
      <c r="DT108" s="59">
        <v>4.4400000000000002E-2</v>
      </c>
      <c r="DU108" s="59">
        <v>1.7500000000000002E-2</v>
      </c>
      <c r="DV108" s="59">
        <v>2.07E-2</v>
      </c>
      <c r="DW108" s="59">
        <v>6.0000000000000001E-3</v>
      </c>
      <c r="DX108" s="169">
        <v>0</v>
      </c>
      <c r="DY108" s="59">
        <v>0.58169999999999999</v>
      </c>
      <c r="DZ108" s="171">
        <f t="shared" si="89"/>
        <v>2.1988997765171048</v>
      </c>
      <c r="EA108" s="59">
        <v>0.9022</v>
      </c>
      <c r="EB108" s="171">
        <f t="shared" si="90"/>
        <v>1.7755486588339615</v>
      </c>
      <c r="EC108" s="59">
        <v>0.1774</v>
      </c>
      <c r="ED108" s="171">
        <f t="shared" si="91"/>
        <v>2.4971815107102593</v>
      </c>
      <c r="EE108" s="59">
        <v>2.2599999999999999E-2</v>
      </c>
      <c r="EF108" s="59">
        <v>3.0999999999999999E-3</v>
      </c>
      <c r="EG108" s="59">
        <v>0.31440000000000001</v>
      </c>
      <c r="EH108" s="59">
        <v>0</v>
      </c>
      <c r="EI108" s="155">
        <v>0.12870000000000001</v>
      </c>
      <c r="EJ108" s="172">
        <v>5.2765000000000004</v>
      </c>
      <c r="EK108" s="173"/>
      <c r="EL108" s="59">
        <v>1.1008</v>
      </c>
      <c r="EM108" s="59">
        <v>1.7065999999999999</v>
      </c>
      <c r="EN108" s="59">
        <v>0.19889999999999999</v>
      </c>
      <c r="EO108" s="172">
        <v>8.1540999999999997</v>
      </c>
      <c r="ES108" s="57">
        <f t="shared" si="101"/>
        <v>5.2765000000000004</v>
      </c>
      <c r="ET108" s="57">
        <f t="shared" si="102"/>
        <v>8.1540999999999997</v>
      </c>
      <c r="EU108" s="31"/>
      <c r="EV108" s="61">
        <f t="shared" si="92"/>
        <v>1.6464133421775795</v>
      </c>
      <c r="EW108" s="61">
        <f>BJ108/ET108</f>
        <v>1.3721686022982302</v>
      </c>
      <c r="EX108" s="185">
        <v>6.5471000000000004</v>
      </c>
      <c r="EY108" s="174">
        <v>11.1328</v>
      </c>
      <c r="EZ108" s="158">
        <f t="shared" si="93"/>
        <v>8.6872999999999987</v>
      </c>
      <c r="FA108" s="219">
        <f t="shared" si="94"/>
        <v>11.188799999999999</v>
      </c>
      <c r="FB108" s="158">
        <f>BA108-EX108</f>
        <v>2.1401999999999983</v>
      </c>
      <c r="FC108" s="158">
        <f>BJ108-EY108</f>
        <v>5.5999999999999162E-2</v>
      </c>
      <c r="FD108" s="175">
        <f t="shared" ref="FD108:FD109" si="141">FB108/EX108</f>
        <v>0.32689282277649617</v>
      </c>
      <c r="FE108" s="175">
        <f>FC108/FA108</f>
        <v>5.0050050050049304E-3</v>
      </c>
      <c r="FH108" s="174">
        <f t="shared" si="103"/>
        <v>17939.448245999996</v>
      </c>
      <c r="FJ108" s="176">
        <v>1.2667999999999999</v>
      </c>
      <c r="FK108" s="176">
        <f t="shared" si="104"/>
        <v>1.2996632003296333</v>
      </c>
      <c r="FL108" s="87">
        <v>1.4469000000000001</v>
      </c>
      <c r="FM108" s="177">
        <f t="shared" si="105"/>
        <v>0.94835068235415731</v>
      </c>
      <c r="FO108" s="88">
        <f t="shared" si="95"/>
        <v>17939.448245999996</v>
      </c>
      <c r="FP108" s="79">
        <f t="shared" si="96"/>
        <v>20470.133375999998</v>
      </c>
      <c r="FS108" s="79">
        <f t="shared" si="97"/>
        <v>10896.078030000001</v>
      </c>
      <c r="FT108" s="79">
        <f t="shared" si="98"/>
        <v>14918.089032</v>
      </c>
      <c r="FU108" s="79">
        <f t="shared" si="106"/>
        <v>1.6464133421775795</v>
      </c>
      <c r="FV108" s="79">
        <f t="shared" si="106"/>
        <v>1.3721686022982302</v>
      </c>
      <c r="FY108" s="79">
        <f t="shared" si="107"/>
        <v>2045.8591499999998</v>
      </c>
      <c r="FZ108" s="79">
        <f t="shared" si="108"/>
        <v>20470.133375999998</v>
      </c>
      <c r="GB108" s="178">
        <f t="shared" si="109"/>
        <v>235.5</v>
      </c>
      <c r="GC108" s="178">
        <f t="shared" si="110"/>
        <v>1829.52</v>
      </c>
      <c r="GG108" s="14">
        <v>6.9756000000000009</v>
      </c>
      <c r="GH108" s="175">
        <f t="shared" si="111"/>
        <v>1.2453839096278452</v>
      </c>
      <c r="GI108" s="14">
        <v>10.065200000000001</v>
      </c>
      <c r="GJ108" s="175">
        <f t="shared" si="112"/>
        <v>1.1116321583277031</v>
      </c>
      <c r="GK108" s="175">
        <f t="shared" si="129"/>
        <v>0.13375175130014205</v>
      </c>
      <c r="GN108" s="14">
        <v>8.5984999999999996</v>
      </c>
      <c r="GO108" s="175">
        <f t="shared" si="113"/>
        <v>1.2326538218934571</v>
      </c>
      <c r="GP108" s="179">
        <f t="shared" si="114"/>
        <v>1.0103273826830259</v>
      </c>
      <c r="GQ108" s="14">
        <v>11.0618</v>
      </c>
      <c r="GR108" s="175">
        <f t="shared" si="115"/>
        <v>1.0990144259428525</v>
      </c>
      <c r="GS108" s="175">
        <f t="shared" si="116"/>
        <v>1.0114809524670487</v>
      </c>
      <c r="GV108" s="32">
        <f t="shared" si="117"/>
        <v>2045.8591499999998</v>
      </c>
      <c r="GW108" s="32">
        <f t="shared" si="118"/>
        <v>20470.133375999998</v>
      </c>
      <c r="GX108" s="180">
        <f t="shared" si="119"/>
        <v>22515.992525999998</v>
      </c>
      <c r="GZ108" s="32">
        <f t="shared" si="120"/>
        <v>8.6872999999999987</v>
      </c>
      <c r="HA108" s="32">
        <f t="shared" si="121"/>
        <v>11.188799999999999</v>
      </c>
      <c r="HB108" s="32">
        <f t="shared" si="122"/>
        <v>10.90352273876282</v>
      </c>
    </row>
    <row r="109" spans="1:210" ht="19.2" customHeight="1" x14ac:dyDescent="0.3">
      <c r="A109" s="50">
        <v>101</v>
      </c>
      <c r="B109" s="51" t="s">
        <v>662</v>
      </c>
      <c r="C109" s="150" t="s">
        <v>638</v>
      </c>
      <c r="D109" s="52">
        <v>9</v>
      </c>
      <c r="E109" s="52">
        <v>1</v>
      </c>
      <c r="F109" s="63">
        <v>34</v>
      </c>
      <c r="G109" s="54" t="s">
        <v>219</v>
      </c>
      <c r="H109" s="181" t="s">
        <v>173</v>
      </c>
      <c r="I109" s="55">
        <f t="shared" si="99"/>
        <v>33.000000000000057</v>
      </c>
      <c r="J109" s="55">
        <f t="shared" si="79"/>
        <v>1677</v>
      </c>
      <c r="K109" s="55">
        <f t="shared" si="80"/>
        <v>180.7</v>
      </c>
      <c r="L109" s="56">
        <v>1890.7</v>
      </c>
      <c r="M109" s="56">
        <v>1710</v>
      </c>
      <c r="N109" s="56">
        <f t="shared" si="100"/>
        <v>33</v>
      </c>
      <c r="O109" s="56">
        <v>180.7</v>
      </c>
      <c r="P109" s="56">
        <v>0</v>
      </c>
      <c r="Q109" s="55"/>
      <c r="R109" s="55">
        <v>1890.7</v>
      </c>
      <c r="S109" s="55"/>
      <c r="T109" s="55">
        <v>1677</v>
      </c>
      <c r="U109" s="152">
        <v>213.70000000000005</v>
      </c>
      <c r="V109" s="57">
        <v>0.18579999999999999</v>
      </c>
      <c r="W109" s="57">
        <v>0.1045</v>
      </c>
      <c r="X109" s="153">
        <v>0.30880000000000002</v>
      </c>
      <c r="Y109" s="153">
        <v>6.9500000000000006E-2</v>
      </c>
      <c r="Z109" s="57">
        <v>2.3300000000000001E-2</v>
      </c>
      <c r="AA109" s="57">
        <v>0.248</v>
      </c>
      <c r="AB109" s="57">
        <v>0</v>
      </c>
      <c r="AC109" s="153">
        <v>0.63149999999999995</v>
      </c>
      <c r="AD109" s="57">
        <v>0.15060000000000001</v>
      </c>
      <c r="AE109" s="57">
        <v>0</v>
      </c>
      <c r="AF109" s="57">
        <v>2.3893</v>
      </c>
      <c r="AG109" s="57">
        <v>0.24329999999999999</v>
      </c>
      <c r="AH109" s="57">
        <v>0.37459999999999999</v>
      </c>
      <c r="AI109" s="57">
        <v>9.7199999999999995E-2</v>
      </c>
      <c r="AJ109" s="57">
        <v>0.1011</v>
      </c>
      <c r="AK109" s="57">
        <v>4.5199999999999997E-2</v>
      </c>
      <c r="AL109" s="57">
        <v>6.2399999999999997E-2</v>
      </c>
      <c r="AM109" s="57">
        <v>3.1E-2</v>
      </c>
      <c r="AN109" s="57">
        <v>0</v>
      </c>
      <c r="AO109" s="57">
        <v>1.5644</v>
      </c>
      <c r="AP109" s="153">
        <v>1.7196</v>
      </c>
      <c r="AQ109" s="153">
        <v>7.8899999999999998E-2</v>
      </c>
      <c r="AR109" s="57">
        <v>0.4481</v>
      </c>
      <c r="AS109" s="57">
        <v>3.61E-2</v>
      </c>
      <c r="AT109" s="153">
        <v>5.8999999999999999E-3</v>
      </c>
      <c r="AU109" s="153">
        <v>0.33289999999999997</v>
      </c>
      <c r="AV109" s="153">
        <v>0</v>
      </c>
      <c r="AW109" s="154">
        <v>9.2520000000000007</v>
      </c>
      <c r="AX109" s="58">
        <v>0.46260000000000001</v>
      </c>
      <c r="AY109" s="155">
        <f t="shared" si="81"/>
        <v>0.4587</v>
      </c>
      <c r="AZ109" s="155">
        <f t="shared" si="82"/>
        <v>3.9000000000000146E-3</v>
      </c>
      <c r="BA109" s="14">
        <v>9.7146000000000008</v>
      </c>
      <c r="BB109" s="59">
        <f>BA109-'[1]Тариф 26 свод без  ПДВ'!AU109</f>
        <v>-5.3000000000000824E-3</v>
      </c>
      <c r="BC109" s="57">
        <v>2.0436000000000001</v>
      </c>
      <c r="BD109" s="57">
        <v>0</v>
      </c>
      <c r="BE109" s="57">
        <v>0.41360000000000002</v>
      </c>
      <c r="BF109" s="156">
        <v>11.709200000000001</v>
      </c>
      <c r="BG109" s="59">
        <v>0.58550000000000002</v>
      </c>
      <c r="BH109" s="59"/>
      <c r="BI109" s="59"/>
      <c r="BJ109" s="14">
        <v>12.294700000000001</v>
      </c>
      <c r="BK109" s="60"/>
      <c r="BL109" s="60">
        <v>5.1870000000000003</v>
      </c>
      <c r="BM109" s="60">
        <v>0.25940000000000002</v>
      </c>
      <c r="BN109" s="14">
        <v>5.4464000000000006</v>
      </c>
      <c r="BO109" s="14"/>
      <c r="BP109" s="157"/>
      <c r="BQ109" s="158">
        <f>BJ109-'[1]Тариф 26 свод без  ПДВ'!BG109</f>
        <v>-2.2999999999999687E-3</v>
      </c>
      <c r="BR109" s="77">
        <f>'[1]Тариф 26 свод без  ПДВ'!BG109</f>
        <v>12.297000000000001</v>
      </c>
      <c r="BS109" s="159">
        <f t="shared" si="83"/>
        <v>-2.2999999999999687E-3</v>
      </c>
      <c r="BU109" s="77">
        <f>'[1]Тариф 26 свод без  ПДВ'!AU109</f>
        <v>9.7199000000000009</v>
      </c>
      <c r="BV109" s="159">
        <f t="shared" si="84"/>
        <v>-5.3000000000000824E-3</v>
      </c>
      <c r="BX109" s="95">
        <v>4.8052999999999999</v>
      </c>
      <c r="BY109" s="95">
        <v>4.8052999999999999</v>
      </c>
      <c r="BZ109" s="95"/>
      <c r="CA109" s="182">
        <f t="shared" si="85"/>
        <v>2.0216427694420744</v>
      </c>
      <c r="CB109" s="182">
        <f t="shared" si="86"/>
        <v>2.5585707448026138</v>
      </c>
      <c r="CI109" s="160">
        <f>'[1]0 СВОД'!AYY124</f>
        <v>21922.332424078821</v>
      </c>
      <c r="CJ109" s="77">
        <f t="shared" si="87"/>
        <v>263067.98908894585</v>
      </c>
      <c r="CM109" s="161">
        <v>107</v>
      </c>
      <c r="CN109" s="183" t="s">
        <v>663</v>
      </c>
      <c r="CO109" s="163">
        <v>9</v>
      </c>
      <c r="CP109" s="163">
        <v>1</v>
      </c>
      <c r="CQ109" s="164" t="s">
        <v>219</v>
      </c>
      <c r="CR109" s="165" t="s">
        <v>173</v>
      </c>
      <c r="CS109" s="166">
        <v>33.099999999999909</v>
      </c>
      <c r="CT109" s="166">
        <v>1675.6000000000001</v>
      </c>
      <c r="CU109" s="167">
        <v>176</v>
      </c>
      <c r="CV109" s="168">
        <v>1884.7</v>
      </c>
      <c r="CW109" s="166">
        <v>1708.7</v>
      </c>
      <c r="CX109" s="167">
        <v>176</v>
      </c>
      <c r="CY109" s="166">
        <v>0</v>
      </c>
      <c r="CZ109" s="166"/>
      <c r="DA109" s="166">
        <v>1884.7</v>
      </c>
      <c r="DB109" s="166"/>
      <c r="DC109" s="166">
        <v>1675.6000000000001</v>
      </c>
      <c r="DD109" s="59">
        <v>0.18279999999999999</v>
      </c>
      <c r="DE109" s="59">
        <v>0.17030000000000001</v>
      </c>
      <c r="DF109" s="59">
        <v>0.20349999999999999</v>
      </c>
      <c r="DG109" s="59">
        <v>4.1000000000000002E-2</v>
      </c>
      <c r="DH109" s="59">
        <v>8.8000000000000005E-3</v>
      </c>
      <c r="DI109" s="59">
        <v>0.1076</v>
      </c>
      <c r="DJ109" s="59">
        <v>4.8099999999999997E-2</v>
      </c>
      <c r="DK109" s="59">
        <v>0.3458</v>
      </c>
      <c r="DL109" s="169">
        <v>0</v>
      </c>
      <c r="DM109" s="59">
        <v>9.1899999999999996E-2</v>
      </c>
      <c r="DN109" s="169">
        <v>0</v>
      </c>
      <c r="DO109" s="184">
        <v>1.5626000000000002</v>
      </c>
      <c r="DP109" s="171">
        <f t="shared" si="88"/>
        <v>2.3893</v>
      </c>
      <c r="DQ109" s="59">
        <v>0.1174</v>
      </c>
      <c r="DR109" s="59">
        <v>0.22520000000000001</v>
      </c>
      <c r="DS109" s="59">
        <v>2.53E-2</v>
      </c>
      <c r="DT109" s="59">
        <v>4.7899999999999998E-2</v>
      </c>
      <c r="DU109" s="59">
        <v>1.9099999999999999E-2</v>
      </c>
      <c r="DV109" s="59">
        <v>2.18E-2</v>
      </c>
      <c r="DW109" s="59">
        <v>8.0000000000000002E-3</v>
      </c>
      <c r="DX109" s="169">
        <v>0</v>
      </c>
      <c r="DY109" s="59">
        <v>0.71489999999999998</v>
      </c>
      <c r="DZ109" s="171">
        <f t="shared" si="89"/>
        <v>2.1882780808504685</v>
      </c>
      <c r="EA109" s="59">
        <v>1.0179</v>
      </c>
      <c r="EB109" s="171">
        <f t="shared" si="90"/>
        <v>1.7668729737695255</v>
      </c>
      <c r="EC109" s="59">
        <v>0.1799</v>
      </c>
      <c r="ED109" s="171">
        <f t="shared" si="91"/>
        <v>2.49082823790995</v>
      </c>
      <c r="EE109" s="59">
        <v>2.7699999999999999E-2</v>
      </c>
      <c r="EF109" s="59">
        <v>3.8E-3</v>
      </c>
      <c r="EG109" s="59">
        <v>0.1983</v>
      </c>
      <c r="EH109" s="59">
        <v>0</v>
      </c>
      <c r="EI109" s="155">
        <v>0.13420000000000001</v>
      </c>
      <c r="EJ109" s="172">
        <v>5.5038</v>
      </c>
      <c r="EK109" s="173"/>
      <c r="EL109" s="59">
        <v>1.7678</v>
      </c>
      <c r="EM109" s="59">
        <v>0.247</v>
      </c>
      <c r="EN109" s="59">
        <v>0.18459999999999999</v>
      </c>
      <c r="EO109" s="172">
        <v>7.569</v>
      </c>
      <c r="ES109" s="57">
        <f t="shared" si="101"/>
        <v>5.5038</v>
      </c>
      <c r="ET109" s="57">
        <f t="shared" si="102"/>
        <v>7.569</v>
      </c>
      <c r="EU109" s="31"/>
      <c r="EV109" s="61">
        <f t="shared" si="92"/>
        <v>1.7650714052109453</v>
      </c>
      <c r="EW109" s="61">
        <f>BJ109/ET109</f>
        <v>1.6243493195930772</v>
      </c>
      <c r="EX109" s="185">
        <v>7.3319999999999999</v>
      </c>
      <c r="EY109" s="174">
        <v>10.2082</v>
      </c>
      <c r="EZ109" s="158">
        <f t="shared" si="93"/>
        <v>9.7146000000000008</v>
      </c>
      <c r="FA109" s="158">
        <f t="shared" si="94"/>
        <v>12.294700000000001</v>
      </c>
      <c r="FB109" s="158">
        <f>BA109-EX109</f>
        <v>2.3826000000000009</v>
      </c>
      <c r="FC109" s="158">
        <f>BJ109-EY109</f>
        <v>2.0865000000000009</v>
      </c>
      <c r="FD109" s="175">
        <f t="shared" si="141"/>
        <v>0.32495908346972191</v>
      </c>
      <c r="FE109" s="175">
        <f t="shared" ref="FE109" si="142">FC109/FA109</f>
        <v>0.16970727223925763</v>
      </c>
      <c r="FF109" s="158"/>
      <c r="FG109" s="174"/>
      <c r="FH109" s="174">
        <f t="shared" si="103"/>
        <v>18367.394220000002</v>
      </c>
      <c r="FI109" s="174"/>
      <c r="FJ109" s="176">
        <v>1.3483000000000001</v>
      </c>
      <c r="FK109" s="176">
        <f t="shared" si="104"/>
        <v>1.3091088075435329</v>
      </c>
      <c r="FL109" s="87">
        <v>1.3604000000000001</v>
      </c>
      <c r="FM109" s="177">
        <f t="shared" si="105"/>
        <v>1.1940233163724472</v>
      </c>
      <c r="FO109" s="88">
        <f t="shared" si="95"/>
        <v>18367.394220000002</v>
      </c>
      <c r="FP109" s="79">
        <f t="shared" si="96"/>
        <v>20618.211900000002</v>
      </c>
      <c r="FS109" s="79">
        <f t="shared" si="97"/>
        <v>10406.034660000001</v>
      </c>
      <c r="FT109" s="79">
        <f t="shared" si="98"/>
        <v>12693.213</v>
      </c>
      <c r="FU109" s="79">
        <f t="shared" si="106"/>
        <v>1.7650714052109451</v>
      </c>
      <c r="FV109" s="79">
        <f t="shared" si="106"/>
        <v>1.6243493195930772</v>
      </c>
      <c r="FY109" s="79">
        <f t="shared" si="107"/>
        <v>2076.0100200000006</v>
      </c>
      <c r="FZ109" s="79">
        <f t="shared" si="108"/>
        <v>20618.211900000002</v>
      </c>
      <c r="GB109" s="178">
        <f t="shared" si="109"/>
        <v>213.70000000000005</v>
      </c>
      <c r="GC109" s="178">
        <f t="shared" si="110"/>
        <v>1677</v>
      </c>
      <c r="GG109" s="14">
        <v>7.6497000000000011</v>
      </c>
      <c r="GH109" s="175">
        <f t="shared" si="111"/>
        <v>1.2699321542021256</v>
      </c>
      <c r="GI109" s="14">
        <v>10.662900000000002</v>
      </c>
      <c r="GJ109" s="175">
        <f t="shared" si="112"/>
        <v>1.1530352905869883</v>
      </c>
      <c r="GK109" s="175">
        <f t="shared" si="129"/>
        <v>0.11689686361513729</v>
      </c>
      <c r="GN109" s="14">
        <v>9.6059999999999999</v>
      </c>
      <c r="GO109" s="175">
        <f t="shared" si="113"/>
        <v>1.2557355190399622</v>
      </c>
      <c r="GP109" s="179">
        <f t="shared" si="114"/>
        <v>1.0113054341036853</v>
      </c>
      <c r="GQ109" s="14">
        <v>12.014099999999999</v>
      </c>
      <c r="GR109" s="175">
        <f t="shared" si="115"/>
        <v>1.1267197479109807</v>
      </c>
      <c r="GS109" s="175">
        <f t="shared" si="116"/>
        <v>1.0233558901623927</v>
      </c>
      <c r="GV109" s="32">
        <f t="shared" si="117"/>
        <v>2076.0100200000006</v>
      </c>
      <c r="GW109" s="32">
        <f t="shared" si="118"/>
        <v>20618.211900000002</v>
      </c>
      <c r="GX109" s="180">
        <f t="shared" si="119"/>
        <v>22694.221920000004</v>
      </c>
      <c r="GZ109" s="32">
        <f t="shared" si="120"/>
        <v>9.7146000000000008</v>
      </c>
      <c r="HA109" s="32">
        <f t="shared" si="121"/>
        <v>12.294700000000001</v>
      </c>
      <c r="HB109" s="32">
        <f t="shared" si="122"/>
        <v>12.003079240492941</v>
      </c>
    </row>
    <row r="110" spans="1:210" ht="19.2" customHeight="1" x14ac:dyDescent="0.3">
      <c r="A110" s="50">
        <v>102</v>
      </c>
      <c r="B110" s="51" t="s">
        <v>664</v>
      </c>
      <c r="C110" s="150" t="s">
        <v>638</v>
      </c>
      <c r="D110" s="52">
        <v>5</v>
      </c>
      <c r="E110" s="52">
        <v>4</v>
      </c>
      <c r="F110" s="63">
        <v>60</v>
      </c>
      <c r="G110" s="54" t="s">
        <v>92</v>
      </c>
      <c r="H110" s="181" t="s">
        <v>56</v>
      </c>
      <c r="I110" s="55">
        <f t="shared" si="99"/>
        <v>3222.3</v>
      </c>
      <c r="J110" s="55">
        <f t="shared" si="79"/>
        <v>0</v>
      </c>
      <c r="K110" s="55">
        <f t="shared" si="80"/>
        <v>0</v>
      </c>
      <c r="L110" s="56">
        <v>3222.3</v>
      </c>
      <c r="M110" s="56">
        <v>3222.3</v>
      </c>
      <c r="N110" s="56">
        <f t="shared" si="100"/>
        <v>3222.3</v>
      </c>
      <c r="O110" s="56">
        <v>0</v>
      </c>
      <c r="P110" s="56">
        <v>0</v>
      </c>
      <c r="Q110" s="55"/>
      <c r="R110" s="55">
        <v>3222.3</v>
      </c>
      <c r="S110" s="55"/>
      <c r="T110" s="55">
        <v>0</v>
      </c>
      <c r="U110" s="152">
        <v>3222.3</v>
      </c>
      <c r="V110" s="57">
        <v>0.16639999999999999</v>
      </c>
      <c r="W110" s="153">
        <v>8.6599999999999996E-2</v>
      </c>
      <c r="X110" s="57">
        <v>0.32640000000000002</v>
      </c>
      <c r="Y110" s="57">
        <v>7.3800000000000004E-2</v>
      </c>
      <c r="Z110" s="153">
        <v>2.6700000000000002E-2</v>
      </c>
      <c r="AA110" s="57">
        <v>0.47420000000000001</v>
      </c>
      <c r="AB110" s="153">
        <v>0</v>
      </c>
      <c r="AC110" s="57">
        <v>0.63149999999999995</v>
      </c>
      <c r="AD110" s="57">
        <v>0.1472</v>
      </c>
      <c r="AE110" s="57">
        <v>0</v>
      </c>
      <c r="AF110" s="57">
        <v>1.2214</v>
      </c>
      <c r="AG110" s="57">
        <v>0.21990000000000001</v>
      </c>
      <c r="AH110" s="57">
        <v>0.27339999999999998</v>
      </c>
      <c r="AI110" s="153">
        <v>9.1600000000000001E-2</v>
      </c>
      <c r="AJ110" s="153">
        <v>9.5299999999999996E-2</v>
      </c>
      <c r="AK110" s="153">
        <v>5.1900000000000002E-2</v>
      </c>
      <c r="AL110" s="57">
        <v>0.1472</v>
      </c>
      <c r="AM110" s="153">
        <v>3.49E-2</v>
      </c>
      <c r="AN110" s="57">
        <v>0</v>
      </c>
      <c r="AO110" s="153">
        <v>2.9251</v>
      </c>
      <c r="AP110" s="57">
        <v>1.2199</v>
      </c>
      <c r="AQ110" s="57">
        <v>0.1051</v>
      </c>
      <c r="AR110" s="153">
        <v>0.55800000000000005</v>
      </c>
      <c r="AS110" s="57">
        <v>6.6400000000000001E-2</v>
      </c>
      <c r="AT110" s="57">
        <v>1.0800000000000001E-2</v>
      </c>
      <c r="AU110" s="153">
        <v>0.41760000000000003</v>
      </c>
      <c r="AV110" s="153">
        <v>0</v>
      </c>
      <c r="AW110" s="154">
        <v>9.3712999999999997</v>
      </c>
      <c r="AX110" s="58">
        <v>0.46860000000000002</v>
      </c>
      <c r="AY110" s="155">
        <f t="shared" si="81"/>
        <v>0.46329999999999999</v>
      </c>
      <c r="AZ110" s="155">
        <f t="shared" si="82"/>
        <v>5.3000000000000269E-3</v>
      </c>
      <c r="BA110" s="14">
        <v>9.8399000000000001</v>
      </c>
      <c r="BB110" s="59">
        <f>BA110-'[1]Тариф 26 свод без  ПДВ'!AU110</f>
        <v>7.0000000000014495E-4</v>
      </c>
      <c r="BC110" s="57">
        <v>0</v>
      </c>
      <c r="BD110" s="57">
        <v>0</v>
      </c>
      <c r="BE110" s="57">
        <v>0</v>
      </c>
      <c r="BF110" s="156">
        <v>9.3712999999999997</v>
      </c>
      <c r="BG110" s="59">
        <v>0.46860000000000002</v>
      </c>
      <c r="BH110" s="59"/>
      <c r="BI110" s="59"/>
      <c r="BJ110" s="14">
        <v>9.8399000000000001</v>
      </c>
      <c r="BK110" s="60"/>
      <c r="BL110" s="60">
        <v>4.2507000000000001</v>
      </c>
      <c r="BM110" s="60">
        <v>0.21249999999999999</v>
      </c>
      <c r="BN110" s="14">
        <v>4.4632000000000005</v>
      </c>
      <c r="BO110" s="14"/>
      <c r="BP110" s="157"/>
      <c r="BQ110" s="158">
        <f>BJ110-'[1]Тариф 26 свод без  ПДВ'!BG110</f>
        <v>7.0000000000014495E-4</v>
      </c>
      <c r="BR110" s="77">
        <f>'[1]Тариф 26 свод без  ПДВ'!BG110</f>
        <v>9.8391999999999999</v>
      </c>
      <c r="BS110" s="159">
        <f t="shared" si="83"/>
        <v>7.0000000000014495E-4</v>
      </c>
      <c r="BU110" s="77">
        <f>'[1]Тариф 26 свод без  ПДВ'!AU110</f>
        <v>9.8391999999999999</v>
      </c>
      <c r="BV110" s="159">
        <f t="shared" si="84"/>
        <v>7.0000000000014495E-4</v>
      </c>
      <c r="BX110" s="95">
        <v>4.4540000000000006</v>
      </c>
      <c r="BY110" s="95">
        <v>4.4540000000000006</v>
      </c>
      <c r="BZ110" s="95"/>
      <c r="CA110" s="62">
        <f t="shared" si="85"/>
        <v>2.2092276605298604</v>
      </c>
      <c r="CB110" s="62">
        <f t="shared" si="86"/>
        <v>2.2092276605298604</v>
      </c>
      <c r="CI110" s="160">
        <f>'[1]0 СВОД'!AYY125</f>
        <v>31706.42264967056</v>
      </c>
      <c r="CJ110" s="77">
        <f t="shared" si="87"/>
        <v>380477.07179604669</v>
      </c>
      <c r="CM110" s="161">
        <v>108</v>
      </c>
      <c r="CN110" s="162" t="s">
        <v>665</v>
      </c>
      <c r="CO110" s="163">
        <v>5</v>
      </c>
      <c r="CP110" s="163">
        <v>4</v>
      </c>
      <c r="CQ110" s="164" t="s">
        <v>92</v>
      </c>
      <c r="CR110" s="165" t="s">
        <v>56</v>
      </c>
      <c r="CS110" s="166">
        <v>3220.5</v>
      </c>
      <c r="CT110" s="166">
        <v>0</v>
      </c>
      <c r="CU110" s="167">
        <v>0</v>
      </c>
      <c r="CV110" s="168">
        <v>3220.5</v>
      </c>
      <c r="CW110" s="166">
        <v>3220.5</v>
      </c>
      <c r="CX110" s="167">
        <v>0</v>
      </c>
      <c r="CY110" s="166">
        <v>0</v>
      </c>
      <c r="CZ110" s="166"/>
      <c r="DA110" s="166">
        <v>3220.5</v>
      </c>
      <c r="DB110" s="166"/>
      <c r="DC110" s="166">
        <v>0</v>
      </c>
      <c r="DD110" s="59">
        <v>0.16339999999999999</v>
      </c>
      <c r="DE110" s="59">
        <v>0.12529999999999999</v>
      </c>
      <c r="DF110" s="59">
        <v>0.2147</v>
      </c>
      <c r="DG110" s="59">
        <v>4.3499999999999997E-2</v>
      </c>
      <c r="DH110" s="59">
        <v>0.01</v>
      </c>
      <c r="DI110" s="59">
        <v>0.2072</v>
      </c>
      <c r="DJ110" s="59">
        <v>4.8099999999999997E-2</v>
      </c>
      <c r="DK110" s="59">
        <v>0.3458</v>
      </c>
      <c r="DL110" s="169">
        <v>0</v>
      </c>
      <c r="DM110" s="59">
        <v>8.9700000000000002E-2</v>
      </c>
      <c r="DN110" s="169">
        <v>0</v>
      </c>
      <c r="DO110" s="59">
        <v>0.71709999999999996</v>
      </c>
      <c r="DP110" s="171">
        <f t="shared" si="88"/>
        <v>1.2214</v>
      </c>
      <c r="DQ110" s="59">
        <v>0.10589999999999999</v>
      </c>
      <c r="DR110" s="59">
        <v>0.1636</v>
      </c>
      <c r="DS110" s="59">
        <v>2.3900000000000001E-2</v>
      </c>
      <c r="DT110" s="59">
        <v>4.48E-2</v>
      </c>
      <c r="DU110" s="59">
        <v>2.1899999999999999E-2</v>
      </c>
      <c r="DV110" s="59">
        <v>5.9499999999999997E-2</v>
      </c>
      <c r="DW110" s="59">
        <v>9.7999999999999997E-3</v>
      </c>
      <c r="DX110" s="169">
        <v>0</v>
      </c>
      <c r="DY110" s="170">
        <v>1.4298999999999999</v>
      </c>
      <c r="DZ110" s="171">
        <f t="shared" si="89"/>
        <v>2.0456675291978459</v>
      </c>
      <c r="EA110" s="59">
        <v>0.74050000000000005</v>
      </c>
      <c r="EB110" s="171">
        <f t="shared" si="90"/>
        <v>1.7893315327481429</v>
      </c>
      <c r="EC110" s="59">
        <v>0.34949999999999998</v>
      </c>
      <c r="ED110" s="171">
        <f t="shared" si="91"/>
        <v>1.5965665236051505</v>
      </c>
      <c r="EE110" s="59">
        <v>5.0799999999999998E-2</v>
      </c>
      <c r="EF110" s="59">
        <v>7.1000000000000004E-3</v>
      </c>
      <c r="EG110" s="59">
        <v>0.3216</v>
      </c>
      <c r="EH110" s="59">
        <v>0</v>
      </c>
      <c r="EI110" s="208">
        <v>0.1323</v>
      </c>
      <c r="EJ110" s="172">
        <v>5.4258999999999995</v>
      </c>
      <c r="EK110" s="173"/>
      <c r="EL110" s="169">
        <v>0</v>
      </c>
      <c r="EM110" s="169">
        <v>0</v>
      </c>
      <c r="EN110" s="59"/>
      <c r="EO110" s="172"/>
      <c r="ES110" s="57">
        <f t="shared" si="101"/>
        <v>5.4258999999999995</v>
      </c>
      <c r="ET110" s="57">
        <f t="shared" si="102"/>
        <v>0</v>
      </c>
      <c r="EU110" s="31"/>
      <c r="EV110" s="211">
        <f t="shared" si="92"/>
        <v>1.8135055935420854</v>
      </c>
      <c r="EW110" s="62"/>
      <c r="EX110" s="158">
        <f>ES110*1.305-BA110</f>
        <v>-2.7591005000000015</v>
      </c>
      <c r="EY110" s="77">
        <f>ES110*1.344</f>
        <v>7.2924096</v>
      </c>
      <c r="EZ110" s="158">
        <f t="shared" si="93"/>
        <v>9.8399000000000001</v>
      </c>
      <c r="FA110" s="158">
        <f t="shared" si="94"/>
        <v>9.8399000000000001</v>
      </c>
      <c r="FH110" s="174">
        <f t="shared" si="103"/>
        <v>31707.109770000003</v>
      </c>
      <c r="FJ110" s="87">
        <v>1.4043000000000001</v>
      </c>
      <c r="FK110" s="176">
        <f t="shared" si="104"/>
        <v>1.2913947116300544</v>
      </c>
      <c r="FM110" s="87" t="e">
        <f t="shared" si="105"/>
        <v>#DIV/0!</v>
      </c>
      <c r="FO110" s="88">
        <f t="shared" si="95"/>
        <v>31707.109770000003</v>
      </c>
      <c r="FP110" s="79">
        <f t="shared" si="96"/>
        <v>0</v>
      </c>
      <c r="FS110" s="79">
        <f t="shared" si="97"/>
        <v>17483.877570000001</v>
      </c>
      <c r="FT110" s="79">
        <f t="shared" si="98"/>
        <v>0</v>
      </c>
      <c r="FU110" s="79">
        <f t="shared" si="106"/>
        <v>1.8135055935420852</v>
      </c>
      <c r="FV110" s="79" t="e">
        <f t="shared" si="106"/>
        <v>#DIV/0!</v>
      </c>
      <c r="FY110" s="79">
        <f t="shared" si="107"/>
        <v>31707.109770000003</v>
      </c>
      <c r="FZ110" s="79">
        <f t="shared" si="108"/>
        <v>0</v>
      </c>
      <c r="GB110" s="178">
        <f t="shared" si="109"/>
        <v>3222.3</v>
      </c>
      <c r="GC110" s="178">
        <f t="shared" si="110"/>
        <v>0</v>
      </c>
      <c r="GG110" s="14">
        <v>7.7485000000000008</v>
      </c>
      <c r="GH110" s="175">
        <f t="shared" si="111"/>
        <v>1.2699103052203651</v>
      </c>
      <c r="GI110" s="14">
        <v>7.7485000000000008</v>
      </c>
      <c r="GJ110" s="175">
        <f t="shared" si="112"/>
        <v>1.2699103052203651</v>
      </c>
      <c r="GK110" s="175">
        <f>GH110-GJ110</f>
        <v>0</v>
      </c>
      <c r="GN110" s="14">
        <v>9.8798999999999992</v>
      </c>
      <c r="GO110" s="175">
        <f t="shared" si="113"/>
        <v>1.2750725946957473</v>
      </c>
      <c r="GP110" s="179">
        <f t="shared" si="114"/>
        <v>0.9959513760260732</v>
      </c>
      <c r="GQ110" s="14">
        <v>9.8798999999999992</v>
      </c>
      <c r="GR110" s="175">
        <f t="shared" si="115"/>
        <v>1.2750725946957473</v>
      </c>
      <c r="GS110" s="175">
        <f t="shared" si="116"/>
        <v>0.9959513760260732</v>
      </c>
      <c r="GV110" s="32">
        <f t="shared" si="117"/>
        <v>31707.109770000003</v>
      </c>
      <c r="GW110" s="32">
        <f t="shared" si="118"/>
        <v>0</v>
      </c>
      <c r="GX110" s="180">
        <f t="shared" si="119"/>
        <v>31707.109770000003</v>
      </c>
      <c r="GZ110" s="32">
        <f t="shared" si="120"/>
        <v>9.8399000000000001</v>
      </c>
      <c r="HA110" s="32" t="e">
        <f t="shared" si="121"/>
        <v>#DIV/0!</v>
      </c>
      <c r="HB110" s="32">
        <f t="shared" si="122"/>
        <v>9.8399000000000001</v>
      </c>
    </row>
    <row r="111" spans="1:210" ht="19.2" customHeight="1" x14ac:dyDescent="0.3">
      <c r="A111" s="50">
        <v>103</v>
      </c>
      <c r="B111" s="51" t="s">
        <v>666</v>
      </c>
      <c r="C111" s="150" t="s">
        <v>638</v>
      </c>
      <c r="D111" s="52">
        <v>9</v>
      </c>
      <c r="E111" s="52">
        <v>1</v>
      </c>
      <c r="F111" s="63">
        <v>34</v>
      </c>
      <c r="G111" s="54" t="s">
        <v>220</v>
      </c>
      <c r="H111" s="181" t="s">
        <v>179</v>
      </c>
      <c r="I111" s="55">
        <f t="shared" si="99"/>
        <v>115.20000000000009</v>
      </c>
      <c r="J111" s="55">
        <f t="shared" si="79"/>
        <v>1884</v>
      </c>
      <c r="K111" s="55">
        <f t="shared" si="80"/>
        <v>109.7</v>
      </c>
      <c r="L111" s="56">
        <v>2108.9</v>
      </c>
      <c r="M111" s="56">
        <v>1999.2</v>
      </c>
      <c r="N111" s="56">
        <f t="shared" si="100"/>
        <v>115.20000000000005</v>
      </c>
      <c r="O111" s="56">
        <v>109.7</v>
      </c>
      <c r="P111" s="56">
        <v>0</v>
      </c>
      <c r="Q111" s="55"/>
      <c r="R111" s="55">
        <v>2108.9</v>
      </c>
      <c r="S111" s="55"/>
      <c r="T111" s="55">
        <v>1884</v>
      </c>
      <c r="U111" s="152">
        <v>224.90000000000009</v>
      </c>
      <c r="V111" s="57">
        <v>0.1875</v>
      </c>
      <c r="W111" s="57">
        <v>0.1205</v>
      </c>
      <c r="X111" s="153">
        <v>0.24970000000000001</v>
      </c>
      <c r="Y111" s="153">
        <v>6.2300000000000001E-2</v>
      </c>
      <c r="Z111" s="57">
        <v>2.0799999999999999E-2</v>
      </c>
      <c r="AA111" s="57">
        <v>0.21779999999999999</v>
      </c>
      <c r="AB111" s="57">
        <v>0</v>
      </c>
      <c r="AC111" s="153">
        <v>0.63149999999999995</v>
      </c>
      <c r="AD111" s="57">
        <v>0.1275</v>
      </c>
      <c r="AE111" s="57">
        <v>0</v>
      </c>
      <c r="AF111" s="57">
        <v>2.0821000000000001</v>
      </c>
      <c r="AG111" s="57">
        <v>0.24709999999999999</v>
      </c>
      <c r="AH111" s="57">
        <v>0.41120000000000001</v>
      </c>
      <c r="AI111" s="57">
        <v>0.1101</v>
      </c>
      <c r="AJ111" s="57">
        <v>9.2399999999999996E-2</v>
      </c>
      <c r="AK111" s="57">
        <v>4.0500000000000001E-2</v>
      </c>
      <c r="AL111" s="57">
        <v>5.4800000000000001E-2</v>
      </c>
      <c r="AM111" s="57">
        <v>2.4299999999999999E-2</v>
      </c>
      <c r="AN111" s="57">
        <v>0</v>
      </c>
      <c r="AO111" s="57">
        <v>1.2619</v>
      </c>
      <c r="AP111" s="153">
        <v>1.2121999999999999</v>
      </c>
      <c r="AQ111" s="153">
        <v>9.6500000000000002E-2</v>
      </c>
      <c r="AR111" s="57">
        <v>0.53049999999999997</v>
      </c>
      <c r="AS111" s="57">
        <v>3.5799999999999998E-2</v>
      </c>
      <c r="AT111" s="153">
        <v>5.7999999999999996E-3</v>
      </c>
      <c r="AU111" s="153">
        <v>0.5696</v>
      </c>
      <c r="AV111" s="153">
        <v>0</v>
      </c>
      <c r="AW111" s="154">
        <v>8.3924000000000003</v>
      </c>
      <c r="AX111" s="58">
        <v>0.41959999999999997</v>
      </c>
      <c r="AY111" s="155">
        <f t="shared" si="81"/>
        <v>0.4148</v>
      </c>
      <c r="AZ111" s="155">
        <f t="shared" si="82"/>
        <v>4.799999999999971E-3</v>
      </c>
      <c r="BA111" s="14">
        <v>8.8120000000000012</v>
      </c>
      <c r="BB111" s="59">
        <f>BA111-'[1]Тариф 26 свод без  ПДВ'!AU111</f>
        <v>-1.9999999999953388E-4</v>
      </c>
      <c r="BC111" s="57">
        <v>1.3063</v>
      </c>
      <c r="BD111" s="57">
        <v>9.5399999999999999E-2</v>
      </c>
      <c r="BE111" s="57">
        <v>0.5907</v>
      </c>
      <c r="BF111" s="156">
        <v>10.3848</v>
      </c>
      <c r="BG111" s="59">
        <v>0.51919999999999999</v>
      </c>
      <c r="BH111" s="59"/>
      <c r="BI111" s="59"/>
      <c r="BJ111" s="14">
        <v>10.904</v>
      </c>
      <c r="BK111" s="60"/>
      <c r="BL111" s="60">
        <v>4.8182</v>
      </c>
      <c r="BM111" s="60">
        <v>0.2409</v>
      </c>
      <c r="BN111" s="14">
        <v>5.0590999999999999</v>
      </c>
      <c r="BO111" s="14"/>
      <c r="BP111" s="157"/>
      <c r="BQ111" s="158">
        <f>BJ111-'[1]Тариф 26 свод без  ПДВ'!BG111</f>
        <v>3.3999999999991815E-3</v>
      </c>
      <c r="BR111" s="77">
        <f>'[1]Тариф 26 свод без  ПДВ'!BG111</f>
        <v>10.900600000000001</v>
      </c>
      <c r="BS111" s="159">
        <f t="shared" si="83"/>
        <v>3.3999999999991815E-3</v>
      </c>
      <c r="BU111" s="77">
        <f>'[1]Тариф 26 свод без  ПДВ'!AU111</f>
        <v>8.8122000000000007</v>
      </c>
      <c r="BV111" s="159">
        <f t="shared" si="84"/>
        <v>-1.9999999999953388E-4</v>
      </c>
      <c r="BX111" s="95">
        <v>4.4708000000000006</v>
      </c>
      <c r="BY111" s="95">
        <v>4.4708000000000006</v>
      </c>
      <c r="BZ111" s="95"/>
      <c r="CA111" s="62">
        <f t="shared" si="85"/>
        <v>1.9710118994363426</v>
      </c>
      <c r="CB111" s="62">
        <f t="shared" si="86"/>
        <v>2.4389371029793323</v>
      </c>
      <c r="CI111" s="160">
        <f>'[1]0 СВОД'!AYY126</f>
        <v>22113.167323478719</v>
      </c>
      <c r="CJ111" s="77">
        <f t="shared" si="87"/>
        <v>265358.00788174465</v>
      </c>
      <c r="CM111" s="161">
        <v>109</v>
      </c>
      <c r="CN111" s="162" t="s">
        <v>667</v>
      </c>
      <c r="CO111" s="163">
        <v>9</v>
      </c>
      <c r="CP111" s="163">
        <v>1</v>
      </c>
      <c r="CQ111" s="164" t="s">
        <v>220</v>
      </c>
      <c r="CR111" s="165" t="s">
        <v>179</v>
      </c>
      <c r="CS111" s="166">
        <v>115.18999999999987</v>
      </c>
      <c r="CT111" s="166">
        <v>1884.06</v>
      </c>
      <c r="CU111" s="167">
        <v>109.7</v>
      </c>
      <c r="CV111" s="168">
        <v>2108.9499999999998</v>
      </c>
      <c r="CW111" s="166">
        <v>1999.2499999999998</v>
      </c>
      <c r="CX111" s="167">
        <v>109.7</v>
      </c>
      <c r="CY111" s="166">
        <v>0</v>
      </c>
      <c r="CZ111" s="166"/>
      <c r="DA111" s="166">
        <v>2108.9499999999998</v>
      </c>
      <c r="DB111" s="166"/>
      <c r="DC111" s="166">
        <v>1884.06</v>
      </c>
      <c r="DD111" s="59">
        <v>0.184</v>
      </c>
      <c r="DE111" s="59">
        <v>0.18679999999999999</v>
      </c>
      <c r="DF111" s="59">
        <v>0.16400000000000001</v>
      </c>
      <c r="DG111" s="59">
        <v>3.6700000000000003E-2</v>
      </c>
      <c r="DH111" s="59">
        <v>7.7999999999999996E-3</v>
      </c>
      <c r="DI111" s="59">
        <v>9.4200000000000006E-2</v>
      </c>
      <c r="DJ111" s="59">
        <v>4.8099999999999997E-2</v>
      </c>
      <c r="DK111" s="59">
        <v>0.3458</v>
      </c>
      <c r="DL111" s="59">
        <v>7.6999999999999999E-2</v>
      </c>
      <c r="DM111" s="59">
        <v>7.7600000000000002E-2</v>
      </c>
      <c r="DN111" s="169">
        <v>0</v>
      </c>
      <c r="DO111" s="170">
        <v>1.127</v>
      </c>
      <c r="DP111" s="171">
        <f t="shared" si="88"/>
        <v>2.0821000000000001</v>
      </c>
      <c r="DQ111" s="59">
        <v>0.11890000000000001</v>
      </c>
      <c r="DR111" s="59">
        <v>0.24759999999999999</v>
      </c>
      <c r="DS111" s="59">
        <v>2.81E-2</v>
      </c>
      <c r="DT111" s="59">
        <v>4.3700000000000003E-2</v>
      </c>
      <c r="DU111" s="59">
        <v>1.7100000000000001E-2</v>
      </c>
      <c r="DV111" s="59">
        <v>1.9099999999999999E-2</v>
      </c>
      <c r="DW111" s="59">
        <v>4.7999999999999996E-3</v>
      </c>
      <c r="DX111" s="169">
        <v>0</v>
      </c>
      <c r="DY111" s="59">
        <v>0.7419</v>
      </c>
      <c r="DZ111" s="171">
        <f t="shared" si="89"/>
        <v>1.7009030866693624</v>
      </c>
      <c r="EA111" s="59">
        <v>0.73380000000000001</v>
      </c>
      <c r="EB111" s="171">
        <f t="shared" si="90"/>
        <v>1.7834559825565548</v>
      </c>
      <c r="EC111" s="59">
        <v>0.36840000000000001</v>
      </c>
      <c r="ED111" s="171">
        <f t="shared" si="91"/>
        <v>1.4400108577633006</v>
      </c>
      <c r="EE111" s="59">
        <v>2.7400000000000001E-2</v>
      </c>
      <c r="EF111" s="59">
        <v>3.8E-3</v>
      </c>
      <c r="EG111" s="59">
        <v>0.31190000000000001</v>
      </c>
      <c r="EH111" s="59">
        <v>0</v>
      </c>
      <c r="EI111" s="155">
        <v>0.12540000000000001</v>
      </c>
      <c r="EJ111" s="172">
        <v>5.1409000000000002</v>
      </c>
      <c r="EK111" s="173"/>
      <c r="EL111" s="59">
        <v>1.0694999999999999</v>
      </c>
      <c r="EM111" s="59">
        <v>0.3085</v>
      </c>
      <c r="EN111" s="59">
        <v>0.1598</v>
      </c>
      <c r="EO111" s="172">
        <v>6.5532999999999992</v>
      </c>
      <c r="ES111" s="57">
        <f t="shared" si="101"/>
        <v>5.1409000000000002</v>
      </c>
      <c r="ET111" s="57">
        <f t="shared" si="102"/>
        <v>6.5532999999999992</v>
      </c>
      <c r="EU111" s="31"/>
      <c r="EV111" s="61">
        <f t="shared" si="92"/>
        <v>1.7140967534867437</v>
      </c>
      <c r="EW111" s="61">
        <f>BJ111/ET111</f>
        <v>1.663894526421803</v>
      </c>
      <c r="EX111" s="174">
        <v>6.6448</v>
      </c>
      <c r="EY111" s="174">
        <v>8.7645</v>
      </c>
      <c r="EZ111" s="158">
        <f t="shared" si="93"/>
        <v>8.8120000000000012</v>
      </c>
      <c r="FA111" s="158">
        <f t="shared" si="94"/>
        <v>10.904</v>
      </c>
      <c r="FB111" s="158">
        <f>BA111-EX111</f>
        <v>2.1672000000000011</v>
      </c>
      <c r="FC111" s="158">
        <f>BJ111-EY111</f>
        <v>2.1395</v>
      </c>
      <c r="FD111" s="175">
        <f t="shared" ref="FD111:FD112" si="143">FB111/EX111</f>
        <v>0.32614977124969918</v>
      </c>
      <c r="FE111" s="175">
        <f t="shared" ref="FE111:FE112" si="144">FC111/FA111</f>
        <v>0.19621239911958913</v>
      </c>
      <c r="FH111" s="174">
        <f t="shared" si="103"/>
        <v>18583.626800000002</v>
      </c>
      <c r="FJ111" s="176">
        <v>1.2871999999999999</v>
      </c>
      <c r="FK111" s="176">
        <f t="shared" si="104"/>
        <v>1.3316475710742262</v>
      </c>
      <c r="FL111" s="87">
        <v>1.3332999999999999</v>
      </c>
      <c r="FM111" s="177">
        <f t="shared" si="105"/>
        <v>1.2479520936186927</v>
      </c>
      <c r="FO111" s="88">
        <f t="shared" si="95"/>
        <v>18583.626800000002</v>
      </c>
      <c r="FP111" s="79">
        <f t="shared" si="96"/>
        <v>20543.135999999999</v>
      </c>
      <c r="FS111" s="79">
        <f t="shared" si="97"/>
        <v>10841.644010000002</v>
      </c>
      <c r="FT111" s="79">
        <f t="shared" si="98"/>
        <v>12346.417199999998</v>
      </c>
      <c r="FU111" s="79">
        <f t="shared" si="106"/>
        <v>1.7140967534867435</v>
      </c>
      <c r="FV111" s="79">
        <f t="shared" si="106"/>
        <v>1.6638945264218028</v>
      </c>
      <c r="FY111" s="79">
        <f t="shared" si="107"/>
        <v>1981.8188000000011</v>
      </c>
      <c r="FZ111" s="79">
        <f t="shared" si="108"/>
        <v>20543.135999999999</v>
      </c>
      <c r="GB111" s="178">
        <f t="shared" si="109"/>
        <v>224.90000000000009</v>
      </c>
      <c r="GC111" s="178">
        <f t="shared" si="110"/>
        <v>1884</v>
      </c>
      <c r="GG111" s="14">
        <v>7.1145999999999985</v>
      </c>
      <c r="GH111" s="175">
        <f t="shared" si="111"/>
        <v>1.2385798217749422</v>
      </c>
      <c r="GI111" s="14">
        <v>9.3766999999999996</v>
      </c>
      <c r="GJ111" s="175">
        <f t="shared" si="112"/>
        <v>1.1628824639798649</v>
      </c>
      <c r="GK111" s="175">
        <f t="shared" ref="GK111:GK122" si="145">GH111-GJ111</f>
        <v>7.5697357795077247E-2</v>
      </c>
      <c r="GN111" s="14">
        <v>8.5903000000000009</v>
      </c>
      <c r="GO111" s="175">
        <f t="shared" si="113"/>
        <v>1.2074185477749984</v>
      </c>
      <c r="GP111" s="179">
        <f t="shared" si="114"/>
        <v>1.0258081789925846</v>
      </c>
      <c r="GQ111" s="14">
        <v>10.423499999999999</v>
      </c>
      <c r="GR111" s="175">
        <f t="shared" si="115"/>
        <v>1.1116384228993141</v>
      </c>
      <c r="GS111" s="175">
        <f t="shared" si="116"/>
        <v>1.0460977598695258</v>
      </c>
      <c r="GV111" s="32">
        <f t="shared" si="117"/>
        <v>1981.8188000000011</v>
      </c>
      <c r="GW111" s="32">
        <f t="shared" si="118"/>
        <v>20543.135999999999</v>
      </c>
      <c r="GX111" s="180">
        <f t="shared" si="119"/>
        <v>22524.9548</v>
      </c>
      <c r="GZ111" s="32">
        <f t="shared" si="120"/>
        <v>8.8120000000000012</v>
      </c>
      <c r="HA111" s="32">
        <f t="shared" si="121"/>
        <v>10.904</v>
      </c>
      <c r="HB111" s="32">
        <f t="shared" si="122"/>
        <v>10.680902271326284</v>
      </c>
    </row>
    <row r="112" spans="1:210" ht="19.2" customHeight="1" x14ac:dyDescent="0.3">
      <c r="A112" s="50">
        <v>104</v>
      </c>
      <c r="B112" s="51" t="s">
        <v>668</v>
      </c>
      <c r="C112" s="150" t="s">
        <v>638</v>
      </c>
      <c r="D112" s="52">
        <v>9</v>
      </c>
      <c r="E112" s="52">
        <v>1</v>
      </c>
      <c r="F112" s="63">
        <v>36</v>
      </c>
      <c r="G112" s="54" t="s">
        <v>221</v>
      </c>
      <c r="H112" s="181" t="s">
        <v>173</v>
      </c>
      <c r="I112" s="55">
        <f t="shared" si="99"/>
        <v>165.39999999999992</v>
      </c>
      <c r="J112" s="55">
        <f t="shared" si="79"/>
        <v>1655.4</v>
      </c>
      <c r="K112" s="55">
        <f t="shared" si="80"/>
        <v>32.200000000000003</v>
      </c>
      <c r="L112" s="56">
        <v>1853</v>
      </c>
      <c r="M112" s="56">
        <v>1820.8</v>
      </c>
      <c r="N112" s="56">
        <f t="shared" si="100"/>
        <v>165.39999999999986</v>
      </c>
      <c r="O112" s="56">
        <v>32.200000000000003</v>
      </c>
      <c r="P112" s="56">
        <v>0</v>
      </c>
      <c r="Q112" s="55"/>
      <c r="R112" s="55">
        <v>1853</v>
      </c>
      <c r="S112" s="55"/>
      <c r="T112" s="55">
        <v>1655.4</v>
      </c>
      <c r="U112" s="152">
        <v>197.59999999999991</v>
      </c>
      <c r="V112" s="57">
        <v>0.13350000000000001</v>
      </c>
      <c r="W112" s="57">
        <v>7.1300000000000002E-2</v>
      </c>
      <c r="X112" s="153">
        <v>0.30769999999999997</v>
      </c>
      <c r="Y112" s="153">
        <v>7.0800000000000002E-2</v>
      </c>
      <c r="Z112" s="57">
        <v>2.3699999999999999E-2</v>
      </c>
      <c r="AA112" s="57">
        <v>0.2356</v>
      </c>
      <c r="AB112" s="57">
        <v>0</v>
      </c>
      <c r="AC112" s="153">
        <v>0.63149999999999995</v>
      </c>
      <c r="AD112" s="57">
        <v>0.15359999999999999</v>
      </c>
      <c r="AE112" s="57">
        <v>0</v>
      </c>
      <c r="AF112" s="57">
        <v>1.7416</v>
      </c>
      <c r="AG112" s="57">
        <v>0.17949999999999999</v>
      </c>
      <c r="AH112" s="57">
        <v>0.25700000000000001</v>
      </c>
      <c r="AI112" s="57">
        <v>9.74E-2</v>
      </c>
      <c r="AJ112" s="57">
        <v>0.1163</v>
      </c>
      <c r="AK112" s="57">
        <v>4.6100000000000002E-2</v>
      </c>
      <c r="AL112" s="57">
        <v>3.9600000000000003E-2</v>
      </c>
      <c r="AM112" s="57">
        <v>3.1300000000000001E-2</v>
      </c>
      <c r="AN112" s="57">
        <v>0</v>
      </c>
      <c r="AO112" s="57">
        <v>2.3759999999999999</v>
      </c>
      <c r="AP112" s="153">
        <v>1.7146999999999999</v>
      </c>
      <c r="AQ112" s="153">
        <v>7.8E-2</v>
      </c>
      <c r="AR112" s="57">
        <v>0.52180000000000004</v>
      </c>
      <c r="AS112" s="57">
        <v>3.44E-2</v>
      </c>
      <c r="AT112" s="153">
        <v>5.5999999999999999E-3</v>
      </c>
      <c r="AU112" s="153">
        <v>0.30420000000000003</v>
      </c>
      <c r="AV112" s="153">
        <v>0</v>
      </c>
      <c r="AW112" s="154">
        <v>9.1711999999999989</v>
      </c>
      <c r="AX112" s="58">
        <v>0.45860000000000001</v>
      </c>
      <c r="AY112" s="155">
        <f t="shared" si="81"/>
        <v>0.45469999999999999</v>
      </c>
      <c r="AZ112" s="155">
        <f t="shared" si="82"/>
        <v>3.9000000000000146E-3</v>
      </c>
      <c r="BA112" s="14">
        <v>9.6297999999999995</v>
      </c>
      <c r="BB112" s="59">
        <f>BA112-'[1]Тариф 26 свод без  ПДВ'!AU112</f>
        <v>2.3999999999997357E-3</v>
      </c>
      <c r="BC112" s="57">
        <v>2.0701999999999998</v>
      </c>
      <c r="BD112" s="57">
        <v>0</v>
      </c>
      <c r="BE112" s="57">
        <v>0.37519999999999998</v>
      </c>
      <c r="BF112" s="156">
        <v>11.616599999999998</v>
      </c>
      <c r="BG112" s="59">
        <v>0.58079999999999998</v>
      </c>
      <c r="BH112" s="59"/>
      <c r="BI112" s="59"/>
      <c r="BJ112" s="14">
        <v>12.197399999999998</v>
      </c>
      <c r="BK112" s="60"/>
      <c r="BL112" s="60">
        <v>4.2544999999999984</v>
      </c>
      <c r="BM112" s="60">
        <v>0.2127</v>
      </c>
      <c r="BN112" s="14">
        <v>4.4671999999999983</v>
      </c>
      <c r="BO112" s="14"/>
      <c r="BP112" s="157"/>
      <c r="BQ112" s="158">
        <f>BJ112-'[1]Тариф 26 свод без  ПДВ'!BG112</f>
        <v>4.5999999999981611E-3</v>
      </c>
      <c r="BR112" s="77">
        <f>'[1]Тариф 26 свод без  ПДВ'!BG112</f>
        <v>12.1928</v>
      </c>
      <c r="BS112" s="159">
        <f t="shared" si="83"/>
        <v>4.5999999999981611E-3</v>
      </c>
      <c r="BU112" s="77">
        <f>'[1]Тариф 26 свод без  ПДВ'!AU112</f>
        <v>9.6273999999999997</v>
      </c>
      <c r="BV112" s="159">
        <f t="shared" si="84"/>
        <v>2.3999999999997357E-3</v>
      </c>
      <c r="BX112" s="95">
        <v>4.5481999999999996</v>
      </c>
      <c r="BY112" s="95">
        <v>4.5481999999999996</v>
      </c>
      <c r="BZ112" s="95"/>
      <c r="CA112" s="62">
        <f t="shared" si="85"/>
        <v>2.1172771645925863</v>
      </c>
      <c r="CB112" s="62">
        <f t="shared" si="86"/>
        <v>2.6818081878545357</v>
      </c>
      <c r="CI112" s="160">
        <f>'[1]0 СВОД'!AYY127</f>
        <v>21928.46518996908</v>
      </c>
      <c r="CJ112" s="77">
        <f t="shared" si="87"/>
        <v>263141.58227962896</v>
      </c>
      <c r="CM112" s="161">
        <v>110</v>
      </c>
      <c r="CN112" s="183" t="s">
        <v>669</v>
      </c>
      <c r="CO112" s="163">
        <v>9</v>
      </c>
      <c r="CP112" s="163">
        <v>1</v>
      </c>
      <c r="CQ112" s="164" t="s">
        <v>221</v>
      </c>
      <c r="CR112" s="165" t="s">
        <v>173</v>
      </c>
      <c r="CS112" s="166">
        <v>165.50000000000006</v>
      </c>
      <c r="CT112" s="166">
        <v>1655.3999999999999</v>
      </c>
      <c r="CU112" s="167">
        <v>32.200000000000003</v>
      </c>
      <c r="CV112" s="168">
        <v>1853.1</v>
      </c>
      <c r="CW112" s="166">
        <v>1820.8999999999999</v>
      </c>
      <c r="CX112" s="167">
        <v>32.200000000000003</v>
      </c>
      <c r="CY112" s="166">
        <v>0</v>
      </c>
      <c r="CZ112" s="166"/>
      <c r="DA112" s="166">
        <v>1853.1</v>
      </c>
      <c r="DB112" s="166"/>
      <c r="DC112" s="166">
        <v>1655.3999999999999</v>
      </c>
      <c r="DD112" s="59">
        <v>0.1308</v>
      </c>
      <c r="DE112" s="59">
        <v>0.1158</v>
      </c>
      <c r="DF112" s="59">
        <v>0.2021</v>
      </c>
      <c r="DG112" s="59">
        <v>4.1700000000000001E-2</v>
      </c>
      <c r="DH112" s="59">
        <v>8.8999999999999999E-3</v>
      </c>
      <c r="DI112" s="59">
        <v>0.1008</v>
      </c>
      <c r="DJ112" s="59">
        <v>4.8099999999999997E-2</v>
      </c>
      <c r="DK112" s="59">
        <v>0.3458</v>
      </c>
      <c r="DL112" s="169">
        <v>0</v>
      </c>
      <c r="DM112" s="59">
        <v>9.35E-2</v>
      </c>
      <c r="DN112" s="169">
        <v>0</v>
      </c>
      <c r="DO112" s="184">
        <v>1.2395</v>
      </c>
      <c r="DP112" s="171">
        <f t="shared" si="88"/>
        <v>1.7416</v>
      </c>
      <c r="DQ112" s="59">
        <v>8.6499999999999994E-2</v>
      </c>
      <c r="DR112" s="59">
        <v>0.15409999999999999</v>
      </c>
      <c r="DS112" s="59">
        <v>2.53E-2</v>
      </c>
      <c r="DT112" s="59">
        <v>5.5E-2</v>
      </c>
      <c r="DU112" s="59">
        <v>1.95E-2</v>
      </c>
      <c r="DV112" s="59">
        <v>1.4E-2</v>
      </c>
      <c r="DW112" s="59">
        <v>8.0999999999999996E-3</v>
      </c>
      <c r="DX112" s="169">
        <v>0</v>
      </c>
      <c r="DY112" s="59">
        <v>1.0865</v>
      </c>
      <c r="DZ112" s="171">
        <f t="shared" si="89"/>
        <v>2.1868384721583065</v>
      </c>
      <c r="EA112" s="59">
        <v>1.0054000000000001</v>
      </c>
      <c r="EB112" s="171">
        <f t="shared" si="90"/>
        <v>1.7830714143624427</v>
      </c>
      <c r="EC112" s="59">
        <v>0.2215</v>
      </c>
      <c r="ED112" s="171">
        <f t="shared" si="91"/>
        <v>2.3557562076749439</v>
      </c>
      <c r="EE112" s="59">
        <v>2.63E-2</v>
      </c>
      <c r="EF112" s="59">
        <v>3.7000000000000002E-3</v>
      </c>
      <c r="EG112" s="59">
        <v>0.129</v>
      </c>
      <c r="EH112" s="59">
        <v>0</v>
      </c>
      <c r="EI112" s="155">
        <v>0.129</v>
      </c>
      <c r="EJ112" s="172">
        <v>5.2909000000000006</v>
      </c>
      <c r="EK112" s="173"/>
      <c r="EL112" s="59">
        <v>1.7894000000000001</v>
      </c>
      <c r="EM112" s="59">
        <v>0.17330000000000001</v>
      </c>
      <c r="EN112" s="59">
        <v>0.17810000000000001</v>
      </c>
      <c r="EO112" s="172">
        <v>7.3027000000000015</v>
      </c>
      <c r="ES112" s="57">
        <f t="shared" si="101"/>
        <v>5.2909000000000006</v>
      </c>
      <c r="ET112" s="57">
        <f t="shared" si="102"/>
        <v>7.3027000000000015</v>
      </c>
      <c r="EU112" s="31"/>
      <c r="EV112" s="61">
        <f t="shared" si="92"/>
        <v>1.8200684193615451</v>
      </c>
      <c r="EW112" s="61">
        <f>BJ112/ET112</f>
        <v>1.6702589453215928</v>
      </c>
      <c r="EX112" s="185">
        <v>7.1058000000000003</v>
      </c>
      <c r="EY112" s="174">
        <v>9.8910999999999998</v>
      </c>
      <c r="EZ112" s="158">
        <f t="shared" si="93"/>
        <v>9.6297999999999995</v>
      </c>
      <c r="FA112" s="158">
        <f t="shared" si="94"/>
        <v>12.197399999999998</v>
      </c>
      <c r="FB112" s="158">
        <f>BA112-EX112</f>
        <v>2.5239999999999991</v>
      </c>
      <c r="FC112" s="158">
        <f>BJ112-EY112</f>
        <v>2.3062999999999985</v>
      </c>
      <c r="FD112" s="175">
        <f t="shared" si="143"/>
        <v>0.35520279208533861</v>
      </c>
      <c r="FE112" s="175">
        <f t="shared" si="144"/>
        <v>0.18908127961696744</v>
      </c>
      <c r="FF112" s="158"/>
      <c r="FG112" s="174"/>
      <c r="FH112" s="174">
        <f t="shared" si="103"/>
        <v>17844.019399999997</v>
      </c>
      <c r="FI112" s="174"/>
      <c r="FJ112" s="176">
        <v>1.4016999999999999</v>
      </c>
      <c r="FK112" s="176">
        <f t="shared" si="104"/>
        <v>1.2984721547845794</v>
      </c>
      <c r="FL112" s="87">
        <v>1.397</v>
      </c>
      <c r="FM112" s="177">
        <f t="shared" si="105"/>
        <v>1.1956041126138817</v>
      </c>
      <c r="FO112" s="88">
        <f t="shared" si="95"/>
        <v>17844.019399999997</v>
      </c>
      <c r="FP112" s="79">
        <f t="shared" si="96"/>
        <v>20191.575959999998</v>
      </c>
      <c r="FS112" s="79">
        <f t="shared" si="97"/>
        <v>9804.0377000000008</v>
      </c>
      <c r="FT112" s="79">
        <f t="shared" si="98"/>
        <v>12088.889580000003</v>
      </c>
      <c r="FU112" s="79">
        <f t="shared" si="106"/>
        <v>1.8200684193615448</v>
      </c>
      <c r="FV112" s="79">
        <f t="shared" si="106"/>
        <v>1.6702589453215928</v>
      </c>
      <c r="FY112" s="79">
        <f t="shared" si="107"/>
        <v>1902.848479999999</v>
      </c>
      <c r="FZ112" s="79">
        <f t="shared" si="108"/>
        <v>20191.575959999998</v>
      </c>
      <c r="GB112" s="178">
        <f t="shared" si="109"/>
        <v>197.59999999999991</v>
      </c>
      <c r="GC112" s="178">
        <f t="shared" si="110"/>
        <v>1655.4</v>
      </c>
      <c r="GG112" s="14">
        <v>7.5829000000000004</v>
      </c>
      <c r="GH112" s="175">
        <f t="shared" si="111"/>
        <v>1.2699363040525391</v>
      </c>
      <c r="GI112" s="14">
        <v>10.521899999999999</v>
      </c>
      <c r="GJ112" s="175">
        <f t="shared" si="112"/>
        <v>1.1592393008867219</v>
      </c>
      <c r="GK112" s="175">
        <f t="shared" si="145"/>
        <v>0.11069700316581721</v>
      </c>
      <c r="GN112" s="14">
        <v>9.8454999999999977</v>
      </c>
      <c r="GO112" s="175">
        <f t="shared" si="113"/>
        <v>1.2983818855582954</v>
      </c>
      <c r="GP112" s="179">
        <f t="shared" si="114"/>
        <v>0.97809151388959437</v>
      </c>
      <c r="GQ112" s="14">
        <v>12.196399999999997</v>
      </c>
      <c r="GR112" s="175">
        <f t="shared" si="115"/>
        <v>1.1591442610174967</v>
      </c>
      <c r="GS112" s="175">
        <f t="shared" si="116"/>
        <v>1.0000819914073007</v>
      </c>
      <c r="GV112" s="32">
        <f t="shared" si="117"/>
        <v>1902.848479999999</v>
      </c>
      <c r="GW112" s="32">
        <f t="shared" si="118"/>
        <v>20191.575959999998</v>
      </c>
      <c r="GX112" s="180">
        <f t="shared" si="119"/>
        <v>22094.424439999999</v>
      </c>
      <c r="GZ112" s="32">
        <f t="shared" si="120"/>
        <v>9.6297999999999995</v>
      </c>
      <c r="HA112" s="32">
        <f t="shared" si="121"/>
        <v>12.197399999999998</v>
      </c>
      <c r="HB112" s="32">
        <f t="shared" si="122"/>
        <v>11.923596567728008</v>
      </c>
    </row>
    <row r="113" spans="1:210" ht="19.2" customHeight="1" x14ac:dyDescent="0.3">
      <c r="A113" s="50">
        <v>105</v>
      </c>
      <c r="B113" s="51" t="s">
        <v>670</v>
      </c>
      <c r="C113" s="150" t="s">
        <v>638</v>
      </c>
      <c r="D113" s="52">
        <v>5</v>
      </c>
      <c r="E113" s="52">
        <v>4</v>
      </c>
      <c r="F113" s="63">
        <v>59</v>
      </c>
      <c r="G113" s="54" t="s">
        <v>93</v>
      </c>
      <c r="H113" s="181" t="s">
        <v>49</v>
      </c>
      <c r="I113" s="55">
        <f t="shared" si="99"/>
        <v>2622.92</v>
      </c>
      <c r="J113" s="55">
        <f t="shared" si="79"/>
        <v>0</v>
      </c>
      <c r="K113" s="55">
        <f t="shared" si="80"/>
        <v>134.4</v>
      </c>
      <c r="L113" s="56">
        <v>2757.32</v>
      </c>
      <c r="M113" s="56">
        <v>2622.92</v>
      </c>
      <c r="N113" s="56">
        <f t="shared" si="100"/>
        <v>2622.92</v>
      </c>
      <c r="O113" s="56">
        <v>134.4</v>
      </c>
      <c r="P113" s="56">
        <v>0</v>
      </c>
      <c r="Q113" s="55"/>
      <c r="R113" s="55">
        <v>2757.32</v>
      </c>
      <c r="S113" s="55"/>
      <c r="T113" s="55">
        <v>0</v>
      </c>
      <c r="U113" s="152">
        <v>2757.32</v>
      </c>
      <c r="V113" s="57">
        <v>0.1641</v>
      </c>
      <c r="W113" s="153">
        <v>9.2399999999999996E-2</v>
      </c>
      <c r="X113" s="57">
        <v>0.32479999999999998</v>
      </c>
      <c r="Y113" s="57">
        <v>7.4099999999999999E-2</v>
      </c>
      <c r="Z113" s="153">
        <v>2.9000000000000001E-2</v>
      </c>
      <c r="AA113" s="57">
        <v>0.49890000000000001</v>
      </c>
      <c r="AB113" s="153">
        <v>0</v>
      </c>
      <c r="AC113" s="57">
        <v>0.63149999999999995</v>
      </c>
      <c r="AD113" s="57">
        <v>0.1721</v>
      </c>
      <c r="AE113" s="57">
        <v>0</v>
      </c>
      <c r="AF113" s="57">
        <v>2.0924999999999998</v>
      </c>
      <c r="AG113" s="57">
        <v>0.2195</v>
      </c>
      <c r="AH113" s="57">
        <v>0.3276</v>
      </c>
      <c r="AI113" s="153">
        <v>8.7800000000000003E-2</v>
      </c>
      <c r="AJ113" s="153">
        <v>0.1009</v>
      </c>
      <c r="AK113" s="153">
        <v>5.6399999999999999E-2</v>
      </c>
      <c r="AL113" s="57">
        <v>0.17199999999999999</v>
      </c>
      <c r="AM113" s="153">
        <v>3.3599999999999998E-2</v>
      </c>
      <c r="AN113" s="57">
        <v>0</v>
      </c>
      <c r="AO113" s="153">
        <v>2.3540000000000001</v>
      </c>
      <c r="AP113" s="57">
        <v>1.1975</v>
      </c>
      <c r="AQ113" s="57">
        <v>9.2200000000000004E-2</v>
      </c>
      <c r="AR113" s="153">
        <v>0.64570000000000005</v>
      </c>
      <c r="AS113" s="57">
        <v>5.8200000000000002E-2</v>
      </c>
      <c r="AT113" s="57">
        <v>9.4000000000000004E-3</v>
      </c>
      <c r="AU113" s="153">
        <v>0.2999</v>
      </c>
      <c r="AV113" s="153">
        <v>0</v>
      </c>
      <c r="AW113" s="154">
        <v>9.734099999999998</v>
      </c>
      <c r="AX113" s="58">
        <v>0.48670000000000002</v>
      </c>
      <c r="AY113" s="155">
        <f t="shared" si="81"/>
        <v>0.48209999999999997</v>
      </c>
      <c r="AZ113" s="155">
        <f t="shared" si="82"/>
        <v>4.6000000000000485E-3</v>
      </c>
      <c r="BA113" s="14">
        <v>10.220799999999999</v>
      </c>
      <c r="BB113" s="59">
        <f>BA113-'[1]Тариф 26 свод без  ПДВ'!AU113</f>
        <v>-5.4000000000016257E-3</v>
      </c>
      <c r="BC113" s="57">
        <v>0</v>
      </c>
      <c r="BD113" s="57">
        <v>0</v>
      </c>
      <c r="BE113" s="57">
        <v>0</v>
      </c>
      <c r="BF113" s="156">
        <v>9.734099999999998</v>
      </c>
      <c r="BG113" s="59">
        <v>0.48670000000000002</v>
      </c>
      <c r="BH113" s="59"/>
      <c r="BI113" s="59"/>
      <c r="BJ113" s="14">
        <v>10.220799999999999</v>
      </c>
      <c r="BK113" s="60"/>
      <c r="BL113" s="60">
        <v>5.2369999999999992</v>
      </c>
      <c r="BM113" s="60">
        <v>0.26190000000000002</v>
      </c>
      <c r="BN113" s="14">
        <v>5.498899999999999</v>
      </c>
      <c r="BO113" s="14"/>
      <c r="BP113" s="157"/>
      <c r="BQ113" s="158">
        <f>BJ113-'[1]Тариф 26 свод без  ПДВ'!BG113</f>
        <v>-5.4000000000016257E-3</v>
      </c>
      <c r="BR113" s="77">
        <f>'[1]Тариф 26 свод без  ПДВ'!BG113</f>
        <v>10.2262</v>
      </c>
      <c r="BS113" s="159">
        <f t="shared" si="83"/>
        <v>-5.4000000000016257E-3</v>
      </c>
      <c r="BU113" s="77">
        <f>'[1]Тариф 26 свод без  ПДВ'!AU113</f>
        <v>10.2262</v>
      </c>
      <c r="BV113" s="159">
        <f t="shared" si="84"/>
        <v>-5.4000000000016257E-3</v>
      </c>
      <c r="BX113" s="95">
        <v>4.4767999999999999</v>
      </c>
      <c r="BY113" s="95">
        <v>4.4767999999999999</v>
      </c>
      <c r="BZ113" s="95"/>
      <c r="CA113" s="62">
        <f t="shared" si="85"/>
        <v>2.2830593280914937</v>
      </c>
      <c r="CB113" s="62">
        <f t="shared" si="86"/>
        <v>2.2830593280914937</v>
      </c>
      <c r="CI113" s="160">
        <f>'[1]0 СВОД'!AYY128</f>
        <v>27547.631460360604</v>
      </c>
      <c r="CJ113" s="77">
        <f t="shared" si="87"/>
        <v>330571.57752432727</v>
      </c>
      <c r="CM113" s="161">
        <v>111</v>
      </c>
      <c r="CN113" s="162" t="s">
        <v>671</v>
      </c>
      <c r="CO113" s="163">
        <v>5</v>
      </c>
      <c r="CP113" s="163">
        <v>4</v>
      </c>
      <c r="CQ113" s="164" t="s">
        <v>93</v>
      </c>
      <c r="CR113" s="165" t="s">
        <v>49</v>
      </c>
      <c r="CS113" s="166">
        <v>2622.92</v>
      </c>
      <c r="CT113" s="166">
        <v>0</v>
      </c>
      <c r="CU113" s="167">
        <v>134.4</v>
      </c>
      <c r="CV113" s="168">
        <v>2757.32</v>
      </c>
      <c r="CW113" s="166">
        <v>2622.92</v>
      </c>
      <c r="CX113" s="167">
        <v>134.4</v>
      </c>
      <c r="CY113" s="166">
        <v>0</v>
      </c>
      <c r="CZ113" s="166"/>
      <c r="DA113" s="166">
        <v>2757.32</v>
      </c>
      <c r="DB113" s="166"/>
      <c r="DC113" s="166">
        <v>0</v>
      </c>
      <c r="DD113" s="59">
        <v>0.16289999999999999</v>
      </c>
      <c r="DE113" s="59">
        <v>0.15010000000000001</v>
      </c>
      <c r="DF113" s="59">
        <v>0.2135</v>
      </c>
      <c r="DG113" s="59">
        <v>4.36E-2</v>
      </c>
      <c r="DH113" s="59">
        <v>1.09E-2</v>
      </c>
      <c r="DI113" s="59">
        <v>0.217</v>
      </c>
      <c r="DJ113" s="59">
        <v>4.8099999999999997E-2</v>
      </c>
      <c r="DK113" s="59">
        <v>0.3458</v>
      </c>
      <c r="DL113" s="169">
        <v>0</v>
      </c>
      <c r="DM113" s="59">
        <v>0.1047</v>
      </c>
      <c r="DN113" s="169">
        <v>0</v>
      </c>
      <c r="DO113" s="170">
        <v>1.1316999999999999</v>
      </c>
      <c r="DP113" s="171">
        <f t="shared" si="88"/>
        <v>2.0924999999999998</v>
      </c>
      <c r="DQ113" s="59">
        <v>0.1057</v>
      </c>
      <c r="DR113" s="59">
        <v>0.19600000000000001</v>
      </c>
      <c r="DS113" s="59">
        <v>2.29E-2</v>
      </c>
      <c r="DT113" s="59">
        <v>4.7500000000000001E-2</v>
      </c>
      <c r="DU113" s="59">
        <v>2.3800000000000002E-2</v>
      </c>
      <c r="DV113" s="59">
        <v>5.9900000000000002E-2</v>
      </c>
      <c r="DW113" s="59">
        <v>9.1999999999999998E-3</v>
      </c>
      <c r="DX113" s="169">
        <v>0</v>
      </c>
      <c r="DY113" s="59">
        <v>1.2868999999999999</v>
      </c>
      <c r="DZ113" s="171">
        <f t="shared" si="89"/>
        <v>1.8292019581941101</v>
      </c>
      <c r="EA113" s="59">
        <v>0.72319999999999995</v>
      </c>
      <c r="EB113" s="171">
        <f t="shared" si="90"/>
        <v>1.783324115044248</v>
      </c>
      <c r="EC113" s="59">
        <v>0.40289999999999998</v>
      </c>
      <c r="ED113" s="171">
        <f t="shared" si="91"/>
        <v>1.6026309257880369</v>
      </c>
      <c r="EE113" s="59">
        <v>4.4499999999999998E-2</v>
      </c>
      <c r="EF113" s="59">
        <v>6.1999999999999998E-3</v>
      </c>
      <c r="EG113" s="59">
        <v>0.2495</v>
      </c>
      <c r="EH113" s="59">
        <v>0</v>
      </c>
      <c r="EI113" s="208">
        <v>0.14019999999999999</v>
      </c>
      <c r="EJ113" s="172">
        <v>5.7467000000000006</v>
      </c>
      <c r="EK113" s="173"/>
      <c r="EL113" s="169">
        <v>0</v>
      </c>
      <c r="EM113" s="169">
        <v>0</v>
      </c>
      <c r="EN113" s="59"/>
      <c r="EO113" s="172"/>
      <c r="ES113" s="57">
        <f t="shared" si="101"/>
        <v>5.7467000000000006</v>
      </c>
      <c r="ET113" s="57">
        <f t="shared" si="102"/>
        <v>0</v>
      </c>
      <c r="EU113" s="31"/>
      <c r="EV113" s="61">
        <f t="shared" si="92"/>
        <v>1.7785511684967021</v>
      </c>
      <c r="EW113" s="62"/>
      <c r="EX113" s="158">
        <f t="shared" ref="EX113:EX122" si="146">ES113*1.305-BA113</f>
        <v>-2.721356499999998</v>
      </c>
      <c r="EY113" s="77">
        <f t="shared" ref="EY113:EY118" si="147">ES113*1.344</f>
        <v>7.723564800000001</v>
      </c>
      <c r="EZ113" s="158">
        <f t="shared" si="93"/>
        <v>10.220799999999999</v>
      </c>
      <c r="FA113" s="158">
        <f t="shared" si="94"/>
        <v>10.220799999999999</v>
      </c>
      <c r="FH113" s="174">
        <f t="shared" si="103"/>
        <v>28182.016255999999</v>
      </c>
      <c r="FJ113" s="87">
        <v>1.3596846886038942</v>
      </c>
      <c r="FK113" s="176">
        <f t="shared" si="104"/>
        <v>1.3080614817564022</v>
      </c>
      <c r="FM113" s="87" t="e">
        <f t="shared" si="105"/>
        <v>#DIV/0!</v>
      </c>
      <c r="FO113" s="88">
        <f t="shared" si="95"/>
        <v>28182.016255999999</v>
      </c>
      <c r="FP113" s="79">
        <f t="shared" si="96"/>
        <v>0</v>
      </c>
      <c r="FS113" s="79">
        <f t="shared" si="97"/>
        <v>15845.490844000002</v>
      </c>
      <c r="FT113" s="79">
        <f t="shared" si="98"/>
        <v>0</v>
      </c>
      <c r="FU113" s="79">
        <f t="shared" si="106"/>
        <v>1.7785511684967021</v>
      </c>
      <c r="FV113" s="79" t="e">
        <f t="shared" si="106"/>
        <v>#DIV/0!</v>
      </c>
      <c r="FY113" s="79">
        <f t="shared" si="107"/>
        <v>28182.016255999999</v>
      </c>
      <c r="FZ113" s="79">
        <f t="shared" si="108"/>
        <v>0</v>
      </c>
      <c r="GB113" s="178">
        <f t="shared" si="109"/>
        <v>2757.32</v>
      </c>
      <c r="GC113" s="178">
        <f t="shared" si="110"/>
        <v>0</v>
      </c>
      <c r="GG113" s="14">
        <v>8.0484999999999989</v>
      </c>
      <c r="GH113" s="175">
        <f t="shared" si="111"/>
        <v>1.2699012238305274</v>
      </c>
      <c r="GI113" s="14">
        <v>8.0484999999999989</v>
      </c>
      <c r="GJ113" s="175">
        <f t="shared" si="112"/>
        <v>1.2699012238305274</v>
      </c>
      <c r="GK113" s="175">
        <f t="shared" si="145"/>
        <v>0</v>
      </c>
      <c r="GN113" s="14">
        <v>10.396199999999999</v>
      </c>
      <c r="GO113" s="175">
        <f t="shared" si="113"/>
        <v>1.2916941044915202</v>
      </c>
      <c r="GP113" s="179">
        <f t="shared" si="114"/>
        <v>0.9831284507800927</v>
      </c>
      <c r="GQ113" s="14">
        <v>10.396199999999999</v>
      </c>
      <c r="GR113" s="175">
        <f t="shared" si="115"/>
        <v>1.2916941044915202</v>
      </c>
      <c r="GS113" s="175">
        <f t="shared" si="116"/>
        <v>0.9831284507800927</v>
      </c>
      <c r="GV113" s="32">
        <f t="shared" si="117"/>
        <v>28182.016255999999</v>
      </c>
      <c r="GW113" s="32">
        <f t="shared" si="118"/>
        <v>0</v>
      </c>
      <c r="GX113" s="180">
        <f t="shared" si="119"/>
        <v>28182.016255999999</v>
      </c>
      <c r="GZ113" s="32">
        <f t="shared" si="120"/>
        <v>10.220799999999999</v>
      </c>
      <c r="HA113" s="32" t="e">
        <f t="shared" si="121"/>
        <v>#DIV/0!</v>
      </c>
      <c r="HB113" s="32">
        <f t="shared" si="122"/>
        <v>10.220799999999999</v>
      </c>
    </row>
    <row r="114" spans="1:210" ht="19.2" customHeight="1" x14ac:dyDescent="0.3">
      <c r="A114" s="50">
        <v>106</v>
      </c>
      <c r="B114" s="51" t="s">
        <v>672</v>
      </c>
      <c r="C114" s="150" t="s">
        <v>638</v>
      </c>
      <c r="D114" s="52">
        <v>5</v>
      </c>
      <c r="E114" s="52">
        <v>8</v>
      </c>
      <c r="F114" s="63">
        <v>119</v>
      </c>
      <c r="G114" s="54" t="s">
        <v>94</v>
      </c>
      <c r="H114" s="181" t="s">
        <v>49</v>
      </c>
      <c r="I114" s="55">
        <f t="shared" si="99"/>
        <v>5650.36</v>
      </c>
      <c r="J114" s="55">
        <f t="shared" si="79"/>
        <v>0</v>
      </c>
      <c r="K114" s="55">
        <f t="shared" si="80"/>
        <v>108.6</v>
      </c>
      <c r="L114" s="56">
        <v>5758.96</v>
      </c>
      <c r="M114" s="56">
        <v>5650.36</v>
      </c>
      <c r="N114" s="56">
        <f t="shared" si="100"/>
        <v>5650.36</v>
      </c>
      <c r="O114" s="56">
        <v>108.6</v>
      </c>
      <c r="P114" s="56">
        <v>0</v>
      </c>
      <c r="Q114" s="55"/>
      <c r="R114" s="55">
        <v>5758.96</v>
      </c>
      <c r="S114" s="55"/>
      <c r="T114" s="55">
        <v>0</v>
      </c>
      <c r="U114" s="152">
        <v>5758.96</v>
      </c>
      <c r="V114" s="57">
        <v>0.14860000000000001</v>
      </c>
      <c r="W114" s="153">
        <v>9.4500000000000001E-2</v>
      </c>
      <c r="X114" s="57">
        <v>0.3327</v>
      </c>
      <c r="Y114" s="57">
        <v>7.4800000000000005E-2</v>
      </c>
      <c r="Z114" s="153">
        <v>2.7799999999999998E-2</v>
      </c>
      <c r="AA114" s="57">
        <v>0.65969999999999995</v>
      </c>
      <c r="AB114" s="153">
        <v>0</v>
      </c>
      <c r="AC114" s="57">
        <v>0.63149999999999995</v>
      </c>
      <c r="AD114" s="57">
        <v>0.16339999999999999</v>
      </c>
      <c r="AE114" s="57">
        <v>0</v>
      </c>
      <c r="AF114" s="57">
        <v>2.1385999999999998</v>
      </c>
      <c r="AG114" s="57">
        <v>0.19400000000000001</v>
      </c>
      <c r="AH114" s="57">
        <v>0.32319999999999999</v>
      </c>
      <c r="AI114" s="153">
        <v>9.0800000000000006E-2</v>
      </c>
      <c r="AJ114" s="153">
        <v>9.8599999999999993E-2</v>
      </c>
      <c r="AK114" s="153">
        <v>5.3999999999999999E-2</v>
      </c>
      <c r="AL114" s="57">
        <v>0.27310000000000001</v>
      </c>
      <c r="AM114" s="153">
        <v>3.2899999999999999E-2</v>
      </c>
      <c r="AN114" s="57">
        <v>0</v>
      </c>
      <c r="AO114" s="153">
        <v>1.9482999999999999</v>
      </c>
      <c r="AP114" s="57">
        <v>1.1473</v>
      </c>
      <c r="AQ114" s="57">
        <v>8.9800000000000005E-2</v>
      </c>
      <c r="AR114" s="153">
        <v>0.62609999999999999</v>
      </c>
      <c r="AS114" s="57">
        <v>5.8799999999999998E-2</v>
      </c>
      <c r="AT114" s="57">
        <v>9.4999999999999998E-3</v>
      </c>
      <c r="AU114" s="153">
        <v>0.19420000000000001</v>
      </c>
      <c r="AV114" s="153">
        <v>0</v>
      </c>
      <c r="AW114" s="154">
        <v>9.4121999999999986</v>
      </c>
      <c r="AX114" s="58">
        <v>0.47060000000000002</v>
      </c>
      <c r="AY114" s="155">
        <f t="shared" si="81"/>
        <v>0.46610000000000001</v>
      </c>
      <c r="AZ114" s="155">
        <f t="shared" si="82"/>
        <v>4.500000000000004E-3</v>
      </c>
      <c r="BA114" s="14">
        <v>9.8827999999999978</v>
      </c>
      <c r="BB114" s="59">
        <f>BA114-'[1]Тариф 26 свод без  ПДВ'!AU114</f>
        <v>2.7999999999970271E-3</v>
      </c>
      <c r="BC114" s="57">
        <v>0</v>
      </c>
      <c r="BD114" s="57">
        <v>0</v>
      </c>
      <c r="BE114" s="57">
        <v>0</v>
      </c>
      <c r="BF114" s="156">
        <v>9.4121999999999986</v>
      </c>
      <c r="BG114" s="59">
        <v>0.47060000000000002</v>
      </c>
      <c r="BH114" s="59"/>
      <c r="BI114" s="59"/>
      <c r="BJ114" s="14">
        <v>9.8827999999999978</v>
      </c>
      <c r="BK114" s="60"/>
      <c r="BL114" s="60">
        <v>5.4962999999999997</v>
      </c>
      <c r="BM114" s="60">
        <v>0.27479999999999999</v>
      </c>
      <c r="BN114" s="14">
        <v>5.7710999999999997</v>
      </c>
      <c r="BO114" s="14"/>
      <c r="BP114" s="157"/>
      <c r="BQ114" s="158">
        <f>BJ114-'[1]Тариф 26 свод без  ПДВ'!BG114</f>
        <v>2.7999999999970271E-3</v>
      </c>
      <c r="BR114" s="77">
        <f>'[1]Тариф 26 свод без  ПДВ'!BG114</f>
        <v>9.8800000000000008</v>
      </c>
      <c r="BS114" s="159">
        <f t="shared" si="83"/>
        <v>2.7999999999970271E-3</v>
      </c>
      <c r="BU114" s="77">
        <f>'[1]Тариф 26 свод без  ПДВ'!AU114</f>
        <v>9.8800000000000008</v>
      </c>
      <c r="BV114" s="159">
        <f t="shared" si="84"/>
        <v>2.7999999999970271E-3</v>
      </c>
      <c r="BX114" s="95">
        <v>4.2144000000000004</v>
      </c>
      <c r="BY114" s="95">
        <v>6.8132999999999999</v>
      </c>
      <c r="BZ114" s="95"/>
      <c r="CA114" s="182">
        <f t="shared" si="85"/>
        <v>2.3450075930144259</v>
      </c>
      <c r="CB114" s="182">
        <f t="shared" si="86"/>
        <v>1.4505159027196803</v>
      </c>
      <c r="CD114" s="160">
        <f>L114-CE114</f>
        <v>5758.96</v>
      </c>
      <c r="CE114" s="160">
        <f>T114</f>
        <v>0</v>
      </c>
      <c r="CF114" s="77">
        <f>CD114*BA114</f>
        <v>56914.649887999985</v>
      </c>
      <c r="CG114" s="77">
        <f>BJ114*CE114</f>
        <v>0</v>
      </c>
      <c r="CI114" s="160">
        <f>'[1]0 СВОД'!AYY129</f>
        <v>56467.533640639223</v>
      </c>
      <c r="CJ114" s="77">
        <f t="shared" si="87"/>
        <v>677610.40368767071</v>
      </c>
      <c r="CM114" s="161">
        <v>112</v>
      </c>
      <c r="CN114" s="162" t="s">
        <v>673</v>
      </c>
      <c r="CO114" s="163">
        <v>5</v>
      </c>
      <c r="CP114" s="163">
        <v>8</v>
      </c>
      <c r="CQ114" s="164" t="s">
        <v>94</v>
      </c>
      <c r="CR114" s="165" t="s">
        <v>49</v>
      </c>
      <c r="CS114" s="166">
        <v>5701.62</v>
      </c>
      <c r="CT114" s="166">
        <v>0</v>
      </c>
      <c r="CU114" s="167">
        <v>48.2</v>
      </c>
      <c r="CV114" s="168">
        <v>5749.82</v>
      </c>
      <c r="CW114" s="166">
        <v>5701.62</v>
      </c>
      <c r="CX114" s="167">
        <v>48.2</v>
      </c>
      <c r="CY114" s="166">
        <v>-1.8474111129762605E-13</v>
      </c>
      <c r="CZ114" s="166"/>
      <c r="DA114" s="166">
        <v>5749.82</v>
      </c>
      <c r="DB114" s="166"/>
      <c r="DC114" s="166">
        <v>0</v>
      </c>
      <c r="DD114" s="59">
        <v>0.14610000000000001</v>
      </c>
      <c r="DE114" s="59">
        <v>0.17050000000000001</v>
      </c>
      <c r="DF114" s="59">
        <v>0.21909999999999999</v>
      </c>
      <c r="DG114" s="59">
        <v>4.41E-2</v>
      </c>
      <c r="DH114" s="59">
        <v>1.04E-2</v>
      </c>
      <c r="DI114" s="59">
        <v>0.29099999999999998</v>
      </c>
      <c r="DJ114" s="59">
        <v>4.8099999999999997E-2</v>
      </c>
      <c r="DK114" s="59">
        <v>0.3458</v>
      </c>
      <c r="DL114" s="169">
        <v>0</v>
      </c>
      <c r="DM114" s="59">
        <v>9.9599999999999994E-2</v>
      </c>
      <c r="DN114" s="169">
        <v>0</v>
      </c>
      <c r="DO114" s="170">
        <v>1.1342000000000001</v>
      </c>
      <c r="DP114" s="171">
        <f t="shared" si="88"/>
        <v>2.1385999999999998</v>
      </c>
      <c r="DQ114" s="59">
        <v>9.35E-2</v>
      </c>
      <c r="DR114" s="59">
        <v>0.22259999999999999</v>
      </c>
      <c r="DS114" s="59">
        <v>2.3800000000000002E-2</v>
      </c>
      <c r="DT114" s="59">
        <v>4.65E-2</v>
      </c>
      <c r="DU114" s="59">
        <v>2.2800000000000001E-2</v>
      </c>
      <c r="DV114" s="59">
        <v>9.5399999999999999E-2</v>
      </c>
      <c r="DW114" s="59">
        <v>8.8999999999999999E-3</v>
      </c>
      <c r="DX114" s="169">
        <v>0</v>
      </c>
      <c r="DY114" s="59">
        <v>1.0306999999999999</v>
      </c>
      <c r="DZ114" s="171">
        <f t="shared" si="89"/>
        <v>1.8902687493936161</v>
      </c>
      <c r="EA114" s="59">
        <v>0.68789999999999996</v>
      </c>
      <c r="EB114" s="171">
        <f t="shared" si="90"/>
        <v>1.7983718563744733</v>
      </c>
      <c r="EC114" s="59">
        <v>0.3846</v>
      </c>
      <c r="ED114" s="171">
        <f t="shared" si="91"/>
        <v>1.6279251170046802</v>
      </c>
      <c r="EE114" s="59">
        <v>4.5100000000000001E-2</v>
      </c>
      <c r="EF114" s="59">
        <v>6.3E-3</v>
      </c>
      <c r="EG114" s="59">
        <v>0.1431</v>
      </c>
      <c r="EH114" s="59">
        <v>0</v>
      </c>
      <c r="EI114" s="208">
        <v>0.13300000000000001</v>
      </c>
      <c r="EJ114" s="172">
        <v>5.4531000000000001</v>
      </c>
      <c r="EK114" s="173"/>
      <c r="EL114" s="169">
        <v>0</v>
      </c>
      <c r="EM114" s="169">
        <v>0</v>
      </c>
      <c r="EN114" s="59"/>
      <c r="EO114" s="172"/>
      <c r="ES114" s="57">
        <f t="shared" si="101"/>
        <v>5.4531000000000001</v>
      </c>
      <c r="ET114" s="57">
        <f t="shared" si="102"/>
        <v>0</v>
      </c>
      <c r="EU114" s="31"/>
      <c r="EV114" s="61">
        <f t="shared" si="92"/>
        <v>1.8123269333039917</v>
      </c>
      <c r="EW114" s="61"/>
      <c r="EX114" s="158">
        <f t="shared" si="146"/>
        <v>-2.7665044999999981</v>
      </c>
      <c r="EY114" s="77">
        <f t="shared" si="147"/>
        <v>7.3289664000000005</v>
      </c>
      <c r="EZ114" s="158">
        <f t="shared" si="93"/>
        <v>9.8827999999999978</v>
      </c>
      <c r="FA114" s="158">
        <f t="shared" si="94"/>
        <v>9.8827999999999978</v>
      </c>
      <c r="FH114" s="174">
        <f t="shared" si="103"/>
        <v>56914.649887999985</v>
      </c>
      <c r="FJ114" s="87">
        <v>1.3735673286754324</v>
      </c>
      <c r="FK114" s="176">
        <f t="shared" si="104"/>
        <v>1.3194307228111395</v>
      </c>
      <c r="FM114" s="87" t="e">
        <f t="shared" si="105"/>
        <v>#DIV/0!</v>
      </c>
      <c r="FO114" s="88">
        <f t="shared" si="95"/>
        <v>56914.649887999985</v>
      </c>
      <c r="FP114" s="79">
        <f t="shared" si="96"/>
        <v>0</v>
      </c>
      <c r="FS114" s="79">
        <f t="shared" si="97"/>
        <v>31404.184776000002</v>
      </c>
      <c r="FT114" s="79">
        <f t="shared" si="98"/>
        <v>0</v>
      </c>
      <c r="FU114" s="79">
        <f t="shared" si="106"/>
        <v>1.8123269333039917</v>
      </c>
      <c r="FV114" s="79" t="e">
        <f t="shared" si="106"/>
        <v>#DIV/0!</v>
      </c>
      <c r="FY114" s="79">
        <f t="shared" si="107"/>
        <v>56914.649887999985</v>
      </c>
      <c r="FZ114" s="79">
        <f t="shared" si="108"/>
        <v>0</v>
      </c>
      <c r="GB114" s="178">
        <f t="shared" si="109"/>
        <v>5758.96</v>
      </c>
      <c r="GC114" s="178">
        <f t="shared" si="110"/>
        <v>0</v>
      </c>
      <c r="GG114" s="14">
        <v>7.7822000000000005</v>
      </c>
      <c r="GH114" s="175">
        <f t="shared" si="111"/>
        <v>1.2699236719693656</v>
      </c>
      <c r="GI114" s="14">
        <v>7.7822000000000005</v>
      </c>
      <c r="GJ114" s="175">
        <f t="shared" si="112"/>
        <v>1.2699236719693656</v>
      </c>
      <c r="GK114" s="175">
        <f t="shared" si="145"/>
        <v>0</v>
      </c>
      <c r="GN114" s="14">
        <v>10.260599999999998</v>
      </c>
      <c r="GO114" s="175">
        <f t="shared" si="113"/>
        <v>1.3184703554264858</v>
      </c>
      <c r="GP114" s="179">
        <f t="shared" si="114"/>
        <v>0.96317954115743709</v>
      </c>
      <c r="GQ114" s="14">
        <v>10.260599999999998</v>
      </c>
      <c r="GR114" s="175">
        <f t="shared" si="115"/>
        <v>1.3184703554264858</v>
      </c>
      <c r="GS114" s="175">
        <f t="shared" si="116"/>
        <v>0.96317954115743709</v>
      </c>
      <c r="GV114" s="32">
        <f t="shared" si="117"/>
        <v>56914.649887999985</v>
      </c>
      <c r="GW114" s="32">
        <f t="shared" si="118"/>
        <v>0</v>
      </c>
      <c r="GX114" s="180">
        <f t="shared" si="119"/>
        <v>56914.649887999985</v>
      </c>
      <c r="GZ114" s="32">
        <f t="shared" si="120"/>
        <v>9.8827999999999978</v>
      </c>
      <c r="HA114" s="32" t="e">
        <f t="shared" si="121"/>
        <v>#DIV/0!</v>
      </c>
      <c r="HB114" s="32">
        <f t="shared" si="122"/>
        <v>9.8827999999999978</v>
      </c>
    </row>
    <row r="115" spans="1:210" ht="19.2" customHeight="1" x14ac:dyDescent="0.3">
      <c r="A115" s="50">
        <v>107</v>
      </c>
      <c r="B115" s="51" t="s">
        <v>674</v>
      </c>
      <c r="C115" s="150" t="s">
        <v>638</v>
      </c>
      <c r="D115" s="52">
        <v>5</v>
      </c>
      <c r="E115" s="52">
        <v>4</v>
      </c>
      <c r="F115" s="63">
        <v>60</v>
      </c>
      <c r="G115" s="54" t="s">
        <v>95</v>
      </c>
      <c r="H115" s="181" t="s">
        <v>49</v>
      </c>
      <c r="I115" s="55">
        <f t="shared" si="99"/>
        <v>2747.42</v>
      </c>
      <c r="J115" s="55">
        <f t="shared" si="79"/>
        <v>0</v>
      </c>
      <c r="K115" s="55">
        <f t="shared" si="80"/>
        <v>0</v>
      </c>
      <c r="L115" s="56">
        <v>2747.42</v>
      </c>
      <c r="M115" s="56">
        <v>2747.42</v>
      </c>
      <c r="N115" s="56">
        <f t="shared" si="100"/>
        <v>2747.42</v>
      </c>
      <c r="O115" s="56">
        <v>0</v>
      </c>
      <c r="P115" s="56">
        <v>0</v>
      </c>
      <c r="Q115" s="55"/>
      <c r="R115" s="55">
        <v>2747.42</v>
      </c>
      <c r="S115" s="55"/>
      <c r="T115" s="55">
        <v>0</v>
      </c>
      <c r="U115" s="152">
        <v>2747.42</v>
      </c>
      <c r="V115" s="57">
        <v>0.16719999999999999</v>
      </c>
      <c r="W115" s="153">
        <v>9.2700000000000005E-2</v>
      </c>
      <c r="X115" s="57">
        <v>0.3221</v>
      </c>
      <c r="Y115" s="57">
        <v>7.3899999999999993E-2</v>
      </c>
      <c r="Z115" s="153">
        <v>2.9100000000000001E-2</v>
      </c>
      <c r="AA115" s="57">
        <v>0.50070000000000003</v>
      </c>
      <c r="AB115" s="153">
        <v>0</v>
      </c>
      <c r="AC115" s="57">
        <v>0.63149999999999995</v>
      </c>
      <c r="AD115" s="57">
        <v>0.17269999999999999</v>
      </c>
      <c r="AE115" s="57">
        <v>0</v>
      </c>
      <c r="AF115" s="57">
        <v>2.0464000000000002</v>
      </c>
      <c r="AG115" s="57">
        <v>0.21190000000000001</v>
      </c>
      <c r="AH115" s="57">
        <v>0.32869999999999999</v>
      </c>
      <c r="AI115" s="153">
        <v>8.7599999999999997E-2</v>
      </c>
      <c r="AJ115" s="153">
        <v>0.10340000000000001</v>
      </c>
      <c r="AK115" s="153">
        <v>5.6599999999999998E-2</v>
      </c>
      <c r="AL115" s="57">
        <v>0.1726</v>
      </c>
      <c r="AM115" s="153">
        <v>3.3599999999999998E-2</v>
      </c>
      <c r="AN115" s="57">
        <v>0</v>
      </c>
      <c r="AO115" s="153">
        <v>2.8561999999999999</v>
      </c>
      <c r="AP115" s="57">
        <v>1.1524000000000001</v>
      </c>
      <c r="AQ115" s="57">
        <v>9.2799999999999994E-2</v>
      </c>
      <c r="AR115" s="153">
        <v>0.63949999999999996</v>
      </c>
      <c r="AS115" s="57">
        <v>5.8599999999999999E-2</v>
      </c>
      <c r="AT115" s="57">
        <v>9.4999999999999998E-3</v>
      </c>
      <c r="AU115" s="153">
        <v>0.113</v>
      </c>
      <c r="AV115" s="153">
        <v>0</v>
      </c>
      <c r="AW115" s="154">
        <v>9.9527000000000001</v>
      </c>
      <c r="AX115" s="58">
        <v>0.49759999999999999</v>
      </c>
      <c r="AY115" s="155">
        <f t="shared" si="81"/>
        <v>0.49299999999999999</v>
      </c>
      <c r="AZ115" s="155">
        <f t="shared" si="82"/>
        <v>4.599999999999993E-3</v>
      </c>
      <c r="BA115" s="14">
        <v>10.4503</v>
      </c>
      <c r="BB115" s="59">
        <f>BA115-'[1]Тариф 26 свод без  ПДВ'!AU115</f>
        <v>5.7000000000009265E-3</v>
      </c>
      <c r="BC115" s="57">
        <v>0</v>
      </c>
      <c r="BD115" s="57">
        <v>0</v>
      </c>
      <c r="BE115" s="57">
        <v>0</v>
      </c>
      <c r="BF115" s="156">
        <v>9.9527000000000001</v>
      </c>
      <c r="BG115" s="59">
        <v>0.49759999999999999</v>
      </c>
      <c r="BH115" s="59"/>
      <c r="BI115" s="59"/>
      <c r="BJ115" s="14">
        <v>10.4503</v>
      </c>
      <c r="BK115" s="60"/>
      <c r="BL115" s="60">
        <v>5.1916000000000011</v>
      </c>
      <c r="BM115" s="60">
        <v>0.2596</v>
      </c>
      <c r="BN115" s="14">
        <v>5.4512000000000009</v>
      </c>
      <c r="BO115" s="14"/>
      <c r="BP115" s="157"/>
      <c r="BQ115" s="158">
        <f>BJ115-'[1]Тариф 26 свод без  ПДВ'!BG115</f>
        <v>5.7000000000009265E-3</v>
      </c>
      <c r="BR115" s="77">
        <f>'[1]Тариф 26 свод без  ПДВ'!BG115</f>
        <v>10.444599999999999</v>
      </c>
      <c r="BS115" s="159">
        <f t="shared" si="83"/>
        <v>5.7000000000009265E-3</v>
      </c>
      <c r="BU115" s="77">
        <f>'[1]Тариф 26 свод без  ПДВ'!AU115</f>
        <v>10.444599999999999</v>
      </c>
      <c r="BV115" s="159">
        <f t="shared" si="84"/>
        <v>5.7000000000009265E-3</v>
      </c>
      <c r="BX115" s="95">
        <v>4.4984999999999999</v>
      </c>
      <c r="BY115" s="95">
        <v>6.0456999999999992</v>
      </c>
      <c r="BZ115" s="95"/>
      <c r="CA115" s="182">
        <f t="shared" si="85"/>
        <v>2.3230632433033236</v>
      </c>
      <c r="CB115" s="182">
        <f t="shared" si="86"/>
        <v>1.7285508708668975</v>
      </c>
      <c r="CD115" s="160">
        <f>L115-CE115</f>
        <v>2747.42</v>
      </c>
      <c r="CE115" s="160">
        <f>T115</f>
        <v>0</v>
      </c>
      <c r="CF115" s="77">
        <f>CD115*BA115</f>
        <v>28711.363226000001</v>
      </c>
      <c r="CG115" s="77">
        <f>BJ115*CE115</f>
        <v>0</v>
      </c>
      <c r="CI115" s="160">
        <f>'[1]0 СВОД'!AYY130</f>
        <v>28711.696058725047</v>
      </c>
      <c r="CJ115" s="77">
        <f t="shared" si="87"/>
        <v>344540.35270470055</v>
      </c>
      <c r="CM115" s="161">
        <v>113</v>
      </c>
      <c r="CN115" s="183" t="s">
        <v>675</v>
      </c>
      <c r="CO115" s="163">
        <v>5</v>
      </c>
      <c r="CP115" s="163">
        <v>4</v>
      </c>
      <c r="CQ115" s="164" t="s">
        <v>95</v>
      </c>
      <c r="CR115" s="165" t="s">
        <v>49</v>
      </c>
      <c r="CS115" s="166">
        <v>2733.34</v>
      </c>
      <c r="CT115" s="166">
        <v>0</v>
      </c>
      <c r="CU115" s="167">
        <v>0</v>
      </c>
      <c r="CV115" s="168">
        <v>2733.34</v>
      </c>
      <c r="CW115" s="166">
        <v>2733.34</v>
      </c>
      <c r="CX115" s="167">
        <v>0</v>
      </c>
      <c r="CY115" s="166">
        <v>0</v>
      </c>
      <c r="CZ115" s="166"/>
      <c r="DA115" s="166">
        <v>2733.34</v>
      </c>
      <c r="DB115" s="166"/>
      <c r="DC115" s="166">
        <v>0</v>
      </c>
      <c r="DD115" s="59">
        <v>0.15690000000000001</v>
      </c>
      <c r="DE115" s="59">
        <v>0.15129999999999999</v>
      </c>
      <c r="DF115" s="59">
        <v>0.21279999999999999</v>
      </c>
      <c r="DG115" s="59">
        <v>4.3700000000000003E-2</v>
      </c>
      <c r="DH115" s="59">
        <v>1.0999999999999999E-2</v>
      </c>
      <c r="DI115" s="59">
        <v>0.21890000000000001</v>
      </c>
      <c r="DJ115" s="59">
        <v>4.8099999999999997E-2</v>
      </c>
      <c r="DK115" s="59">
        <v>0.3458</v>
      </c>
      <c r="DL115" s="169">
        <v>0</v>
      </c>
      <c r="DM115" s="59">
        <v>0.1056</v>
      </c>
      <c r="DN115" s="169">
        <v>0</v>
      </c>
      <c r="DO115" s="184">
        <v>1.0241</v>
      </c>
      <c r="DP115" s="171">
        <f t="shared" si="88"/>
        <v>2.0464000000000002</v>
      </c>
      <c r="DQ115" s="59">
        <v>0.1026</v>
      </c>
      <c r="DR115" s="59">
        <v>0.1976</v>
      </c>
      <c r="DS115" s="59">
        <v>2.29E-2</v>
      </c>
      <c r="DT115" s="59">
        <v>4.8899999999999999E-2</v>
      </c>
      <c r="DU115" s="59">
        <v>2.4E-2</v>
      </c>
      <c r="DV115" s="59">
        <v>6.0400000000000002E-2</v>
      </c>
      <c r="DW115" s="59">
        <v>9.2999999999999992E-3</v>
      </c>
      <c r="DX115" s="169">
        <v>0</v>
      </c>
      <c r="DY115" s="59">
        <v>1.5095000000000001</v>
      </c>
      <c r="DZ115" s="171">
        <f t="shared" si="89"/>
        <v>1.8921497184498177</v>
      </c>
      <c r="EA115" s="59">
        <v>0.69930000000000003</v>
      </c>
      <c r="EB115" s="171">
        <f t="shared" si="90"/>
        <v>1.7806377806377807</v>
      </c>
      <c r="EC115" s="59">
        <v>0.39710000000000001</v>
      </c>
      <c r="ED115" s="171">
        <f t="shared" si="91"/>
        <v>1.6104255854948375</v>
      </c>
      <c r="EE115" s="59">
        <v>4.4999999999999998E-2</v>
      </c>
      <c r="EF115" s="59">
        <v>6.3E-3</v>
      </c>
      <c r="EG115" s="59">
        <v>0.22109999999999999</v>
      </c>
      <c r="EH115" s="59">
        <v>0</v>
      </c>
      <c r="EI115" s="208">
        <v>0.1416</v>
      </c>
      <c r="EJ115" s="172">
        <v>5.8038000000000007</v>
      </c>
      <c r="EK115" s="173"/>
      <c r="EL115" s="169">
        <v>0</v>
      </c>
      <c r="EM115" s="169">
        <v>0</v>
      </c>
      <c r="EN115" s="59"/>
      <c r="EO115" s="172"/>
      <c r="ES115" s="57">
        <f t="shared" si="101"/>
        <v>5.8038000000000007</v>
      </c>
      <c r="ET115" s="57">
        <f t="shared" si="102"/>
        <v>0</v>
      </c>
      <c r="EU115" s="31"/>
      <c r="EV115" s="61">
        <f t="shared" si="92"/>
        <v>1.8005961611358074</v>
      </c>
      <c r="EW115" s="62"/>
      <c r="EX115" s="158">
        <f t="shared" si="146"/>
        <v>-2.876341</v>
      </c>
      <c r="EY115" s="77">
        <f t="shared" si="147"/>
        <v>7.8003072000000016</v>
      </c>
      <c r="EZ115" s="158">
        <f t="shared" si="93"/>
        <v>10.4503</v>
      </c>
      <c r="FA115" s="158">
        <f t="shared" si="94"/>
        <v>10.4503</v>
      </c>
      <c r="FH115" s="174">
        <f t="shared" si="103"/>
        <v>28711.363226000001</v>
      </c>
      <c r="FJ115" s="87">
        <v>1.3119163306798991</v>
      </c>
      <c r="FK115" s="176">
        <f t="shared" si="104"/>
        <v>1.3724931377313145</v>
      </c>
      <c r="FM115" s="87" t="e">
        <f t="shared" si="105"/>
        <v>#DIV/0!</v>
      </c>
      <c r="FO115" s="88">
        <f t="shared" si="95"/>
        <v>28711.363226000001</v>
      </c>
      <c r="FP115" s="79">
        <f t="shared" si="96"/>
        <v>0</v>
      </c>
      <c r="FS115" s="79">
        <f t="shared" si="97"/>
        <v>15945.476196000003</v>
      </c>
      <c r="FT115" s="79">
        <f t="shared" si="98"/>
        <v>0</v>
      </c>
      <c r="FU115" s="79">
        <f t="shared" si="106"/>
        <v>1.8005961611358072</v>
      </c>
      <c r="FV115" s="79" t="e">
        <f t="shared" si="106"/>
        <v>#DIV/0!</v>
      </c>
      <c r="FY115" s="79">
        <f t="shared" si="107"/>
        <v>28711.363226000001</v>
      </c>
      <c r="FZ115" s="79">
        <f t="shared" si="108"/>
        <v>0</v>
      </c>
      <c r="GB115" s="178">
        <f t="shared" si="109"/>
        <v>2747.42</v>
      </c>
      <c r="GC115" s="178">
        <f t="shared" si="110"/>
        <v>0</v>
      </c>
      <c r="GG115" s="14">
        <v>8.229099999999999</v>
      </c>
      <c r="GH115" s="175">
        <f t="shared" si="111"/>
        <v>1.2699201613785227</v>
      </c>
      <c r="GI115" s="14">
        <v>8.229099999999999</v>
      </c>
      <c r="GJ115" s="175">
        <f t="shared" si="112"/>
        <v>1.2699201613785227</v>
      </c>
      <c r="GK115" s="175">
        <f t="shared" si="145"/>
        <v>0</v>
      </c>
      <c r="GN115" s="14">
        <v>10.6945</v>
      </c>
      <c r="GO115" s="175">
        <f t="shared" si="113"/>
        <v>1.2995953384938816</v>
      </c>
      <c r="GP115" s="179">
        <f t="shared" si="114"/>
        <v>0.97716583290476422</v>
      </c>
      <c r="GQ115" s="14">
        <v>10.6945</v>
      </c>
      <c r="GR115" s="175">
        <f t="shared" si="115"/>
        <v>1.2995953384938816</v>
      </c>
      <c r="GS115" s="175">
        <f t="shared" si="116"/>
        <v>0.97716583290476422</v>
      </c>
      <c r="GV115" s="32">
        <f t="shared" si="117"/>
        <v>28711.363226000001</v>
      </c>
      <c r="GW115" s="32">
        <f t="shared" si="118"/>
        <v>0</v>
      </c>
      <c r="GX115" s="180">
        <f t="shared" si="119"/>
        <v>28711.363226000001</v>
      </c>
      <c r="GZ115" s="32">
        <f t="shared" si="120"/>
        <v>10.4503</v>
      </c>
      <c r="HA115" s="32" t="e">
        <f t="shared" si="121"/>
        <v>#DIV/0!</v>
      </c>
      <c r="HB115" s="32">
        <f t="shared" si="122"/>
        <v>10.4503</v>
      </c>
    </row>
    <row r="116" spans="1:210" ht="19.2" customHeight="1" x14ac:dyDescent="0.3">
      <c r="A116" s="50">
        <v>108</v>
      </c>
      <c r="B116" s="51" t="s">
        <v>676</v>
      </c>
      <c r="C116" s="150" t="s">
        <v>638</v>
      </c>
      <c r="D116" s="52">
        <v>5</v>
      </c>
      <c r="E116" s="52">
        <v>2</v>
      </c>
      <c r="F116" s="63">
        <v>40</v>
      </c>
      <c r="G116" s="54" t="s">
        <v>96</v>
      </c>
      <c r="H116" s="181" t="s">
        <v>49</v>
      </c>
      <c r="I116" s="55">
        <f t="shared" si="99"/>
        <v>1718.82</v>
      </c>
      <c r="J116" s="55">
        <f t="shared" si="79"/>
        <v>0</v>
      </c>
      <c r="K116" s="55">
        <f t="shared" si="80"/>
        <v>0</v>
      </c>
      <c r="L116" s="56">
        <v>1718.82</v>
      </c>
      <c r="M116" s="56">
        <v>1718.82</v>
      </c>
      <c r="N116" s="56">
        <f t="shared" si="100"/>
        <v>1718.82</v>
      </c>
      <c r="O116" s="56">
        <v>0</v>
      </c>
      <c r="P116" s="56">
        <v>0</v>
      </c>
      <c r="Q116" s="55"/>
      <c r="R116" s="55">
        <v>1718.82</v>
      </c>
      <c r="S116" s="55"/>
      <c r="T116" s="55">
        <v>0</v>
      </c>
      <c r="U116" s="152">
        <v>1718.82</v>
      </c>
      <c r="V116" s="57">
        <v>0.1764</v>
      </c>
      <c r="W116" s="153">
        <v>0.1002</v>
      </c>
      <c r="X116" s="57">
        <v>0.30590000000000001</v>
      </c>
      <c r="Y116" s="57">
        <v>7.2900000000000006E-2</v>
      </c>
      <c r="Z116" s="153">
        <v>2.3300000000000001E-2</v>
      </c>
      <c r="AA116" s="57">
        <v>0.33889999999999998</v>
      </c>
      <c r="AB116" s="153">
        <v>0</v>
      </c>
      <c r="AC116" s="57">
        <v>0.63149999999999995</v>
      </c>
      <c r="AD116" s="57">
        <v>0.184</v>
      </c>
      <c r="AE116" s="57">
        <v>0</v>
      </c>
      <c r="AF116" s="57">
        <v>2.2964000000000002</v>
      </c>
      <c r="AG116" s="57">
        <v>0.23680000000000001</v>
      </c>
      <c r="AH116" s="57">
        <v>0.3553</v>
      </c>
      <c r="AI116" s="153">
        <v>7.5200000000000003E-2</v>
      </c>
      <c r="AJ116" s="153">
        <v>0.1038</v>
      </c>
      <c r="AK116" s="153">
        <v>4.5199999999999997E-2</v>
      </c>
      <c r="AL116" s="57">
        <v>0.1134</v>
      </c>
      <c r="AM116" s="153">
        <v>3.1899999999999998E-2</v>
      </c>
      <c r="AN116" s="57">
        <v>0</v>
      </c>
      <c r="AO116" s="153">
        <v>2.6113</v>
      </c>
      <c r="AP116" s="57">
        <v>0.8931</v>
      </c>
      <c r="AQ116" s="57">
        <v>8.6199999999999999E-2</v>
      </c>
      <c r="AR116" s="153">
        <v>0.60540000000000005</v>
      </c>
      <c r="AS116" s="57">
        <v>5.7099999999999998E-2</v>
      </c>
      <c r="AT116" s="57">
        <v>9.2999999999999992E-3</v>
      </c>
      <c r="AU116" s="153">
        <v>0.19869999999999999</v>
      </c>
      <c r="AV116" s="153">
        <v>0</v>
      </c>
      <c r="AW116" s="154">
        <v>9.5521999999999991</v>
      </c>
      <c r="AX116" s="58">
        <v>0.47760000000000002</v>
      </c>
      <c r="AY116" s="155">
        <f t="shared" si="81"/>
        <v>0.4733</v>
      </c>
      <c r="AZ116" s="155">
        <f t="shared" si="82"/>
        <v>4.300000000000026E-3</v>
      </c>
      <c r="BA116" s="14">
        <v>10.0298</v>
      </c>
      <c r="BB116" s="59">
        <f>BA116-'[1]Тариф 26 свод без  ПДВ'!AU116</f>
        <v>-2.7000000000008129E-3</v>
      </c>
      <c r="BC116" s="57">
        <v>0</v>
      </c>
      <c r="BD116" s="57">
        <v>0</v>
      </c>
      <c r="BE116" s="57">
        <v>0</v>
      </c>
      <c r="BF116" s="156">
        <v>9.5521999999999991</v>
      </c>
      <c r="BG116" s="59">
        <v>0.47760000000000002</v>
      </c>
      <c r="BH116" s="59"/>
      <c r="BI116" s="59"/>
      <c r="BJ116" s="14">
        <v>10.0298</v>
      </c>
      <c r="BK116" s="60"/>
      <c r="BL116" s="60">
        <v>5.2436999999999987</v>
      </c>
      <c r="BM116" s="60">
        <v>0.26219999999999999</v>
      </c>
      <c r="BN116" s="14">
        <v>5.5058999999999987</v>
      </c>
      <c r="BO116" s="14"/>
      <c r="BP116" s="157"/>
      <c r="BQ116" s="158">
        <f>BJ116-'[1]Тариф 26 свод без  ПДВ'!BG116</f>
        <v>-2.7000000000008129E-3</v>
      </c>
      <c r="BR116" s="77">
        <f>'[1]Тариф 26 свод без  ПДВ'!BG116</f>
        <v>10.032500000000001</v>
      </c>
      <c r="BS116" s="159">
        <f t="shared" si="83"/>
        <v>-2.7000000000008129E-3</v>
      </c>
      <c r="BU116" s="77">
        <f>'[1]Тариф 26 свод без  ПДВ'!AU116</f>
        <v>10.032500000000001</v>
      </c>
      <c r="BV116" s="159">
        <f t="shared" si="84"/>
        <v>-2.7000000000008129E-3</v>
      </c>
      <c r="BX116" s="95">
        <v>4.3393999999999995</v>
      </c>
      <c r="BY116" s="95">
        <v>4.3393999999999995</v>
      </c>
      <c r="BZ116" s="95"/>
      <c r="CA116" s="62">
        <f t="shared" si="85"/>
        <v>2.3113333640595477</v>
      </c>
      <c r="CB116" s="62">
        <f t="shared" si="86"/>
        <v>2.3113333640595477</v>
      </c>
      <c r="CI116" s="160">
        <f>'[1]0 СВОД'!AYY131</f>
        <v>17239.553442734061</v>
      </c>
      <c r="CJ116" s="77">
        <f t="shared" si="87"/>
        <v>206874.64131280873</v>
      </c>
      <c r="CM116" s="161">
        <v>114</v>
      </c>
      <c r="CN116" s="162" t="s">
        <v>677</v>
      </c>
      <c r="CO116" s="163">
        <v>5</v>
      </c>
      <c r="CP116" s="163">
        <v>2</v>
      </c>
      <c r="CQ116" s="164" t="s">
        <v>96</v>
      </c>
      <c r="CR116" s="165" t="s">
        <v>49</v>
      </c>
      <c r="CS116" s="166">
        <v>1718.76</v>
      </c>
      <c r="CT116" s="166">
        <v>0</v>
      </c>
      <c r="CU116" s="167">
        <v>0</v>
      </c>
      <c r="CV116" s="168">
        <v>1718.76</v>
      </c>
      <c r="CW116" s="166">
        <v>1718.76</v>
      </c>
      <c r="CX116" s="167">
        <v>0</v>
      </c>
      <c r="CY116" s="166">
        <v>0</v>
      </c>
      <c r="CZ116" s="166"/>
      <c r="DA116" s="166">
        <v>1718.76</v>
      </c>
      <c r="DB116" s="166"/>
      <c r="DC116" s="166">
        <v>0</v>
      </c>
      <c r="DD116" s="59">
        <v>0.17369999999999999</v>
      </c>
      <c r="DE116" s="59">
        <v>0.1628</v>
      </c>
      <c r="DF116" s="59">
        <v>0.2009</v>
      </c>
      <c r="DG116" s="59">
        <v>4.2900000000000001E-2</v>
      </c>
      <c r="DH116" s="59">
        <v>8.6999999999999994E-3</v>
      </c>
      <c r="DI116" s="59">
        <v>0.14410000000000001</v>
      </c>
      <c r="DJ116" s="59">
        <v>4.8099999999999997E-2</v>
      </c>
      <c r="DK116" s="59">
        <v>0.3458</v>
      </c>
      <c r="DL116" s="169">
        <v>0</v>
      </c>
      <c r="DM116" s="59">
        <v>0.112</v>
      </c>
      <c r="DN116" s="169">
        <v>0</v>
      </c>
      <c r="DO116" s="170">
        <v>1.1636</v>
      </c>
      <c r="DP116" s="171">
        <f t="shared" si="88"/>
        <v>2.2964000000000002</v>
      </c>
      <c r="DQ116" s="59">
        <v>0.114</v>
      </c>
      <c r="DR116" s="59">
        <v>0.21260000000000001</v>
      </c>
      <c r="DS116" s="59">
        <v>1.9300000000000001E-2</v>
      </c>
      <c r="DT116" s="59">
        <v>4.8800000000000003E-2</v>
      </c>
      <c r="DU116" s="59">
        <v>1.9099999999999999E-2</v>
      </c>
      <c r="DV116" s="59">
        <v>3.9199999999999999E-2</v>
      </c>
      <c r="DW116" s="59">
        <v>8.3999999999999995E-3</v>
      </c>
      <c r="DX116" s="169">
        <v>0</v>
      </c>
      <c r="DY116" s="170">
        <v>1.3285</v>
      </c>
      <c r="DZ116" s="171">
        <f t="shared" si="89"/>
        <v>1.9656003010914564</v>
      </c>
      <c r="EA116" s="59">
        <v>0.54920000000000002</v>
      </c>
      <c r="EB116" s="171">
        <f t="shared" si="90"/>
        <v>1.7831391114348143</v>
      </c>
      <c r="EC116" s="59">
        <v>0.3856</v>
      </c>
      <c r="ED116" s="171">
        <f t="shared" si="91"/>
        <v>1.570020746887967</v>
      </c>
      <c r="EE116" s="59">
        <v>4.3700000000000003E-2</v>
      </c>
      <c r="EF116" s="59">
        <v>6.1000000000000004E-3</v>
      </c>
      <c r="EG116" s="59">
        <v>0.2195</v>
      </c>
      <c r="EH116" s="59">
        <v>0</v>
      </c>
      <c r="EI116" s="208">
        <v>0.13489999999999999</v>
      </c>
      <c r="EJ116" s="172">
        <v>5.5315000000000012</v>
      </c>
      <c r="EK116" s="173"/>
      <c r="EL116" s="169">
        <v>0</v>
      </c>
      <c r="EM116" s="169">
        <v>0</v>
      </c>
      <c r="EN116" s="59"/>
      <c r="EO116" s="172"/>
      <c r="ES116" s="57">
        <f t="shared" si="101"/>
        <v>5.5315000000000012</v>
      </c>
      <c r="ET116" s="57">
        <f t="shared" si="102"/>
        <v>0</v>
      </c>
      <c r="EU116" s="31"/>
      <c r="EV116" s="61">
        <f t="shared" si="92"/>
        <v>1.8132152219108737</v>
      </c>
      <c r="EW116" s="62"/>
      <c r="EX116" s="158">
        <f t="shared" si="146"/>
        <v>-2.8111924999999989</v>
      </c>
      <c r="EY116" s="77">
        <f t="shared" si="147"/>
        <v>7.4343360000000018</v>
      </c>
      <c r="EZ116" s="158">
        <f t="shared" si="93"/>
        <v>10.0298</v>
      </c>
      <c r="FA116" s="158">
        <f t="shared" si="94"/>
        <v>10.0298</v>
      </c>
      <c r="FH116" s="174">
        <f t="shared" si="103"/>
        <v>17239.420835999998</v>
      </c>
      <c r="FJ116" s="87">
        <v>1.3780168127994212</v>
      </c>
      <c r="FK116" s="176">
        <f t="shared" si="104"/>
        <v>1.315815021318465</v>
      </c>
      <c r="FM116" s="87" t="e">
        <f t="shared" si="105"/>
        <v>#DIV/0!</v>
      </c>
      <c r="FO116" s="88">
        <f t="shared" si="95"/>
        <v>17239.420835999998</v>
      </c>
      <c r="FP116" s="79">
        <f t="shared" si="96"/>
        <v>0</v>
      </c>
      <c r="FS116" s="79">
        <f t="shared" si="97"/>
        <v>9507.6528300000009</v>
      </c>
      <c r="FT116" s="79">
        <f t="shared" si="98"/>
        <v>0</v>
      </c>
      <c r="FU116" s="79">
        <f t="shared" si="106"/>
        <v>1.8132152219108737</v>
      </c>
      <c r="FV116" s="79" t="e">
        <f t="shared" si="106"/>
        <v>#DIV/0!</v>
      </c>
      <c r="FY116" s="79">
        <f t="shared" si="107"/>
        <v>17239.420835999998</v>
      </c>
      <c r="FZ116" s="79">
        <f t="shared" si="108"/>
        <v>0</v>
      </c>
      <c r="GB116" s="178">
        <f t="shared" si="109"/>
        <v>1718.82</v>
      </c>
      <c r="GC116" s="178">
        <f t="shared" si="110"/>
        <v>0</v>
      </c>
      <c r="GG116" s="14">
        <v>7.8979000000000008</v>
      </c>
      <c r="GH116" s="175">
        <f t="shared" si="111"/>
        <v>1.269932513706175</v>
      </c>
      <c r="GI116" s="14">
        <v>7.8979000000000008</v>
      </c>
      <c r="GJ116" s="175">
        <f t="shared" si="112"/>
        <v>1.269932513706175</v>
      </c>
      <c r="GK116" s="175">
        <f t="shared" si="145"/>
        <v>0</v>
      </c>
      <c r="GN116" s="14">
        <v>10.2202</v>
      </c>
      <c r="GO116" s="175">
        <f t="shared" si="113"/>
        <v>1.2940401878980488</v>
      </c>
      <c r="GP116" s="179">
        <f t="shared" si="114"/>
        <v>0.98137022758850112</v>
      </c>
      <c r="GQ116" s="14">
        <v>10.2202</v>
      </c>
      <c r="GR116" s="175">
        <f t="shared" si="115"/>
        <v>1.2940401878980488</v>
      </c>
      <c r="GS116" s="175">
        <f t="shared" si="116"/>
        <v>0.98137022758850112</v>
      </c>
      <c r="GV116" s="32">
        <f t="shared" si="117"/>
        <v>17239.420835999998</v>
      </c>
      <c r="GW116" s="32">
        <f t="shared" si="118"/>
        <v>0</v>
      </c>
      <c r="GX116" s="180">
        <f t="shared" si="119"/>
        <v>17239.420835999998</v>
      </c>
      <c r="GZ116" s="32">
        <f t="shared" si="120"/>
        <v>10.029799999999998</v>
      </c>
      <c r="HA116" s="32" t="e">
        <f t="shared" si="121"/>
        <v>#DIV/0!</v>
      </c>
      <c r="HB116" s="32">
        <f t="shared" si="122"/>
        <v>10.029799999999998</v>
      </c>
    </row>
    <row r="117" spans="1:210" ht="19.2" customHeight="1" x14ac:dyDescent="0.3">
      <c r="A117" s="50">
        <v>109</v>
      </c>
      <c r="B117" s="51" t="s">
        <v>678</v>
      </c>
      <c r="C117" s="150" t="s">
        <v>638</v>
      </c>
      <c r="D117" s="52">
        <v>5</v>
      </c>
      <c r="E117" s="52">
        <v>6</v>
      </c>
      <c r="F117" s="63">
        <v>89</v>
      </c>
      <c r="G117" s="54" t="s">
        <v>97</v>
      </c>
      <c r="H117" s="181" t="s">
        <v>49</v>
      </c>
      <c r="I117" s="55">
        <f t="shared" si="99"/>
        <v>4408.16</v>
      </c>
      <c r="J117" s="55">
        <f t="shared" si="79"/>
        <v>0</v>
      </c>
      <c r="K117" s="55">
        <f t="shared" si="80"/>
        <v>47.3</v>
      </c>
      <c r="L117" s="56">
        <v>4455.46</v>
      </c>
      <c r="M117" s="56">
        <v>4408.16</v>
      </c>
      <c r="N117" s="56">
        <f t="shared" si="100"/>
        <v>4408.16</v>
      </c>
      <c r="O117" s="56">
        <v>47.3</v>
      </c>
      <c r="P117" s="56">
        <v>0</v>
      </c>
      <c r="Q117" s="55"/>
      <c r="R117" s="55">
        <v>4455.46</v>
      </c>
      <c r="S117" s="55"/>
      <c r="T117" s="55">
        <v>0</v>
      </c>
      <c r="U117" s="152">
        <v>4455.46</v>
      </c>
      <c r="V117" s="57">
        <v>0.15579999999999999</v>
      </c>
      <c r="W117" s="153">
        <v>8.4900000000000003E-2</v>
      </c>
      <c r="X117" s="57">
        <v>0.32990000000000003</v>
      </c>
      <c r="Y117" s="57">
        <v>0</v>
      </c>
      <c r="Z117" s="153">
        <v>3.1399999999999997E-2</v>
      </c>
      <c r="AA117" s="57">
        <v>0.57689999999999997</v>
      </c>
      <c r="AB117" s="153">
        <v>0</v>
      </c>
      <c r="AC117" s="57">
        <v>0.62080000000000002</v>
      </c>
      <c r="AD117" s="57">
        <v>0.28749999999999998</v>
      </c>
      <c r="AE117" s="57">
        <v>0</v>
      </c>
      <c r="AF117" s="57">
        <v>2.4771000000000001</v>
      </c>
      <c r="AG117" s="57">
        <v>0.20549999999999999</v>
      </c>
      <c r="AH117" s="57">
        <v>0.30120000000000002</v>
      </c>
      <c r="AI117" s="153">
        <v>9.1300000000000006E-2</v>
      </c>
      <c r="AJ117" s="153">
        <v>0</v>
      </c>
      <c r="AK117" s="153">
        <v>6.0999999999999999E-2</v>
      </c>
      <c r="AL117" s="57">
        <v>0.20680000000000001</v>
      </c>
      <c r="AM117" s="153">
        <v>3.2300000000000002E-2</v>
      </c>
      <c r="AN117" s="57">
        <v>0</v>
      </c>
      <c r="AO117" s="153">
        <v>2.2275</v>
      </c>
      <c r="AP117" s="57">
        <v>0.94889999999999997</v>
      </c>
      <c r="AQ117" s="57">
        <v>8.6999999999999994E-2</v>
      </c>
      <c r="AR117" s="153">
        <v>0.61270000000000002</v>
      </c>
      <c r="AS117" s="57">
        <v>5.1200000000000002E-2</v>
      </c>
      <c r="AT117" s="57">
        <v>8.3000000000000001E-3</v>
      </c>
      <c r="AU117" s="153">
        <v>0.60229999999999995</v>
      </c>
      <c r="AV117" s="153">
        <v>0</v>
      </c>
      <c r="AW117" s="154">
        <v>10.000299999999999</v>
      </c>
      <c r="AX117" s="58">
        <v>0.5</v>
      </c>
      <c r="AY117" s="155">
        <f t="shared" si="81"/>
        <v>0.49569999999999997</v>
      </c>
      <c r="AZ117" s="155">
        <f t="shared" si="82"/>
        <v>4.300000000000026E-3</v>
      </c>
      <c r="BA117" s="14">
        <v>10.500299999999999</v>
      </c>
      <c r="BB117" s="59">
        <f>BA117-'[1]Тариф 26 свод без  ПДВ'!AU117</f>
        <v>-4.0000000000013358E-3</v>
      </c>
      <c r="BC117" s="57">
        <v>0</v>
      </c>
      <c r="BD117" s="57">
        <v>0</v>
      </c>
      <c r="BE117" s="57">
        <v>0</v>
      </c>
      <c r="BF117" s="156">
        <v>10.000299999999999</v>
      </c>
      <c r="BG117" s="59">
        <v>0.5</v>
      </c>
      <c r="BH117" s="59"/>
      <c r="BI117" s="59"/>
      <c r="BJ117" s="14">
        <v>10.500299999999999</v>
      </c>
      <c r="BK117" s="60"/>
      <c r="BL117" s="60">
        <v>5.6088999999999993</v>
      </c>
      <c r="BM117" s="60">
        <v>0.28039999999999998</v>
      </c>
      <c r="BN117" s="14">
        <v>5.8892999999999995</v>
      </c>
      <c r="BO117" s="14"/>
      <c r="BP117" s="157"/>
      <c r="BQ117" s="158">
        <f>BJ117-'[1]Тариф 26 свод без  ПДВ'!BG117</f>
        <v>-4.0000000000013358E-3</v>
      </c>
      <c r="BR117" s="77">
        <f>'[1]Тариф 26 свод без  ПДВ'!BG117</f>
        <v>10.504300000000001</v>
      </c>
      <c r="BS117" s="159">
        <f t="shared" si="83"/>
        <v>-4.0000000000013358E-3</v>
      </c>
      <c r="BU117" s="77">
        <f>'[1]Тариф 26 свод без  ПДВ'!AU117</f>
        <v>10.504300000000001</v>
      </c>
      <c r="BV117" s="159">
        <f t="shared" si="84"/>
        <v>-4.0000000000013358E-3</v>
      </c>
      <c r="BX117" s="95">
        <v>4.1669999999999998</v>
      </c>
      <c r="BY117" s="95">
        <v>5.2340999999999998</v>
      </c>
      <c r="BZ117" s="95"/>
      <c r="CA117" s="62">
        <f t="shared" si="85"/>
        <v>2.5198704103671705</v>
      </c>
      <c r="CB117" s="62">
        <f t="shared" si="86"/>
        <v>2.0061328595173955</v>
      </c>
      <c r="CD117" s="160">
        <f>L117-CE117</f>
        <v>4455.46</v>
      </c>
      <c r="CE117" s="160">
        <f>T117</f>
        <v>0</v>
      </c>
      <c r="CF117" s="77">
        <f>CD117*BA117</f>
        <v>46783.666637999995</v>
      </c>
      <c r="CG117" s="77">
        <f>BJ117*CE117</f>
        <v>0</v>
      </c>
      <c r="CI117" s="160">
        <f>'[1]0 СВОД'!AYY132</f>
        <v>46565.069176031175</v>
      </c>
      <c r="CJ117" s="77">
        <f t="shared" si="87"/>
        <v>558780.83011237415</v>
      </c>
      <c r="CM117" s="161">
        <v>115</v>
      </c>
      <c r="CN117" s="183" t="s">
        <v>679</v>
      </c>
      <c r="CO117" s="163">
        <v>5</v>
      </c>
      <c r="CP117" s="163">
        <v>6</v>
      </c>
      <c r="CQ117" s="164" t="s">
        <v>97</v>
      </c>
      <c r="CR117" s="165" t="s">
        <v>49</v>
      </c>
      <c r="CS117" s="166">
        <v>4404.9799999999996</v>
      </c>
      <c r="CT117" s="166">
        <v>0</v>
      </c>
      <c r="CU117" s="167">
        <v>47.3</v>
      </c>
      <c r="CV117" s="168">
        <v>4452.28</v>
      </c>
      <c r="CW117" s="166">
        <v>4404.9799999999996</v>
      </c>
      <c r="CX117" s="167">
        <v>47.3</v>
      </c>
      <c r="CY117" s="166">
        <v>1.8474111129762605E-13</v>
      </c>
      <c r="CZ117" s="166"/>
      <c r="DA117" s="166">
        <v>4452.28</v>
      </c>
      <c r="DB117" s="166"/>
      <c r="DC117" s="166">
        <v>0</v>
      </c>
      <c r="DD117" s="59">
        <v>0.15329999999999999</v>
      </c>
      <c r="DE117" s="59">
        <v>0.1381</v>
      </c>
      <c r="DF117" s="59">
        <v>0.217</v>
      </c>
      <c r="DG117" s="59">
        <v>0</v>
      </c>
      <c r="DH117" s="59">
        <v>1.18E-2</v>
      </c>
      <c r="DI117" s="59">
        <v>0.2535</v>
      </c>
      <c r="DJ117" s="59">
        <v>4.8099999999999997E-2</v>
      </c>
      <c r="DK117" s="59">
        <v>0.33839999999999998</v>
      </c>
      <c r="DL117" s="169">
        <v>0</v>
      </c>
      <c r="DM117" s="59">
        <v>0.15559999999999999</v>
      </c>
      <c r="DN117" s="169">
        <v>0</v>
      </c>
      <c r="DO117" s="184">
        <v>1.6220000000000001</v>
      </c>
      <c r="DP117" s="171">
        <f t="shared" si="88"/>
        <v>2.4771000000000001</v>
      </c>
      <c r="DQ117" s="59">
        <v>9.9000000000000005E-2</v>
      </c>
      <c r="DR117" s="59">
        <v>0.18029999999999999</v>
      </c>
      <c r="DS117" s="59">
        <v>2.3800000000000002E-2</v>
      </c>
      <c r="DT117" s="59">
        <v>0</v>
      </c>
      <c r="DU117" s="59">
        <v>2.58E-2</v>
      </c>
      <c r="DV117" s="59">
        <v>7.22E-2</v>
      </c>
      <c r="DW117" s="59">
        <v>8.6E-3</v>
      </c>
      <c r="DX117" s="169">
        <v>0</v>
      </c>
      <c r="DY117" s="59">
        <v>1.1910000000000001</v>
      </c>
      <c r="DZ117" s="171">
        <f t="shared" si="89"/>
        <v>1.8702770780856424</v>
      </c>
      <c r="EA117" s="59">
        <v>0.58120000000000005</v>
      </c>
      <c r="EB117" s="171">
        <f t="shared" si="90"/>
        <v>1.7823468685478321</v>
      </c>
      <c r="EC117" s="59">
        <v>0.36430000000000001</v>
      </c>
      <c r="ED117" s="171">
        <f t="shared" si="91"/>
        <v>1.6818556135053528</v>
      </c>
      <c r="EE117" s="59">
        <v>3.9199999999999999E-2</v>
      </c>
      <c r="EF117" s="59">
        <v>5.4000000000000003E-3</v>
      </c>
      <c r="EG117" s="59">
        <v>0.1953</v>
      </c>
      <c r="EH117" s="59">
        <v>0</v>
      </c>
      <c r="EI117" s="208">
        <v>0.1431</v>
      </c>
      <c r="EJ117" s="172">
        <v>5.8669999999999991</v>
      </c>
      <c r="EK117" s="173"/>
      <c r="EL117" s="169">
        <v>0</v>
      </c>
      <c r="EM117" s="169">
        <v>0</v>
      </c>
      <c r="EN117" s="59"/>
      <c r="EO117" s="172"/>
      <c r="ES117" s="57">
        <f t="shared" si="101"/>
        <v>5.8669999999999991</v>
      </c>
      <c r="ET117" s="57">
        <f t="shared" si="102"/>
        <v>0</v>
      </c>
      <c r="EU117" s="31"/>
      <c r="EV117" s="65">
        <f t="shared" si="92"/>
        <v>1.7897221748764276</v>
      </c>
      <c r="EW117" s="62"/>
      <c r="EX117" s="158">
        <f t="shared" si="146"/>
        <v>-2.843865000000001</v>
      </c>
      <c r="EY117" s="77">
        <f t="shared" si="147"/>
        <v>7.8852479999999989</v>
      </c>
      <c r="EZ117" s="158">
        <f t="shared" si="93"/>
        <v>10.500299999999999</v>
      </c>
      <c r="FA117" s="158">
        <f t="shared" si="94"/>
        <v>10.500299999999999</v>
      </c>
      <c r="FH117" s="174">
        <f t="shared" si="103"/>
        <v>46783.666637999995</v>
      </c>
      <c r="FJ117" s="87">
        <v>1.2658598943241863</v>
      </c>
      <c r="FK117" s="176">
        <f t="shared" si="104"/>
        <v>1.4138390693165293</v>
      </c>
      <c r="FM117" s="87" t="e">
        <f t="shared" si="105"/>
        <v>#DIV/0!</v>
      </c>
      <c r="FO117" s="88">
        <f t="shared" si="95"/>
        <v>46783.666637999995</v>
      </c>
      <c r="FP117" s="79">
        <f t="shared" si="96"/>
        <v>0</v>
      </c>
      <c r="FS117" s="79">
        <f t="shared" si="97"/>
        <v>26140.183819999995</v>
      </c>
      <c r="FT117" s="79">
        <f t="shared" si="98"/>
        <v>0</v>
      </c>
      <c r="FU117" s="79">
        <f t="shared" si="106"/>
        <v>1.7897221748764276</v>
      </c>
      <c r="FV117" s="79" t="e">
        <f t="shared" si="106"/>
        <v>#DIV/0!</v>
      </c>
      <c r="FY117" s="79">
        <f t="shared" si="107"/>
        <v>46783.666637999995</v>
      </c>
      <c r="FZ117" s="79">
        <f t="shared" si="108"/>
        <v>0</v>
      </c>
      <c r="GB117" s="178">
        <f t="shared" si="109"/>
        <v>4455.46</v>
      </c>
      <c r="GC117" s="178">
        <f t="shared" si="110"/>
        <v>0</v>
      </c>
      <c r="GG117" s="14">
        <v>8.2684999999999995</v>
      </c>
      <c r="GH117" s="175">
        <f t="shared" si="111"/>
        <v>1.2699159460603495</v>
      </c>
      <c r="GI117" s="14">
        <v>8.2684999999999995</v>
      </c>
      <c r="GJ117" s="175">
        <f t="shared" si="112"/>
        <v>1.2699159460603495</v>
      </c>
      <c r="GK117" s="175">
        <f t="shared" si="145"/>
        <v>0</v>
      </c>
      <c r="GN117" s="14">
        <v>10.5465</v>
      </c>
      <c r="GO117" s="175">
        <f t="shared" si="113"/>
        <v>1.2755034165810002</v>
      </c>
      <c r="GP117" s="179">
        <f t="shared" si="114"/>
        <v>0.99561939980088177</v>
      </c>
      <c r="GQ117" s="14">
        <v>10.5465</v>
      </c>
      <c r="GR117" s="175">
        <f t="shared" si="115"/>
        <v>1.2755034165810002</v>
      </c>
      <c r="GS117" s="175">
        <f t="shared" si="116"/>
        <v>0.99561939980088177</v>
      </c>
      <c r="GV117" s="32">
        <f t="shared" si="117"/>
        <v>46783.666637999995</v>
      </c>
      <c r="GW117" s="32">
        <f t="shared" si="118"/>
        <v>0</v>
      </c>
      <c r="GX117" s="180">
        <f t="shared" si="119"/>
        <v>46783.666637999995</v>
      </c>
      <c r="GZ117" s="32">
        <f t="shared" si="120"/>
        <v>10.500299999999999</v>
      </c>
      <c r="HA117" s="32" t="e">
        <f t="shared" si="121"/>
        <v>#DIV/0!</v>
      </c>
      <c r="HB117" s="32">
        <f t="shared" si="122"/>
        <v>10.500299999999999</v>
      </c>
    </row>
    <row r="118" spans="1:210" ht="19.2" customHeight="1" x14ac:dyDescent="0.3">
      <c r="A118" s="50">
        <v>110</v>
      </c>
      <c r="B118" s="51" t="s">
        <v>680</v>
      </c>
      <c r="C118" s="150" t="s">
        <v>638</v>
      </c>
      <c r="D118" s="52">
        <v>5</v>
      </c>
      <c r="E118" s="52">
        <v>2</v>
      </c>
      <c r="F118" s="63">
        <v>40</v>
      </c>
      <c r="G118" s="54" t="s">
        <v>98</v>
      </c>
      <c r="H118" s="181" t="s">
        <v>49</v>
      </c>
      <c r="I118" s="55">
        <f t="shared" si="99"/>
        <v>1723.42</v>
      </c>
      <c r="J118" s="55">
        <f t="shared" si="79"/>
        <v>0</v>
      </c>
      <c r="K118" s="55">
        <f t="shared" si="80"/>
        <v>0</v>
      </c>
      <c r="L118" s="56">
        <v>1723.42</v>
      </c>
      <c r="M118" s="56">
        <v>1723.42</v>
      </c>
      <c r="N118" s="56">
        <f t="shared" si="100"/>
        <v>1723.42</v>
      </c>
      <c r="O118" s="56">
        <v>0</v>
      </c>
      <c r="P118" s="56">
        <v>0</v>
      </c>
      <c r="Q118" s="55"/>
      <c r="R118" s="55">
        <v>1723.42</v>
      </c>
      <c r="S118" s="55"/>
      <c r="T118" s="55">
        <v>0</v>
      </c>
      <c r="U118" s="152">
        <v>1723.42</v>
      </c>
      <c r="V118" s="57">
        <v>0.1759</v>
      </c>
      <c r="W118" s="153">
        <v>9.9900000000000003E-2</v>
      </c>
      <c r="X118" s="57">
        <v>0.3115</v>
      </c>
      <c r="Y118" s="57">
        <v>0</v>
      </c>
      <c r="Z118" s="153">
        <v>2.3199999999999998E-2</v>
      </c>
      <c r="AA118" s="57">
        <v>0.33800000000000002</v>
      </c>
      <c r="AB118" s="153">
        <v>0</v>
      </c>
      <c r="AC118" s="57">
        <v>0.62080000000000002</v>
      </c>
      <c r="AD118" s="57">
        <v>0.33040000000000003</v>
      </c>
      <c r="AE118" s="57">
        <v>0</v>
      </c>
      <c r="AF118" s="57">
        <v>2.2911999999999999</v>
      </c>
      <c r="AG118" s="57">
        <v>0.2361</v>
      </c>
      <c r="AH118" s="57">
        <v>0.35439999999999999</v>
      </c>
      <c r="AI118" s="153">
        <v>7.6999999999999999E-2</v>
      </c>
      <c r="AJ118" s="153">
        <v>0</v>
      </c>
      <c r="AK118" s="153">
        <v>4.5100000000000001E-2</v>
      </c>
      <c r="AL118" s="57">
        <v>0.11310000000000001</v>
      </c>
      <c r="AM118" s="153">
        <v>3.1800000000000002E-2</v>
      </c>
      <c r="AN118" s="57">
        <v>0</v>
      </c>
      <c r="AO118" s="153">
        <v>2.573</v>
      </c>
      <c r="AP118" s="57">
        <v>0.96870000000000001</v>
      </c>
      <c r="AQ118" s="57">
        <v>9.06E-2</v>
      </c>
      <c r="AR118" s="153">
        <v>0.42499999999999999</v>
      </c>
      <c r="AS118" s="57">
        <v>5.7200000000000001E-2</v>
      </c>
      <c r="AT118" s="57">
        <v>9.2999999999999992E-3</v>
      </c>
      <c r="AU118" s="153">
        <v>0.21920000000000001</v>
      </c>
      <c r="AV118" s="153">
        <v>0</v>
      </c>
      <c r="AW118" s="154">
        <v>9.3914000000000009</v>
      </c>
      <c r="AX118" s="58">
        <v>0.46960000000000002</v>
      </c>
      <c r="AY118" s="155">
        <f t="shared" si="81"/>
        <v>0.46500000000000002</v>
      </c>
      <c r="AZ118" s="155">
        <f t="shared" si="82"/>
        <v>4.599999999999993E-3</v>
      </c>
      <c r="BA118" s="14">
        <v>9.8610000000000007</v>
      </c>
      <c r="BB118" s="59">
        <f>BA118-'[1]Тариф 26 свод без  ПДВ'!AU118</f>
        <v>1.300000000000523E-3</v>
      </c>
      <c r="BC118" s="57">
        <v>0</v>
      </c>
      <c r="BD118" s="57">
        <v>0</v>
      </c>
      <c r="BE118" s="57">
        <v>0</v>
      </c>
      <c r="BF118" s="156">
        <v>9.3914000000000009</v>
      </c>
      <c r="BG118" s="59">
        <v>0.46960000000000002</v>
      </c>
      <c r="BH118" s="59"/>
      <c r="BI118" s="59"/>
      <c r="BJ118" s="14">
        <v>9.8610000000000007</v>
      </c>
      <c r="BK118" s="60"/>
      <c r="BL118" s="60">
        <v>5.2054999999999989</v>
      </c>
      <c r="BM118" s="60">
        <v>0.26029999999999998</v>
      </c>
      <c r="BN118" s="14">
        <v>5.4657999999999989</v>
      </c>
      <c r="BO118" s="14"/>
      <c r="BP118" s="157"/>
      <c r="BQ118" s="158">
        <f>BJ118-'[1]Тариф 26 свод без  ПДВ'!BG118</f>
        <v>1.300000000000523E-3</v>
      </c>
      <c r="BR118" s="77">
        <f>'[1]Тариф 26 свод без  ПДВ'!BG118</f>
        <v>9.8597000000000001</v>
      </c>
      <c r="BS118" s="159">
        <f t="shared" si="83"/>
        <v>1.300000000000523E-3</v>
      </c>
      <c r="BU118" s="77">
        <f>'[1]Тариф 26 свод без  ПДВ'!AU118</f>
        <v>9.8597000000000001</v>
      </c>
      <c r="BV118" s="159">
        <f t="shared" si="84"/>
        <v>1.300000000000523E-3</v>
      </c>
      <c r="BX118" s="95">
        <v>4.3791000000000002</v>
      </c>
      <c r="BY118" s="95">
        <v>5.8329000000000004</v>
      </c>
      <c r="BZ118" s="95"/>
      <c r="CA118" s="182">
        <f t="shared" si="85"/>
        <v>2.2518325683359595</v>
      </c>
      <c r="CB118" s="182">
        <f t="shared" si="86"/>
        <v>1.690582729002726</v>
      </c>
      <c r="CD118" s="160">
        <f>L118-CE118</f>
        <v>1723.42</v>
      </c>
      <c r="CE118" s="160">
        <f>T118</f>
        <v>0</v>
      </c>
      <c r="CF118" s="77">
        <f>CD118*BA118</f>
        <v>16994.644620000003</v>
      </c>
      <c r="CG118" s="77">
        <f>BJ118*CE118</f>
        <v>0</v>
      </c>
      <c r="CI118" s="160">
        <f>'[1]0 СВОД'!AYY133</f>
        <v>16994.688462930855</v>
      </c>
      <c r="CJ118" s="77">
        <f t="shared" si="87"/>
        <v>203936.26155517026</v>
      </c>
      <c r="CM118" s="161">
        <v>116</v>
      </c>
      <c r="CN118" s="183" t="s">
        <v>681</v>
      </c>
      <c r="CO118" s="163">
        <v>5</v>
      </c>
      <c r="CP118" s="163">
        <v>2</v>
      </c>
      <c r="CQ118" s="164" t="s">
        <v>98</v>
      </c>
      <c r="CR118" s="165" t="s">
        <v>49</v>
      </c>
      <c r="CS118" s="166">
        <v>1723.42</v>
      </c>
      <c r="CT118" s="166">
        <v>0</v>
      </c>
      <c r="CU118" s="167">
        <v>0</v>
      </c>
      <c r="CV118" s="168">
        <v>1723.42</v>
      </c>
      <c r="CW118" s="166">
        <v>1723.42</v>
      </c>
      <c r="CX118" s="167">
        <v>0</v>
      </c>
      <c r="CY118" s="166">
        <v>0</v>
      </c>
      <c r="CZ118" s="166"/>
      <c r="DA118" s="166">
        <v>1723.42</v>
      </c>
      <c r="DB118" s="166"/>
      <c r="DC118" s="166">
        <v>0</v>
      </c>
      <c r="DD118" s="59">
        <v>0.17319999999999999</v>
      </c>
      <c r="DE118" s="59">
        <v>0.1623</v>
      </c>
      <c r="DF118" s="59">
        <v>0.2046</v>
      </c>
      <c r="DG118" s="59">
        <v>0</v>
      </c>
      <c r="DH118" s="59">
        <v>8.6999999999999994E-3</v>
      </c>
      <c r="DI118" s="59">
        <v>0.14369999999999999</v>
      </c>
      <c r="DJ118" s="59">
        <v>4.8099999999999997E-2</v>
      </c>
      <c r="DK118" s="59">
        <v>0.33839999999999998</v>
      </c>
      <c r="DL118" s="169">
        <v>0</v>
      </c>
      <c r="DM118" s="59">
        <v>0.1787</v>
      </c>
      <c r="DN118" s="169">
        <v>0</v>
      </c>
      <c r="DO118" s="184">
        <v>1.6244999999999998</v>
      </c>
      <c r="DP118" s="171">
        <f t="shared" si="88"/>
        <v>2.2911999999999999</v>
      </c>
      <c r="DQ118" s="59">
        <v>0.1137</v>
      </c>
      <c r="DR118" s="59">
        <v>0.21199999999999999</v>
      </c>
      <c r="DS118" s="59">
        <v>1.9800000000000002E-2</v>
      </c>
      <c r="DT118" s="59">
        <v>0</v>
      </c>
      <c r="DU118" s="59">
        <v>1.9E-2</v>
      </c>
      <c r="DV118" s="59">
        <v>3.9100000000000003E-2</v>
      </c>
      <c r="DW118" s="59">
        <v>8.3999999999999995E-3</v>
      </c>
      <c r="DX118" s="169">
        <v>0</v>
      </c>
      <c r="DY118" s="59">
        <v>1.3706</v>
      </c>
      <c r="DZ118" s="171">
        <f t="shared" si="89"/>
        <v>1.8772800233474389</v>
      </c>
      <c r="EA118" s="59">
        <v>0.5917</v>
      </c>
      <c r="EB118" s="171">
        <f t="shared" si="90"/>
        <v>1.7902653371641033</v>
      </c>
      <c r="EC118" s="59">
        <v>0.26679999999999998</v>
      </c>
      <c r="ED118" s="171">
        <f t="shared" si="91"/>
        <v>1.5929535232383809</v>
      </c>
      <c r="EE118" s="59">
        <v>4.3799999999999999E-2</v>
      </c>
      <c r="EF118" s="59">
        <v>6.1000000000000004E-3</v>
      </c>
      <c r="EG118" s="59">
        <v>0.1217</v>
      </c>
      <c r="EH118" s="59">
        <v>0</v>
      </c>
      <c r="EI118" s="208">
        <v>0.1424</v>
      </c>
      <c r="EJ118" s="172">
        <v>5.8373000000000008</v>
      </c>
      <c r="EK118" s="173"/>
      <c r="EL118" s="169">
        <v>0</v>
      </c>
      <c r="EM118" s="169">
        <v>0</v>
      </c>
      <c r="EN118" s="59"/>
      <c r="EO118" s="172"/>
      <c r="ES118" s="57">
        <f t="shared" si="101"/>
        <v>5.8373000000000008</v>
      </c>
      <c r="ET118" s="57">
        <f t="shared" si="102"/>
        <v>0</v>
      </c>
      <c r="EU118" s="31"/>
      <c r="EV118" s="65">
        <f t="shared" si="92"/>
        <v>1.6893084131362102</v>
      </c>
      <c r="EW118" s="62"/>
      <c r="EX118" s="158">
        <f t="shared" si="146"/>
        <v>-2.2433234999999998</v>
      </c>
      <c r="EY118" s="77">
        <f t="shared" si="147"/>
        <v>7.8453312000000013</v>
      </c>
      <c r="EZ118" s="158">
        <f t="shared" si="93"/>
        <v>9.8610000000000007</v>
      </c>
      <c r="FA118" s="158">
        <f t="shared" si="94"/>
        <v>9.8610000000000007</v>
      </c>
      <c r="FH118" s="174">
        <f t="shared" si="103"/>
        <v>16994.644620000003</v>
      </c>
      <c r="FJ118" s="87">
        <v>1.2316995871378891</v>
      </c>
      <c r="FK118" s="176">
        <f t="shared" si="104"/>
        <v>1.3715263289660351</v>
      </c>
      <c r="FM118" s="87" t="e">
        <f t="shared" si="105"/>
        <v>#DIV/0!</v>
      </c>
      <c r="FO118" s="88">
        <f t="shared" si="95"/>
        <v>16994.644620000003</v>
      </c>
      <c r="FP118" s="79">
        <f t="shared" si="96"/>
        <v>0</v>
      </c>
      <c r="FS118" s="79">
        <f t="shared" si="97"/>
        <v>10060.119566000001</v>
      </c>
      <c r="FT118" s="79">
        <f t="shared" si="98"/>
        <v>0</v>
      </c>
      <c r="FU118" s="79">
        <f t="shared" si="106"/>
        <v>1.6893084131362104</v>
      </c>
      <c r="FV118" s="79" t="e">
        <f t="shared" si="106"/>
        <v>#DIV/0!</v>
      </c>
      <c r="FY118" s="79">
        <f t="shared" si="107"/>
        <v>16994.644620000003</v>
      </c>
      <c r="FZ118" s="79">
        <f t="shared" si="108"/>
        <v>0</v>
      </c>
      <c r="GB118" s="178">
        <f t="shared" si="109"/>
        <v>1723.42</v>
      </c>
      <c r="GC118" s="178">
        <f t="shared" si="110"/>
        <v>0</v>
      </c>
      <c r="GG118" s="14">
        <v>7.764899999999999</v>
      </c>
      <c r="GH118" s="175">
        <f t="shared" si="111"/>
        <v>1.2699455240891708</v>
      </c>
      <c r="GI118" s="14">
        <v>7.764899999999999</v>
      </c>
      <c r="GJ118" s="175">
        <f t="shared" si="112"/>
        <v>1.2699455240891708</v>
      </c>
      <c r="GK118" s="175">
        <f t="shared" si="145"/>
        <v>0</v>
      </c>
      <c r="GN118" s="14">
        <v>10.135999999999999</v>
      </c>
      <c r="GO118" s="175">
        <f t="shared" si="113"/>
        <v>1.3053613053613053</v>
      </c>
      <c r="GP118" s="179">
        <f t="shared" si="114"/>
        <v>0.97286898184688253</v>
      </c>
      <c r="GQ118" s="14">
        <v>10.135999999999999</v>
      </c>
      <c r="GR118" s="175">
        <f t="shared" si="115"/>
        <v>1.3053613053613053</v>
      </c>
      <c r="GS118" s="175">
        <f t="shared" si="116"/>
        <v>0.97286898184688253</v>
      </c>
      <c r="GV118" s="32">
        <f t="shared" si="117"/>
        <v>16994.644620000003</v>
      </c>
      <c r="GW118" s="32">
        <f t="shared" si="118"/>
        <v>0</v>
      </c>
      <c r="GX118" s="180">
        <f t="shared" si="119"/>
        <v>16994.644620000003</v>
      </c>
      <c r="GZ118" s="32">
        <f t="shared" si="120"/>
        <v>9.8610000000000007</v>
      </c>
      <c r="HA118" s="32" t="e">
        <f t="shared" si="121"/>
        <v>#DIV/0!</v>
      </c>
      <c r="HB118" s="32">
        <f t="shared" si="122"/>
        <v>9.8610000000000007</v>
      </c>
    </row>
    <row r="119" spans="1:210" ht="19.2" customHeight="1" x14ac:dyDescent="0.3">
      <c r="A119" s="50">
        <v>111</v>
      </c>
      <c r="B119" s="51" t="s">
        <v>682</v>
      </c>
      <c r="C119" s="150" t="s">
        <v>638</v>
      </c>
      <c r="D119" s="52">
        <v>5</v>
      </c>
      <c r="E119" s="52">
        <v>2</v>
      </c>
      <c r="F119" s="63">
        <v>160</v>
      </c>
      <c r="G119" s="54" t="s">
        <v>99</v>
      </c>
      <c r="H119" s="181" t="s">
        <v>65</v>
      </c>
      <c r="I119" s="55">
        <f t="shared" si="99"/>
        <v>4432.2299999999996</v>
      </c>
      <c r="J119" s="55">
        <f t="shared" si="79"/>
        <v>0</v>
      </c>
      <c r="K119" s="55">
        <f t="shared" si="80"/>
        <v>0</v>
      </c>
      <c r="L119" s="56">
        <v>4432.2299999999996</v>
      </c>
      <c r="M119" s="56">
        <v>4432.2299999999996</v>
      </c>
      <c r="N119" s="56">
        <f t="shared" si="100"/>
        <v>4432.2299999999996</v>
      </c>
      <c r="O119" s="56">
        <v>0</v>
      </c>
      <c r="P119" s="56">
        <v>0</v>
      </c>
      <c r="Q119" s="55"/>
      <c r="R119" s="55">
        <v>4432.2299999999996</v>
      </c>
      <c r="S119" s="55"/>
      <c r="T119" s="55">
        <v>0</v>
      </c>
      <c r="U119" s="152">
        <v>4432.2299999999996</v>
      </c>
      <c r="V119" s="57">
        <v>0.15529999999999999</v>
      </c>
      <c r="W119" s="153">
        <v>8.7499999999999994E-2</v>
      </c>
      <c r="X119" s="57">
        <v>0.34150000000000003</v>
      </c>
      <c r="Y119" s="57">
        <v>0</v>
      </c>
      <c r="Z119" s="153">
        <v>0</v>
      </c>
      <c r="AA119" s="57">
        <v>0.29959999999999998</v>
      </c>
      <c r="AB119" s="153">
        <v>0</v>
      </c>
      <c r="AC119" s="57">
        <v>0.62080000000000002</v>
      </c>
      <c r="AD119" s="57">
        <v>0.85640000000000005</v>
      </c>
      <c r="AE119" s="57">
        <v>0</v>
      </c>
      <c r="AF119" s="57">
        <v>1.5920000000000001</v>
      </c>
      <c r="AG119" s="57">
        <v>0.21390000000000001</v>
      </c>
      <c r="AH119" s="57">
        <v>0.30120000000000002</v>
      </c>
      <c r="AI119" s="153">
        <v>9.0499999999999997E-2</v>
      </c>
      <c r="AJ119" s="153">
        <v>0</v>
      </c>
      <c r="AK119" s="153">
        <v>0</v>
      </c>
      <c r="AL119" s="57">
        <v>0.11169999999999999</v>
      </c>
      <c r="AM119" s="153">
        <v>3.3399999999999999E-2</v>
      </c>
      <c r="AN119" s="57">
        <v>0</v>
      </c>
      <c r="AO119" s="153">
        <v>1.9689000000000001</v>
      </c>
      <c r="AP119" s="57">
        <v>2.1063999999999998</v>
      </c>
      <c r="AQ119" s="57">
        <v>9.9000000000000005E-2</v>
      </c>
      <c r="AR119" s="153">
        <v>0.43049999999999999</v>
      </c>
      <c r="AS119" s="57">
        <v>5.2999999999999999E-2</v>
      </c>
      <c r="AT119" s="57">
        <v>8.6E-3</v>
      </c>
      <c r="AU119" s="153">
        <v>0.4788</v>
      </c>
      <c r="AV119" s="153">
        <v>0</v>
      </c>
      <c r="AW119" s="154">
        <v>9.8490000000000002</v>
      </c>
      <c r="AX119" s="58">
        <v>0.49249999999999999</v>
      </c>
      <c r="AY119" s="155">
        <f t="shared" si="81"/>
        <v>0.48749999999999999</v>
      </c>
      <c r="AZ119" s="155">
        <f t="shared" si="82"/>
        <v>5.0000000000000044E-3</v>
      </c>
      <c r="BA119" s="14">
        <v>10.3415</v>
      </c>
      <c r="BB119" s="59">
        <f>BA119-'[1]Тариф 26 свод без  ПДВ'!AU119</f>
        <v>6.0000000000037801E-4</v>
      </c>
      <c r="BC119" s="57">
        <v>0</v>
      </c>
      <c r="BD119" s="57">
        <v>0</v>
      </c>
      <c r="BE119" s="57">
        <v>0</v>
      </c>
      <c r="BF119" s="156">
        <v>9.8490000000000002</v>
      </c>
      <c r="BG119" s="59">
        <v>0.49249999999999999</v>
      </c>
      <c r="BH119" s="59"/>
      <c r="BI119" s="59"/>
      <c r="BJ119" s="14">
        <v>10.3415</v>
      </c>
      <c r="BK119" s="60"/>
      <c r="BL119" s="60">
        <v>4.8643999999999998</v>
      </c>
      <c r="BM119" s="60">
        <v>0.2432</v>
      </c>
      <c r="BN119" s="14">
        <v>5.1075999999999997</v>
      </c>
      <c r="BO119" s="14"/>
      <c r="BP119" s="157"/>
      <c r="BQ119" s="158">
        <f>BJ119-'[1]Тариф 26 свод без  ПДВ'!BG119</f>
        <v>6.0000000000037801E-4</v>
      </c>
      <c r="BR119" s="77">
        <f>'[1]Тариф 26 свод без  ПДВ'!BG119</f>
        <v>10.3409</v>
      </c>
      <c r="BS119" s="159">
        <f t="shared" si="83"/>
        <v>6.0000000000037801E-4</v>
      </c>
      <c r="BU119" s="77">
        <f>'[1]Тариф 26 свод без  ПДВ'!AU119</f>
        <v>10.3409</v>
      </c>
      <c r="BV119" s="159">
        <f t="shared" si="84"/>
        <v>6.0000000000037801E-4</v>
      </c>
      <c r="BX119" s="95">
        <v>4.5962999999999994</v>
      </c>
      <c r="BY119" s="95">
        <v>4.5962999999999994</v>
      </c>
      <c r="BZ119" s="95"/>
      <c r="CA119" s="62">
        <f t="shared" si="85"/>
        <v>2.2499619258969172</v>
      </c>
      <c r="CB119" s="62">
        <f t="shared" si="86"/>
        <v>2.2499619258969172</v>
      </c>
      <c r="CI119" s="160">
        <f>'[1]0 СВОД'!AYY134</f>
        <v>45835.222267665609</v>
      </c>
      <c r="CJ119" s="77">
        <f t="shared" si="87"/>
        <v>550022.66721198731</v>
      </c>
      <c r="CM119" s="161">
        <v>117</v>
      </c>
      <c r="CN119" s="183" t="s">
        <v>683</v>
      </c>
      <c r="CO119" s="163">
        <v>5</v>
      </c>
      <c r="CP119" s="163">
        <v>2</v>
      </c>
      <c r="CQ119" s="164" t="s">
        <v>99</v>
      </c>
      <c r="CR119" s="165" t="s">
        <v>65</v>
      </c>
      <c r="CS119" s="166">
        <v>4428.01</v>
      </c>
      <c r="CT119" s="166">
        <v>0</v>
      </c>
      <c r="CU119" s="167">
        <v>0</v>
      </c>
      <c r="CV119" s="168">
        <v>4428.01</v>
      </c>
      <c r="CW119" s="166">
        <v>4428.01</v>
      </c>
      <c r="CX119" s="167">
        <v>0</v>
      </c>
      <c r="CY119" s="166">
        <v>0</v>
      </c>
      <c r="CZ119" s="166"/>
      <c r="DA119" s="166">
        <v>4428.01</v>
      </c>
      <c r="DB119" s="166"/>
      <c r="DC119" s="166">
        <v>0</v>
      </c>
      <c r="DD119" s="59">
        <v>0.15240000000000001</v>
      </c>
      <c r="DE119" s="59">
        <v>0.1237</v>
      </c>
      <c r="DF119" s="59">
        <v>0.22470000000000001</v>
      </c>
      <c r="DG119" s="59">
        <v>0</v>
      </c>
      <c r="DH119" s="59">
        <v>6.7999999999999996E-3</v>
      </c>
      <c r="DI119" s="59">
        <v>9.6799999999999997E-2</v>
      </c>
      <c r="DJ119" s="59">
        <v>4.8099999999999997E-2</v>
      </c>
      <c r="DK119" s="59">
        <v>0.33839999999999998</v>
      </c>
      <c r="DL119" s="169">
        <v>0</v>
      </c>
      <c r="DM119" s="59">
        <v>0.52159999999999995</v>
      </c>
      <c r="DN119" s="169">
        <v>0</v>
      </c>
      <c r="DO119" s="184">
        <v>1.3071999999999999</v>
      </c>
      <c r="DP119" s="171">
        <f t="shared" si="88"/>
        <v>1.5920000000000001</v>
      </c>
      <c r="DQ119" s="59">
        <v>0.1033</v>
      </c>
      <c r="DR119" s="59">
        <v>0.16159999999999999</v>
      </c>
      <c r="DS119" s="59">
        <v>2.3699999999999999E-2</v>
      </c>
      <c r="DT119" s="59">
        <v>0</v>
      </c>
      <c r="DU119" s="59">
        <v>1.4800000000000001E-2</v>
      </c>
      <c r="DV119" s="59">
        <v>2.7E-2</v>
      </c>
      <c r="DW119" s="59">
        <v>9.1000000000000004E-3</v>
      </c>
      <c r="DX119" s="169">
        <v>0</v>
      </c>
      <c r="DY119" s="59">
        <v>1.0484</v>
      </c>
      <c r="DZ119" s="171">
        <f t="shared" si="89"/>
        <v>1.8780045784051889</v>
      </c>
      <c r="EA119" s="59">
        <v>1.2323</v>
      </c>
      <c r="EB119" s="171">
        <f t="shared" si="90"/>
        <v>1.7896616083745842</v>
      </c>
      <c r="EC119" s="59">
        <v>0.29139999999999999</v>
      </c>
      <c r="ED119" s="171">
        <f t="shared" si="91"/>
        <v>1.4773507206588881</v>
      </c>
      <c r="EE119" s="59">
        <v>4.0599999999999997E-2</v>
      </c>
      <c r="EF119" s="59">
        <v>5.5999999999999999E-3</v>
      </c>
      <c r="EG119" s="59">
        <v>0.4456</v>
      </c>
      <c r="EH119" s="59">
        <v>0</v>
      </c>
      <c r="EI119" s="208">
        <v>0.15559999999999999</v>
      </c>
      <c r="EJ119" s="172">
        <v>6.3787000000000003</v>
      </c>
      <c r="EK119" s="173"/>
      <c r="EL119" s="169">
        <v>0</v>
      </c>
      <c r="EM119" s="169">
        <v>0</v>
      </c>
      <c r="EN119" s="59"/>
      <c r="EO119" s="172"/>
      <c r="ES119" s="57">
        <f t="shared" si="101"/>
        <v>6.3787000000000003</v>
      </c>
      <c r="ET119" s="57">
        <f t="shared" si="102"/>
        <v>0</v>
      </c>
      <c r="EU119" s="31"/>
      <c r="EV119" s="65">
        <f t="shared" si="92"/>
        <v>1.6212551146785394</v>
      </c>
      <c r="EW119" s="62"/>
      <c r="EX119" s="158">
        <f t="shared" si="146"/>
        <v>-2.0172965000000005</v>
      </c>
      <c r="EY119" s="77">
        <f>ES119*1.344</f>
        <v>8.5729728000000005</v>
      </c>
      <c r="EZ119" s="174">
        <f t="shared" si="93"/>
        <v>10.3415</v>
      </c>
      <c r="FA119" s="158">
        <f t="shared" si="94"/>
        <v>10.3415</v>
      </c>
      <c r="FH119" s="174">
        <f t="shared" si="103"/>
        <v>45835.906544999998</v>
      </c>
      <c r="FJ119" s="87">
        <v>1.2545659773935127</v>
      </c>
      <c r="FK119" s="176">
        <f t="shared" si="104"/>
        <v>1.2922836613558264</v>
      </c>
      <c r="FM119" s="87" t="e">
        <f t="shared" si="105"/>
        <v>#DIV/0!</v>
      </c>
      <c r="FO119" s="88">
        <f t="shared" si="95"/>
        <v>45835.906544999998</v>
      </c>
      <c r="FP119" s="79">
        <f t="shared" si="96"/>
        <v>0</v>
      </c>
      <c r="FS119" s="79">
        <f t="shared" si="97"/>
        <v>28271.865500999997</v>
      </c>
      <c r="FT119" s="79">
        <f t="shared" si="98"/>
        <v>0</v>
      </c>
      <c r="FU119" s="79">
        <f t="shared" si="106"/>
        <v>1.6212551146785397</v>
      </c>
      <c r="FV119" s="79" t="e">
        <f t="shared" si="106"/>
        <v>#DIV/0!</v>
      </c>
      <c r="FY119" s="79">
        <f t="shared" si="107"/>
        <v>45835.906544999998</v>
      </c>
      <c r="FZ119" s="79">
        <f t="shared" si="108"/>
        <v>0</v>
      </c>
      <c r="GB119" s="178">
        <f t="shared" si="109"/>
        <v>4432.2299999999996</v>
      </c>
      <c r="GC119" s="178">
        <f t="shared" si="110"/>
        <v>0</v>
      </c>
      <c r="GG119" s="14">
        <v>8.2313000000000009</v>
      </c>
      <c r="GH119" s="175">
        <f t="shared" si="111"/>
        <v>1.2563629074386791</v>
      </c>
      <c r="GI119" s="14">
        <v>8.2313000000000009</v>
      </c>
      <c r="GJ119" s="175">
        <f t="shared" si="112"/>
        <v>1.2563629074386791</v>
      </c>
      <c r="GK119" s="175">
        <f t="shared" si="145"/>
        <v>0</v>
      </c>
      <c r="GN119" s="14">
        <v>10.4099</v>
      </c>
      <c r="GO119" s="175">
        <f t="shared" si="113"/>
        <v>1.2646726519504816</v>
      </c>
      <c r="GP119" s="179">
        <f t="shared" si="114"/>
        <v>0.99342933169386827</v>
      </c>
      <c r="GQ119" s="14">
        <v>10.4099</v>
      </c>
      <c r="GR119" s="175">
        <f t="shared" si="115"/>
        <v>1.2646726519504816</v>
      </c>
      <c r="GS119" s="175">
        <f t="shared" si="116"/>
        <v>0.99342933169386827</v>
      </c>
      <c r="GV119" s="32">
        <f t="shared" si="117"/>
        <v>45835.906544999998</v>
      </c>
      <c r="GW119" s="32">
        <f t="shared" si="118"/>
        <v>0</v>
      </c>
      <c r="GX119" s="180">
        <f t="shared" si="119"/>
        <v>45835.906544999998</v>
      </c>
      <c r="GZ119" s="32">
        <f t="shared" si="120"/>
        <v>10.3415</v>
      </c>
      <c r="HA119" s="32" t="e">
        <f t="shared" si="121"/>
        <v>#DIV/0!</v>
      </c>
      <c r="HB119" s="32">
        <f t="shared" si="122"/>
        <v>10.3415</v>
      </c>
    </row>
    <row r="120" spans="1:210" ht="19.2" customHeight="1" x14ac:dyDescent="0.3">
      <c r="A120" s="50">
        <v>112</v>
      </c>
      <c r="B120" s="51" t="s">
        <v>684</v>
      </c>
      <c r="C120" s="150" t="s">
        <v>638</v>
      </c>
      <c r="D120" s="52">
        <v>5</v>
      </c>
      <c r="E120" s="52">
        <v>4</v>
      </c>
      <c r="F120" s="63">
        <v>59</v>
      </c>
      <c r="G120" s="54" t="s">
        <v>100</v>
      </c>
      <c r="H120" s="181" t="s">
        <v>49</v>
      </c>
      <c r="I120" s="55">
        <f t="shared" si="99"/>
        <v>2766.34</v>
      </c>
      <c r="J120" s="55">
        <f t="shared" si="79"/>
        <v>0</v>
      </c>
      <c r="K120" s="55">
        <f t="shared" si="80"/>
        <v>0</v>
      </c>
      <c r="L120" s="56">
        <v>2766.34</v>
      </c>
      <c r="M120" s="56">
        <v>2766.34</v>
      </c>
      <c r="N120" s="56">
        <f t="shared" si="100"/>
        <v>2766.34</v>
      </c>
      <c r="O120" s="56">
        <v>0</v>
      </c>
      <c r="P120" s="56">
        <v>0</v>
      </c>
      <c r="Q120" s="55"/>
      <c r="R120" s="55">
        <v>2766.34</v>
      </c>
      <c r="S120" s="55"/>
      <c r="T120" s="55">
        <v>0</v>
      </c>
      <c r="U120" s="152">
        <v>2766.34</v>
      </c>
      <c r="V120" s="57">
        <v>0.16589999999999999</v>
      </c>
      <c r="W120" s="153">
        <v>9.2100000000000001E-2</v>
      </c>
      <c r="X120" s="57">
        <v>0.32390000000000002</v>
      </c>
      <c r="Y120" s="57">
        <v>7.4300000000000005E-2</v>
      </c>
      <c r="Z120" s="153">
        <v>2.8899999999999999E-2</v>
      </c>
      <c r="AA120" s="57">
        <v>0.49719999999999998</v>
      </c>
      <c r="AB120" s="153">
        <v>0</v>
      </c>
      <c r="AC120" s="57">
        <v>0.63149999999999995</v>
      </c>
      <c r="AD120" s="57">
        <v>0.1686</v>
      </c>
      <c r="AE120" s="57">
        <v>0</v>
      </c>
      <c r="AF120" s="57">
        <v>1.8734999999999999</v>
      </c>
      <c r="AG120" s="57">
        <v>0.21970000000000001</v>
      </c>
      <c r="AH120" s="57">
        <v>0.3266</v>
      </c>
      <c r="AI120" s="153">
        <v>8.8400000000000006E-2</v>
      </c>
      <c r="AJ120" s="153">
        <v>0.10290000000000001</v>
      </c>
      <c r="AK120" s="153">
        <v>5.62E-2</v>
      </c>
      <c r="AL120" s="57">
        <v>0.1714</v>
      </c>
      <c r="AM120" s="153">
        <v>3.3500000000000002E-2</v>
      </c>
      <c r="AN120" s="57">
        <v>0</v>
      </c>
      <c r="AO120" s="153">
        <v>2.7823000000000002</v>
      </c>
      <c r="AP120" s="57">
        <v>1.1402000000000001</v>
      </c>
      <c r="AQ120" s="57">
        <v>8.8200000000000001E-2</v>
      </c>
      <c r="AR120" s="153">
        <v>0.64939999999999998</v>
      </c>
      <c r="AS120" s="57">
        <v>5.8000000000000003E-2</v>
      </c>
      <c r="AT120" s="57">
        <v>9.4000000000000004E-3</v>
      </c>
      <c r="AU120" s="153">
        <v>0.33489999999999998</v>
      </c>
      <c r="AV120" s="153">
        <v>0</v>
      </c>
      <c r="AW120" s="154">
        <v>9.9169999999999998</v>
      </c>
      <c r="AX120" s="58">
        <v>0.49590000000000001</v>
      </c>
      <c r="AY120" s="155">
        <f t="shared" si="81"/>
        <v>0.4914</v>
      </c>
      <c r="AZ120" s="155">
        <f t="shared" si="82"/>
        <v>4.500000000000004E-3</v>
      </c>
      <c r="BA120" s="14">
        <v>10.4129</v>
      </c>
      <c r="BB120" s="59">
        <f>BA120-'[1]Тариф 26 свод без  ПДВ'!AU120</f>
        <v>4.1000000000011028E-3</v>
      </c>
      <c r="BC120" s="57">
        <v>0</v>
      </c>
      <c r="BD120" s="57">
        <v>0</v>
      </c>
      <c r="BE120" s="57">
        <v>0</v>
      </c>
      <c r="BF120" s="156">
        <v>9.9169999999999998</v>
      </c>
      <c r="BG120" s="59">
        <v>0.49590000000000001</v>
      </c>
      <c r="BH120" s="59"/>
      <c r="BI120" s="59"/>
      <c r="BJ120" s="14">
        <v>10.4129</v>
      </c>
      <c r="BK120" s="60"/>
      <c r="BL120" s="60">
        <v>5.0102000000000002</v>
      </c>
      <c r="BM120" s="60">
        <v>0.2505</v>
      </c>
      <c r="BN120" s="14">
        <v>5.2606999999999999</v>
      </c>
      <c r="BO120" s="14"/>
      <c r="BP120" s="157"/>
      <c r="BQ120" s="158">
        <f>BJ120-'[1]Тариф 26 свод без  ПДВ'!BG120</f>
        <v>4.1000000000011028E-3</v>
      </c>
      <c r="BR120" s="77">
        <f>'[1]Тариф 26 свод без  ПДВ'!BG120</f>
        <v>10.408799999999999</v>
      </c>
      <c r="BS120" s="159">
        <f t="shared" si="83"/>
        <v>4.1000000000011028E-3</v>
      </c>
      <c r="BU120" s="77">
        <f>'[1]Тариф 26 свод без  ПДВ'!AU120</f>
        <v>10.408799999999999</v>
      </c>
      <c r="BV120" s="159">
        <f t="shared" si="84"/>
        <v>4.1000000000011028E-3</v>
      </c>
      <c r="BX120" s="95">
        <v>4.3616000000000001</v>
      </c>
      <c r="BY120" s="95">
        <v>4.3616000000000001</v>
      </c>
      <c r="BZ120" s="95"/>
      <c r="CA120" s="62">
        <f t="shared" si="85"/>
        <v>2.3874037050623627</v>
      </c>
      <c r="CB120" s="62">
        <f t="shared" si="86"/>
        <v>2.3874037050623627</v>
      </c>
      <c r="CI120" s="160">
        <f>'[1]0 СВОД'!AYY135</f>
        <v>28805.56914717811</v>
      </c>
      <c r="CJ120" s="77">
        <f t="shared" si="87"/>
        <v>345666.82976613729</v>
      </c>
      <c r="CM120" s="161">
        <v>118</v>
      </c>
      <c r="CN120" s="162" t="s">
        <v>685</v>
      </c>
      <c r="CO120" s="163">
        <v>5</v>
      </c>
      <c r="CP120" s="163">
        <v>4</v>
      </c>
      <c r="CQ120" s="164" t="s">
        <v>100</v>
      </c>
      <c r="CR120" s="165" t="s">
        <v>49</v>
      </c>
      <c r="CS120" s="166">
        <v>2766.38</v>
      </c>
      <c r="CT120" s="166">
        <v>0</v>
      </c>
      <c r="CU120" s="167">
        <v>0</v>
      </c>
      <c r="CV120" s="168">
        <v>2766.38</v>
      </c>
      <c r="CW120" s="166">
        <v>2766.38</v>
      </c>
      <c r="CX120" s="167">
        <v>0</v>
      </c>
      <c r="CY120" s="166">
        <v>0</v>
      </c>
      <c r="CZ120" s="166"/>
      <c r="DA120" s="166">
        <v>2766.38</v>
      </c>
      <c r="DB120" s="166"/>
      <c r="DC120" s="166">
        <v>0</v>
      </c>
      <c r="DD120" s="59">
        <v>0.16270000000000001</v>
      </c>
      <c r="DE120" s="59">
        <v>0.14960000000000001</v>
      </c>
      <c r="DF120" s="59">
        <v>0.21290000000000001</v>
      </c>
      <c r="DG120" s="59">
        <v>4.3700000000000003E-2</v>
      </c>
      <c r="DH120" s="59">
        <v>1.09E-2</v>
      </c>
      <c r="DI120" s="59">
        <v>0.21629999999999999</v>
      </c>
      <c r="DJ120" s="59">
        <v>4.8099999999999997E-2</v>
      </c>
      <c r="DK120" s="59">
        <v>0.3458</v>
      </c>
      <c r="DL120" s="169">
        <v>0</v>
      </c>
      <c r="DM120" s="59">
        <v>0.1026</v>
      </c>
      <c r="DN120" s="169">
        <v>0</v>
      </c>
      <c r="DO120" s="170">
        <v>1.139</v>
      </c>
      <c r="DP120" s="171">
        <f t="shared" si="88"/>
        <v>1.8734999999999999</v>
      </c>
      <c r="DQ120" s="59">
        <v>0.10580000000000001</v>
      </c>
      <c r="DR120" s="59">
        <v>0.19539999999999999</v>
      </c>
      <c r="DS120" s="59">
        <v>2.3E-2</v>
      </c>
      <c r="DT120" s="59">
        <v>4.8399999999999999E-2</v>
      </c>
      <c r="DU120" s="59">
        <v>2.3699999999999999E-2</v>
      </c>
      <c r="DV120" s="59">
        <v>5.9700000000000003E-2</v>
      </c>
      <c r="DW120" s="59">
        <v>9.1999999999999998E-3</v>
      </c>
      <c r="DX120" s="169">
        <v>0</v>
      </c>
      <c r="DY120" s="170">
        <v>1.4722</v>
      </c>
      <c r="DZ120" s="171">
        <f t="shared" si="89"/>
        <v>1.8898926776253229</v>
      </c>
      <c r="EA120" s="59">
        <v>0.68830000000000002</v>
      </c>
      <c r="EB120" s="171">
        <f t="shared" si="90"/>
        <v>1.7846869097777134</v>
      </c>
      <c r="EC120" s="59">
        <v>0.40539999999999998</v>
      </c>
      <c r="ED120" s="171">
        <f t="shared" si="91"/>
        <v>1.6018746916625555</v>
      </c>
      <c r="EE120" s="59">
        <v>4.4400000000000002E-2</v>
      </c>
      <c r="EF120" s="59">
        <v>6.1999999999999998E-3</v>
      </c>
      <c r="EG120" s="59">
        <v>0.25609999999999999</v>
      </c>
      <c r="EH120" s="59">
        <v>0</v>
      </c>
      <c r="EI120" s="208">
        <v>0.14419999999999999</v>
      </c>
      <c r="EJ120" s="172">
        <v>5.9135999999999997</v>
      </c>
      <c r="EK120" s="173"/>
      <c r="EL120" s="169">
        <v>0</v>
      </c>
      <c r="EM120" s="169">
        <v>0</v>
      </c>
      <c r="EN120" s="59"/>
      <c r="EO120" s="172"/>
      <c r="ES120" s="57">
        <f t="shared" si="101"/>
        <v>5.9135999999999997</v>
      </c>
      <c r="ET120" s="57">
        <f t="shared" si="102"/>
        <v>0</v>
      </c>
      <c r="EU120" s="31"/>
      <c r="EV120" s="65">
        <f t="shared" si="92"/>
        <v>1.7608394209956713</v>
      </c>
      <c r="EW120" s="62"/>
      <c r="EX120" s="158">
        <f t="shared" si="146"/>
        <v>-2.6956520000000008</v>
      </c>
      <c r="EY120" s="77">
        <f t="shared" ref="EY120:EY122" si="148">ES120*1.344</f>
        <v>7.9478784000000005</v>
      </c>
      <c r="EZ120" s="158">
        <f t="shared" si="93"/>
        <v>10.4129</v>
      </c>
      <c r="FA120" s="158">
        <f t="shared" si="94"/>
        <v>10.4129</v>
      </c>
      <c r="FH120" s="174">
        <f t="shared" si="103"/>
        <v>28805.621786000003</v>
      </c>
      <c r="FJ120" s="87">
        <v>1.3535917207792212</v>
      </c>
      <c r="FK120" s="176">
        <f t="shared" si="104"/>
        <v>1.3008645029108261</v>
      </c>
      <c r="FM120" s="87" t="e">
        <f t="shared" si="105"/>
        <v>#DIV/0!</v>
      </c>
      <c r="FO120" s="88">
        <f t="shared" si="95"/>
        <v>28805.621786000003</v>
      </c>
      <c r="FP120" s="79">
        <f t="shared" si="96"/>
        <v>0</v>
      </c>
      <c r="FS120" s="79">
        <f t="shared" si="97"/>
        <v>16359.028224</v>
      </c>
      <c r="FT120" s="79">
        <f t="shared" si="98"/>
        <v>0</v>
      </c>
      <c r="FU120" s="79">
        <f t="shared" si="106"/>
        <v>1.7608394209956713</v>
      </c>
      <c r="FV120" s="79" t="e">
        <f t="shared" si="106"/>
        <v>#DIV/0!</v>
      </c>
      <c r="FY120" s="79">
        <f t="shared" si="107"/>
        <v>28805.621786000003</v>
      </c>
      <c r="FZ120" s="79">
        <f t="shared" si="108"/>
        <v>0</v>
      </c>
      <c r="GB120" s="178">
        <f t="shared" si="109"/>
        <v>2766.34</v>
      </c>
      <c r="GC120" s="178">
        <f t="shared" si="110"/>
        <v>0</v>
      </c>
      <c r="GG120" s="14">
        <v>8.1997</v>
      </c>
      <c r="GH120" s="175">
        <f t="shared" si="111"/>
        <v>1.2699123138651414</v>
      </c>
      <c r="GI120" s="14">
        <v>8.1997</v>
      </c>
      <c r="GJ120" s="175">
        <f t="shared" si="112"/>
        <v>1.2699123138651414</v>
      </c>
      <c r="GK120" s="175">
        <f t="shared" si="145"/>
        <v>0</v>
      </c>
      <c r="GN120" s="14">
        <v>10.6462</v>
      </c>
      <c r="GO120" s="175">
        <f t="shared" si="113"/>
        <v>1.2983645743136945</v>
      </c>
      <c r="GP120" s="179">
        <f t="shared" si="114"/>
        <v>0.97808607766151301</v>
      </c>
      <c r="GQ120" s="14">
        <v>10.6462</v>
      </c>
      <c r="GR120" s="175">
        <f t="shared" si="115"/>
        <v>1.2983645743136945</v>
      </c>
      <c r="GS120" s="175">
        <f t="shared" si="116"/>
        <v>0.97808607766151301</v>
      </c>
      <c r="GV120" s="32">
        <f t="shared" si="117"/>
        <v>28805.621786000003</v>
      </c>
      <c r="GW120" s="32">
        <f t="shared" si="118"/>
        <v>0</v>
      </c>
      <c r="GX120" s="180">
        <f t="shared" si="119"/>
        <v>28805.621786000003</v>
      </c>
      <c r="GZ120" s="32">
        <f t="shared" si="120"/>
        <v>10.4129</v>
      </c>
      <c r="HA120" s="32" t="e">
        <f t="shared" si="121"/>
        <v>#DIV/0!</v>
      </c>
      <c r="HB120" s="32">
        <f t="shared" si="122"/>
        <v>10.4129</v>
      </c>
    </row>
    <row r="121" spans="1:210" ht="19.2" customHeight="1" x14ac:dyDescent="0.3">
      <c r="A121" s="50">
        <v>113</v>
      </c>
      <c r="B121" s="51" t="s">
        <v>686</v>
      </c>
      <c r="C121" s="150" t="s">
        <v>638</v>
      </c>
      <c r="D121" s="52">
        <v>5</v>
      </c>
      <c r="E121" s="52">
        <v>6</v>
      </c>
      <c r="F121" s="63">
        <v>90</v>
      </c>
      <c r="G121" s="54" t="s">
        <v>101</v>
      </c>
      <c r="H121" s="181" t="s">
        <v>49</v>
      </c>
      <c r="I121" s="55">
        <f t="shared" si="99"/>
        <v>4477.1000000000004</v>
      </c>
      <c r="J121" s="55">
        <f t="shared" si="79"/>
        <v>0</v>
      </c>
      <c r="K121" s="55">
        <f t="shared" si="80"/>
        <v>0</v>
      </c>
      <c r="L121" s="56">
        <v>4477.1000000000004</v>
      </c>
      <c r="M121" s="56">
        <v>4477.1000000000004</v>
      </c>
      <c r="N121" s="56">
        <f t="shared" si="100"/>
        <v>4477.1000000000004</v>
      </c>
      <c r="O121" s="56">
        <v>0</v>
      </c>
      <c r="P121" s="56">
        <v>0</v>
      </c>
      <c r="Q121" s="55"/>
      <c r="R121" s="55">
        <v>4477.1000000000004</v>
      </c>
      <c r="S121" s="55"/>
      <c r="T121" s="55">
        <v>0</v>
      </c>
      <c r="U121" s="152">
        <v>4477.1000000000004</v>
      </c>
      <c r="V121" s="57">
        <v>0.15160000000000001</v>
      </c>
      <c r="W121" s="153">
        <v>8.4500000000000006E-2</v>
      </c>
      <c r="X121" s="57">
        <v>0.33179999999999998</v>
      </c>
      <c r="Y121" s="57">
        <v>7.2800000000000004E-2</v>
      </c>
      <c r="Z121" s="153">
        <v>4.02E-2</v>
      </c>
      <c r="AA121" s="57">
        <v>0.58509999999999995</v>
      </c>
      <c r="AB121" s="153">
        <v>0</v>
      </c>
      <c r="AC121" s="57">
        <v>0.63149999999999995</v>
      </c>
      <c r="AD121" s="57">
        <v>0.159</v>
      </c>
      <c r="AE121" s="57">
        <v>0</v>
      </c>
      <c r="AF121" s="57">
        <v>1.9968999999999999</v>
      </c>
      <c r="AG121" s="57">
        <v>0.20480000000000001</v>
      </c>
      <c r="AH121" s="57">
        <v>0.29970000000000002</v>
      </c>
      <c r="AI121" s="153">
        <v>9.0700000000000003E-2</v>
      </c>
      <c r="AJ121" s="153">
        <v>8.2299999999999998E-2</v>
      </c>
      <c r="AK121" s="153">
        <v>7.8100000000000003E-2</v>
      </c>
      <c r="AL121" s="57">
        <v>0.2205</v>
      </c>
      <c r="AM121" s="153">
        <v>3.2199999999999999E-2</v>
      </c>
      <c r="AN121" s="57">
        <v>0</v>
      </c>
      <c r="AO121" s="153">
        <v>2.7185999999999999</v>
      </c>
      <c r="AP121" s="57">
        <v>1.024</v>
      </c>
      <c r="AQ121" s="57">
        <v>9.11E-2</v>
      </c>
      <c r="AR121" s="153">
        <v>0.59040000000000004</v>
      </c>
      <c r="AS121" s="57">
        <v>5.7500000000000002E-2</v>
      </c>
      <c r="AT121" s="57">
        <v>9.2999999999999992E-3</v>
      </c>
      <c r="AU121" s="153">
        <v>0.3468</v>
      </c>
      <c r="AV121" s="153">
        <v>0</v>
      </c>
      <c r="AW121" s="154">
        <v>9.8993999999999982</v>
      </c>
      <c r="AX121" s="58">
        <v>0.495</v>
      </c>
      <c r="AY121" s="155">
        <f t="shared" si="81"/>
        <v>0.4904</v>
      </c>
      <c r="AZ121" s="155">
        <f t="shared" si="82"/>
        <v>4.599999999999993E-3</v>
      </c>
      <c r="BA121" s="14">
        <v>10.394399999999997</v>
      </c>
      <c r="BB121" s="59">
        <f>BA121-'[1]Тариф 26 свод без  ПДВ'!AU121</f>
        <v>2.899999999996794E-3</v>
      </c>
      <c r="BC121" s="57">
        <v>0</v>
      </c>
      <c r="BD121" s="57">
        <v>0</v>
      </c>
      <c r="BE121" s="57">
        <v>0</v>
      </c>
      <c r="BF121" s="156">
        <v>9.8993999999999982</v>
      </c>
      <c r="BG121" s="59">
        <v>0.495</v>
      </c>
      <c r="BH121" s="59"/>
      <c r="BI121" s="59"/>
      <c r="BJ121" s="14">
        <v>10.394399999999997</v>
      </c>
      <c r="BK121" s="60"/>
      <c r="BL121" s="60">
        <v>5.219599999999998</v>
      </c>
      <c r="BM121" s="60">
        <v>0.26100000000000001</v>
      </c>
      <c r="BN121" s="14">
        <v>5.4805999999999981</v>
      </c>
      <c r="BO121" s="14"/>
      <c r="BP121" s="157"/>
      <c r="BQ121" s="158">
        <f>BJ121-'[1]Тариф 26 свод без  ПДВ'!BG121</f>
        <v>2.899999999996794E-3</v>
      </c>
      <c r="BR121" s="77">
        <f>'[1]Тариф 26 свод без  ПДВ'!BG121</f>
        <v>10.391500000000001</v>
      </c>
      <c r="BS121" s="159">
        <f t="shared" si="83"/>
        <v>2.899999999996794E-3</v>
      </c>
      <c r="BU121" s="77">
        <f>'[1]Тариф 26 свод без  ПДВ'!AU121</f>
        <v>10.391500000000001</v>
      </c>
      <c r="BV121" s="159">
        <f t="shared" si="84"/>
        <v>2.899999999996794E-3</v>
      </c>
      <c r="BX121" s="95">
        <v>4.6426000000000007</v>
      </c>
      <c r="BY121" s="95">
        <v>4.6426000000000007</v>
      </c>
      <c r="BZ121" s="95"/>
      <c r="CA121" s="182">
        <f t="shared" si="85"/>
        <v>2.2389178477577212</v>
      </c>
      <c r="CB121" s="182">
        <f t="shared" si="86"/>
        <v>2.2389178477577212</v>
      </c>
      <c r="CI121" s="160">
        <f>'[1]0 СВОД'!AYY136</f>
        <v>46536.680297027735</v>
      </c>
      <c r="CJ121" s="77">
        <f t="shared" si="87"/>
        <v>558440.16356433276</v>
      </c>
      <c r="CM121" s="161">
        <v>119</v>
      </c>
      <c r="CN121" s="162" t="s">
        <v>687</v>
      </c>
      <c r="CO121" s="163">
        <v>5</v>
      </c>
      <c r="CP121" s="163">
        <v>6</v>
      </c>
      <c r="CQ121" s="164" t="s">
        <v>101</v>
      </c>
      <c r="CR121" s="165" t="s">
        <v>49</v>
      </c>
      <c r="CS121" s="166">
        <v>4471.74</v>
      </c>
      <c r="CT121" s="166">
        <v>0</v>
      </c>
      <c r="CU121" s="167">
        <v>0</v>
      </c>
      <c r="CV121" s="168">
        <v>4471.74</v>
      </c>
      <c r="CW121" s="166">
        <v>4471.74</v>
      </c>
      <c r="CX121" s="167">
        <v>0</v>
      </c>
      <c r="CY121" s="166">
        <v>0</v>
      </c>
      <c r="CZ121" s="166"/>
      <c r="DA121" s="166">
        <v>4471.74</v>
      </c>
      <c r="DB121" s="166"/>
      <c r="DC121" s="166">
        <v>0</v>
      </c>
      <c r="DD121" s="59">
        <v>0.14899999999999999</v>
      </c>
      <c r="DE121" s="59">
        <v>0.13750000000000001</v>
      </c>
      <c r="DF121" s="59">
        <v>0.21840000000000001</v>
      </c>
      <c r="DG121" s="59">
        <v>4.2799999999999998E-2</v>
      </c>
      <c r="DH121" s="59">
        <v>1.5100000000000001E-2</v>
      </c>
      <c r="DI121" s="59">
        <v>0.25779999999999997</v>
      </c>
      <c r="DJ121" s="59">
        <v>4.8099999999999997E-2</v>
      </c>
      <c r="DK121" s="59">
        <v>0.3458</v>
      </c>
      <c r="DL121" s="169">
        <v>0</v>
      </c>
      <c r="DM121" s="59">
        <v>9.6799999999999997E-2</v>
      </c>
      <c r="DN121" s="169">
        <v>0</v>
      </c>
      <c r="DO121" s="170">
        <v>1.1451</v>
      </c>
      <c r="DP121" s="171">
        <f t="shared" si="88"/>
        <v>1.9968999999999999</v>
      </c>
      <c r="DQ121" s="59">
        <v>9.6500000000000002E-2</v>
      </c>
      <c r="DR121" s="59">
        <v>0.17949999999999999</v>
      </c>
      <c r="DS121" s="59">
        <v>2.3699999999999999E-2</v>
      </c>
      <c r="DT121" s="59">
        <v>3.8800000000000001E-2</v>
      </c>
      <c r="DU121" s="59">
        <v>3.3000000000000002E-2</v>
      </c>
      <c r="DV121" s="59">
        <v>7.7100000000000002E-2</v>
      </c>
      <c r="DW121" s="59">
        <v>8.5000000000000006E-3</v>
      </c>
      <c r="DX121" s="169">
        <v>0</v>
      </c>
      <c r="DY121" s="59">
        <v>1.4503999999999999</v>
      </c>
      <c r="DZ121" s="171">
        <f t="shared" si="89"/>
        <v>1.8743794815223387</v>
      </c>
      <c r="EA121" s="59">
        <v>0.62360000000000004</v>
      </c>
      <c r="EB121" s="171">
        <f t="shared" si="90"/>
        <v>1.788165490699166</v>
      </c>
      <c r="EC121" s="59">
        <v>0.37430000000000002</v>
      </c>
      <c r="ED121" s="171">
        <f t="shared" si="91"/>
        <v>1.5773443761688486</v>
      </c>
      <c r="EE121" s="59">
        <v>4.3999999999999997E-2</v>
      </c>
      <c r="EF121" s="59">
        <v>6.1000000000000004E-3</v>
      </c>
      <c r="EG121" s="59">
        <v>0.19670000000000001</v>
      </c>
      <c r="EH121" s="59">
        <v>0</v>
      </c>
      <c r="EI121" s="208">
        <v>0.14019999999999999</v>
      </c>
      <c r="EJ121" s="172">
        <v>5.7487999999999992</v>
      </c>
      <c r="EK121" s="173"/>
      <c r="EL121" s="169">
        <v>0</v>
      </c>
      <c r="EM121" s="169">
        <v>0</v>
      </c>
      <c r="EN121" s="59"/>
      <c r="EO121" s="172"/>
      <c r="ES121" s="57">
        <f t="shared" si="101"/>
        <v>5.7487999999999992</v>
      </c>
      <c r="ET121" s="57">
        <f t="shared" si="102"/>
        <v>0</v>
      </c>
      <c r="EU121" s="31"/>
      <c r="EV121" s="61">
        <f t="shared" si="92"/>
        <v>1.8080990815474531</v>
      </c>
      <c r="EW121" s="62"/>
      <c r="EX121" s="158">
        <f t="shared" si="146"/>
        <v>-2.8922159999999986</v>
      </c>
      <c r="EY121" s="77">
        <f t="shared" si="148"/>
        <v>7.7263871999999996</v>
      </c>
      <c r="EZ121" s="158">
        <f t="shared" si="93"/>
        <v>10.394399999999997</v>
      </c>
      <c r="FA121" s="158">
        <f t="shared" si="94"/>
        <v>10.394399999999997</v>
      </c>
      <c r="FH121" s="174">
        <f t="shared" si="103"/>
        <v>46536.76823999999</v>
      </c>
      <c r="FJ121" s="87">
        <v>1.3439152518786532</v>
      </c>
      <c r="FK121" s="176">
        <f t="shared" si="104"/>
        <v>1.345396652817147</v>
      </c>
      <c r="FM121" s="87" t="e">
        <f t="shared" si="105"/>
        <v>#DIV/0!</v>
      </c>
      <c r="FO121" s="88">
        <f t="shared" si="95"/>
        <v>46536.76823999999</v>
      </c>
      <c r="FP121" s="79">
        <f t="shared" si="96"/>
        <v>0</v>
      </c>
      <c r="FS121" s="79">
        <f t="shared" si="97"/>
        <v>25737.95248</v>
      </c>
      <c r="FT121" s="79">
        <f t="shared" si="98"/>
        <v>0</v>
      </c>
      <c r="FU121" s="79">
        <f t="shared" si="106"/>
        <v>1.8080990815474529</v>
      </c>
      <c r="FV121" s="79" t="e">
        <f t="shared" si="106"/>
        <v>#DIV/0!</v>
      </c>
      <c r="FY121" s="79">
        <f t="shared" si="107"/>
        <v>46536.76823999999</v>
      </c>
      <c r="FZ121" s="79">
        <f t="shared" si="108"/>
        <v>0</v>
      </c>
      <c r="GB121" s="178">
        <f t="shared" si="109"/>
        <v>4477.1000000000004</v>
      </c>
      <c r="GC121" s="178">
        <f t="shared" si="110"/>
        <v>0</v>
      </c>
      <c r="GG121" s="14">
        <v>8.184899999999999</v>
      </c>
      <c r="GH121" s="175">
        <f t="shared" si="111"/>
        <v>1.2699483194663341</v>
      </c>
      <c r="GI121" s="14">
        <v>8.184899999999999</v>
      </c>
      <c r="GJ121" s="175">
        <f t="shared" si="112"/>
        <v>1.2699483194663341</v>
      </c>
      <c r="GK121" s="175">
        <f t="shared" si="145"/>
        <v>0</v>
      </c>
      <c r="GN121" s="14">
        <v>10.689500000000001</v>
      </c>
      <c r="GO121" s="175">
        <f t="shared" si="113"/>
        <v>1.3060025168297722</v>
      </c>
      <c r="GP121" s="179">
        <f t="shared" si="114"/>
        <v>0.97239347022779332</v>
      </c>
      <c r="GQ121" s="14">
        <v>10.689500000000001</v>
      </c>
      <c r="GR121" s="175">
        <f t="shared" si="115"/>
        <v>1.3060025168297722</v>
      </c>
      <c r="GS121" s="175">
        <f t="shared" si="116"/>
        <v>0.97239347022779332</v>
      </c>
      <c r="GV121" s="32">
        <f t="shared" si="117"/>
        <v>46536.76823999999</v>
      </c>
      <c r="GW121" s="32">
        <f t="shared" si="118"/>
        <v>0</v>
      </c>
      <c r="GX121" s="180">
        <f t="shared" si="119"/>
        <v>46536.76823999999</v>
      </c>
      <c r="GZ121" s="32">
        <f t="shared" si="120"/>
        <v>10.394399999999997</v>
      </c>
      <c r="HA121" s="32" t="e">
        <f t="shared" si="121"/>
        <v>#DIV/0!</v>
      </c>
      <c r="HB121" s="32">
        <f t="shared" si="122"/>
        <v>10.394399999999997</v>
      </c>
    </row>
    <row r="122" spans="1:210" ht="19.2" customHeight="1" x14ac:dyDescent="0.3">
      <c r="A122" s="50">
        <v>114</v>
      </c>
      <c r="B122" s="51" t="s">
        <v>688</v>
      </c>
      <c r="C122" s="150" t="s">
        <v>638</v>
      </c>
      <c r="D122" s="52">
        <v>5</v>
      </c>
      <c r="E122" s="52">
        <v>4</v>
      </c>
      <c r="F122" s="63">
        <v>60</v>
      </c>
      <c r="G122" s="54" t="s">
        <v>102</v>
      </c>
      <c r="H122" s="181" t="s">
        <v>49</v>
      </c>
      <c r="I122" s="55">
        <f t="shared" si="99"/>
        <v>2752.74</v>
      </c>
      <c r="J122" s="55">
        <f t="shared" si="79"/>
        <v>0</v>
      </c>
      <c r="K122" s="55">
        <f t="shared" si="80"/>
        <v>0</v>
      </c>
      <c r="L122" s="56">
        <v>2752.74</v>
      </c>
      <c r="M122" s="56">
        <v>2752.74</v>
      </c>
      <c r="N122" s="56">
        <f t="shared" si="100"/>
        <v>2752.74</v>
      </c>
      <c r="O122" s="56">
        <v>0</v>
      </c>
      <c r="P122" s="56">
        <v>0</v>
      </c>
      <c r="Q122" s="55"/>
      <c r="R122" s="55">
        <v>2752.74</v>
      </c>
      <c r="S122" s="55"/>
      <c r="T122" s="55">
        <v>0</v>
      </c>
      <c r="U122" s="152">
        <v>2752.74</v>
      </c>
      <c r="V122" s="57">
        <v>0.16689999999999999</v>
      </c>
      <c r="W122" s="153">
        <v>9.2499999999999999E-2</v>
      </c>
      <c r="X122" s="57">
        <v>0.32490000000000002</v>
      </c>
      <c r="Y122" s="57">
        <v>7.4200000000000002E-2</v>
      </c>
      <c r="Z122" s="153">
        <v>2.9000000000000001E-2</v>
      </c>
      <c r="AA122" s="57">
        <v>0.49969999999999998</v>
      </c>
      <c r="AB122" s="153">
        <v>0</v>
      </c>
      <c r="AC122" s="57">
        <v>0.63149999999999995</v>
      </c>
      <c r="AD122" s="57">
        <v>0.1724</v>
      </c>
      <c r="AE122" s="57">
        <v>0</v>
      </c>
      <c r="AF122" s="57">
        <v>2.6328</v>
      </c>
      <c r="AG122" s="57">
        <v>0.2213</v>
      </c>
      <c r="AH122" s="57">
        <v>0.32819999999999999</v>
      </c>
      <c r="AI122" s="153">
        <v>8.7900000000000006E-2</v>
      </c>
      <c r="AJ122" s="153">
        <v>0.1028</v>
      </c>
      <c r="AK122" s="153">
        <v>5.6500000000000002E-2</v>
      </c>
      <c r="AL122" s="57">
        <v>0.17230000000000001</v>
      </c>
      <c r="AM122" s="153">
        <v>3.3599999999999998E-2</v>
      </c>
      <c r="AN122" s="57">
        <v>0</v>
      </c>
      <c r="AO122" s="153">
        <v>1.3677999999999999</v>
      </c>
      <c r="AP122" s="57">
        <v>1.1383000000000001</v>
      </c>
      <c r="AQ122" s="57">
        <v>8.6099999999999996E-2</v>
      </c>
      <c r="AR122" s="153">
        <v>0.63629999999999998</v>
      </c>
      <c r="AS122" s="57">
        <v>5.8299999999999998E-2</v>
      </c>
      <c r="AT122" s="57">
        <v>9.4999999999999998E-3</v>
      </c>
      <c r="AU122" s="153">
        <v>0.4889</v>
      </c>
      <c r="AV122" s="153">
        <v>0</v>
      </c>
      <c r="AW122" s="154">
        <v>9.411699999999998</v>
      </c>
      <c r="AX122" s="58">
        <v>0.47060000000000002</v>
      </c>
      <c r="AY122" s="155">
        <f t="shared" si="81"/>
        <v>0.46629999999999999</v>
      </c>
      <c r="AZ122" s="155">
        <f t="shared" si="82"/>
        <v>4.300000000000026E-3</v>
      </c>
      <c r="BA122" s="14">
        <v>9.8822999999999972</v>
      </c>
      <c r="BB122" s="59">
        <f>BA122-'[1]Тариф 26 свод без  ПДВ'!AU122</f>
        <v>2.5999999999974932E-3</v>
      </c>
      <c r="BC122" s="57">
        <v>0</v>
      </c>
      <c r="BD122" s="57">
        <v>0</v>
      </c>
      <c r="BE122" s="57">
        <v>0</v>
      </c>
      <c r="BF122" s="156">
        <v>9.411699999999998</v>
      </c>
      <c r="BG122" s="59">
        <v>0.47060000000000002</v>
      </c>
      <c r="BH122" s="59"/>
      <c r="BI122" s="59"/>
      <c r="BJ122" s="14">
        <v>9.8822999999999972</v>
      </c>
      <c r="BK122" s="60"/>
      <c r="BL122" s="60">
        <v>5.7803999999999984</v>
      </c>
      <c r="BM122" s="60">
        <v>0.28899999999999998</v>
      </c>
      <c r="BN122" s="14">
        <v>6.0693999999999981</v>
      </c>
      <c r="BO122" s="14"/>
      <c r="BP122" s="157"/>
      <c r="BQ122" s="158">
        <f>BJ122-'[1]Тариф 26 свод без  ПДВ'!BG122</f>
        <v>2.5999999999974932E-3</v>
      </c>
      <c r="BR122" s="77">
        <f>'[1]Тариф 26 свод без  ПДВ'!BG122</f>
        <v>9.8796999999999997</v>
      </c>
      <c r="BS122" s="159">
        <f t="shared" si="83"/>
        <v>2.5999999999974932E-3</v>
      </c>
      <c r="BU122" s="77">
        <f>'[1]Тариф 26 свод без  ПДВ'!AU122</f>
        <v>9.8796999999999997</v>
      </c>
      <c r="BV122" s="159">
        <f t="shared" si="84"/>
        <v>2.5999999999974932E-3</v>
      </c>
      <c r="BX122" s="95">
        <v>4.4240000000000004</v>
      </c>
      <c r="BY122" s="95">
        <v>4.4240000000000004</v>
      </c>
      <c r="BZ122" s="95"/>
      <c r="CA122" s="62">
        <f t="shared" si="85"/>
        <v>2.2337929475587694</v>
      </c>
      <c r="CB122" s="62">
        <f t="shared" si="86"/>
        <v>2.2337929475587694</v>
      </c>
      <c r="CI122" s="160">
        <f>'[1]0 СВОД'!AYY137</f>
        <v>27202.767601677173</v>
      </c>
      <c r="CJ122" s="77">
        <f t="shared" si="87"/>
        <v>326433.21122012608</v>
      </c>
      <c r="CM122" s="161">
        <v>120</v>
      </c>
      <c r="CN122" s="183" t="s">
        <v>689</v>
      </c>
      <c r="CO122" s="163">
        <v>5</v>
      </c>
      <c r="CP122" s="163">
        <v>4</v>
      </c>
      <c r="CQ122" s="164" t="s">
        <v>102</v>
      </c>
      <c r="CR122" s="165" t="s">
        <v>49</v>
      </c>
      <c r="CS122" s="166">
        <v>2751.56</v>
      </c>
      <c r="CT122" s="166">
        <v>0</v>
      </c>
      <c r="CU122" s="167">
        <v>0</v>
      </c>
      <c r="CV122" s="168">
        <v>2751.56</v>
      </c>
      <c r="CW122" s="166">
        <v>2751.56</v>
      </c>
      <c r="CX122" s="167">
        <v>0</v>
      </c>
      <c r="CY122" s="166">
        <v>0</v>
      </c>
      <c r="CZ122" s="166"/>
      <c r="DA122" s="166">
        <v>2751.56</v>
      </c>
      <c r="DB122" s="166"/>
      <c r="DC122" s="166">
        <v>0</v>
      </c>
      <c r="DD122" s="59">
        <v>0.1638</v>
      </c>
      <c r="DE122" s="59">
        <v>0.15040000000000001</v>
      </c>
      <c r="DF122" s="59">
        <v>0.21360000000000001</v>
      </c>
      <c r="DG122" s="59">
        <v>4.3700000000000003E-2</v>
      </c>
      <c r="DH122" s="59">
        <v>1.09E-2</v>
      </c>
      <c r="DI122" s="59">
        <v>0.2175</v>
      </c>
      <c r="DJ122" s="59">
        <v>4.8099999999999997E-2</v>
      </c>
      <c r="DK122" s="59">
        <v>0.3458</v>
      </c>
      <c r="DL122" s="169">
        <v>0</v>
      </c>
      <c r="DM122" s="59">
        <v>0.10489999999999999</v>
      </c>
      <c r="DN122" s="169">
        <v>0</v>
      </c>
      <c r="DO122" s="184">
        <v>1.5724</v>
      </c>
      <c r="DP122" s="171">
        <f t="shared" si="88"/>
        <v>2.6328</v>
      </c>
      <c r="DQ122" s="59">
        <v>0.1066</v>
      </c>
      <c r="DR122" s="59">
        <v>0.19639999999999999</v>
      </c>
      <c r="DS122" s="59">
        <v>2.29E-2</v>
      </c>
      <c r="DT122" s="59">
        <v>4.8399999999999999E-2</v>
      </c>
      <c r="DU122" s="59">
        <v>2.3800000000000002E-2</v>
      </c>
      <c r="DV122" s="59">
        <v>0.06</v>
      </c>
      <c r="DW122" s="59">
        <v>9.1999999999999998E-3</v>
      </c>
      <c r="DX122" s="169">
        <v>0</v>
      </c>
      <c r="DY122" s="59">
        <v>0.76039999999999996</v>
      </c>
      <c r="DZ122" s="171">
        <f t="shared" si="89"/>
        <v>1.7987901104681745</v>
      </c>
      <c r="EA122" s="59">
        <v>0.6865</v>
      </c>
      <c r="EB122" s="171">
        <f t="shared" si="90"/>
        <v>1.7835396941005102</v>
      </c>
      <c r="EC122" s="59">
        <v>0.40039999999999998</v>
      </c>
      <c r="ED122" s="171">
        <f t="shared" si="91"/>
        <v>1.5891608391608392</v>
      </c>
      <c r="EE122" s="59">
        <v>4.4600000000000001E-2</v>
      </c>
      <c r="EF122" s="59">
        <v>6.1999999999999998E-3</v>
      </c>
      <c r="EG122" s="59">
        <v>0.29520000000000002</v>
      </c>
      <c r="EH122" s="59">
        <v>0</v>
      </c>
      <c r="EI122" s="208">
        <v>0.13830000000000001</v>
      </c>
      <c r="EJ122" s="172">
        <v>5.67</v>
      </c>
      <c r="EK122" s="173"/>
      <c r="EL122" s="169">
        <v>0</v>
      </c>
      <c r="EM122" s="169">
        <v>0</v>
      </c>
      <c r="EN122" s="59"/>
      <c r="EO122" s="172"/>
      <c r="ES122" s="57">
        <f t="shared" si="101"/>
        <v>5.67</v>
      </c>
      <c r="ET122" s="57">
        <f t="shared" si="102"/>
        <v>0</v>
      </c>
      <c r="EU122" s="31"/>
      <c r="EV122" s="65">
        <f t="shared" si="92"/>
        <v>1.7429100529100525</v>
      </c>
      <c r="EW122" s="62"/>
      <c r="EX122" s="158">
        <f t="shared" si="146"/>
        <v>-2.482949999999998</v>
      </c>
      <c r="EY122" s="77">
        <f t="shared" si="148"/>
        <v>7.6204800000000006</v>
      </c>
      <c r="EZ122" s="158">
        <f t="shared" si="93"/>
        <v>9.8822999999999972</v>
      </c>
      <c r="FA122" s="158">
        <f t="shared" si="94"/>
        <v>9.8822999999999972</v>
      </c>
      <c r="FH122" s="174">
        <f t="shared" si="103"/>
        <v>27203.40250199999</v>
      </c>
      <c r="FJ122" s="87">
        <v>1.2941269841269842</v>
      </c>
      <c r="FK122" s="176">
        <f t="shared" si="104"/>
        <v>1.346784414734862</v>
      </c>
      <c r="FM122" s="87" t="e">
        <f t="shared" si="105"/>
        <v>#DIV/0!</v>
      </c>
      <c r="FO122" s="88">
        <f t="shared" si="95"/>
        <v>27203.40250199999</v>
      </c>
      <c r="FP122" s="79">
        <f t="shared" si="96"/>
        <v>0</v>
      </c>
      <c r="FS122" s="79">
        <f t="shared" si="97"/>
        <v>15608.035799999998</v>
      </c>
      <c r="FT122" s="79">
        <f t="shared" si="98"/>
        <v>0</v>
      </c>
      <c r="FU122" s="79">
        <f t="shared" si="106"/>
        <v>1.7429100529100525</v>
      </c>
      <c r="FV122" s="79" t="e">
        <f t="shared" si="106"/>
        <v>#DIV/0!</v>
      </c>
      <c r="FY122" s="79">
        <f t="shared" si="107"/>
        <v>27203.40250199999</v>
      </c>
      <c r="FZ122" s="79">
        <f t="shared" si="108"/>
        <v>0</v>
      </c>
      <c r="GB122" s="178">
        <f t="shared" si="109"/>
        <v>2752.74</v>
      </c>
      <c r="GC122" s="178">
        <f t="shared" si="110"/>
        <v>0</v>
      </c>
      <c r="GG122" s="14">
        <v>7.7818000000000005</v>
      </c>
      <c r="GH122" s="175">
        <f t="shared" si="111"/>
        <v>1.269924696085738</v>
      </c>
      <c r="GI122" s="14">
        <v>7.7818000000000005</v>
      </c>
      <c r="GJ122" s="175">
        <f t="shared" si="112"/>
        <v>1.269924696085738</v>
      </c>
      <c r="GK122" s="175">
        <f t="shared" si="145"/>
        <v>0</v>
      </c>
      <c r="GN122" s="14">
        <v>9.8425999999999974</v>
      </c>
      <c r="GO122" s="175">
        <f t="shared" si="113"/>
        <v>1.2648230486519825</v>
      </c>
      <c r="GP122" s="179">
        <f t="shared" si="114"/>
        <v>1.0040334870867453</v>
      </c>
      <c r="GQ122" s="14">
        <v>9.8425999999999974</v>
      </c>
      <c r="GR122" s="175">
        <f t="shared" si="115"/>
        <v>1.2648230486519825</v>
      </c>
      <c r="GS122" s="175">
        <f t="shared" si="116"/>
        <v>1.0040334870867453</v>
      </c>
      <c r="GV122" s="32">
        <f t="shared" si="117"/>
        <v>27203.40250199999</v>
      </c>
      <c r="GW122" s="32">
        <f t="shared" si="118"/>
        <v>0</v>
      </c>
      <c r="GX122" s="180">
        <f t="shared" si="119"/>
        <v>27203.40250199999</v>
      </c>
      <c r="GZ122" s="32">
        <f t="shared" si="120"/>
        <v>9.8822999999999972</v>
      </c>
      <c r="HA122" s="32" t="e">
        <f t="shared" si="121"/>
        <v>#DIV/0!</v>
      </c>
      <c r="HB122" s="32">
        <f t="shared" si="122"/>
        <v>9.8822999999999972</v>
      </c>
    </row>
    <row r="123" spans="1:210" ht="19.2" customHeight="1" x14ac:dyDescent="0.3">
      <c r="A123" s="50">
        <v>115</v>
      </c>
      <c r="B123" s="51" t="s">
        <v>690</v>
      </c>
      <c r="C123" s="150" t="s">
        <v>638</v>
      </c>
      <c r="D123" s="52">
        <v>9</v>
      </c>
      <c r="E123" s="52">
        <v>2</v>
      </c>
      <c r="F123" s="63">
        <v>72</v>
      </c>
      <c r="G123" s="54" t="s">
        <v>222</v>
      </c>
      <c r="H123" s="181" t="s">
        <v>173</v>
      </c>
      <c r="I123" s="55">
        <f t="shared" si="99"/>
        <v>396.09999999999991</v>
      </c>
      <c r="J123" s="55">
        <f t="shared" si="79"/>
        <v>3325.6</v>
      </c>
      <c r="K123" s="55">
        <f t="shared" si="80"/>
        <v>0</v>
      </c>
      <c r="L123" s="56">
        <v>3721.7</v>
      </c>
      <c r="M123" s="56">
        <v>3721.7</v>
      </c>
      <c r="N123" s="56">
        <f t="shared" si="100"/>
        <v>396.09999999999991</v>
      </c>
      <c r="O123" s="56">
        <v>0</v>
      </c>
      <c r="P123" s="56">
        <v>0</v>
      </c>
      <c r="Q123" s="55"/>
      <c r="R123" s="55">
        <v>3721.7</v>
      </c>
      <c r="S123" s="55"/>
      <c r="T123" s="55">
        <v>3325.6</v>
      </c>
      <c r="U123" s="152">
        <v>396.09999999999991</v>
      </c>
      <c r="V123" s="57">
        <v>0.18390000000000001</v>
      </c>
      <c r="W123" s="57">
        <v>0.1042</v>
      </c>
      <c r="X123" s="153">
        <v>0.29509999999999997</v>
      </c>
      <c r="Y123" s="153">
        <v>6.8199999999999997E-2</v>
      </c>
      <c r="Z123" s="57">
        <v>2.3599999999999999E-2</v>
      </c>
      <c r="AA123" s="57">
        <v>0.21060000000000001</v>
      </c>
      <c r="AB123" s="57">
        <v>0</v>
      </c>
      <c r="AC123" s="153">
        <v>0.63149999999999995</v>
      </c>
      <c r="AD123" s="57">
        <v>0.153</v>
      </c>
      <c r="AE123" s="57">
        <v>0</v>
      </c>
      <c r="AF123" s="57">
        <v>2.5499999999999998</v>
      </c>
      <c r="AG123" s="57">
        <v>0.23960000000000001</v>
      </c>
      <c r="AH123" s="57">
        <v>0.37359999999999999</v>
      </c>
      <c r="AI123" s="57">
        <v>0.1094</v>
      </c>
      <c r="AJ123" s="57">
        <v>0.1019</v>
      </c>
      <c r="AK123" s="57">
        <v>4.5900000000000003E-2</v>
      </c>
      <c r="AL123" s="57">
        <v>4.9200000000000001E-2</v>
      </c>
      <c r="AM123" s="57">
        <v>3.0599999999999999E-2</v>
      </c>
      <c r="AN123" s="57">
        <v>0</v>
      </c>
      <c r="AO123" s="57">
        <v>1.5797000000000001</v>
      </c>
      <c r="AP123" s="153">
        <v>1.5866</v>
      </c>
      <c r="AQ123" s="153">
        <v>8.0799999999999997E-2</v>
      </c>
      <c r="AR123" s="57">
        <v>0.4108</v>
      </c>
      <c r="AS123" s="57">
        <v>3.6700000000000003E-2</v>
      </c>
      <c r="AT123" s="153">
        <v>6.0000000000000001E-3</v>
      </c>
      <c r="AU123" s="153">
        <v>0.36159999999999998</v>
      </c>
      <c r="AV123" s="153">
        <v>0</v>
      </c>
      <c r="AW123" s="154">
        <v>9.2324999999999982</v>
      </c>
      <c r="AX123" s="58">
        <v>0.46160000000000001</v>
      </c>
      <c r="AY123" s="155">
        <f t="shared" si="81"/>
        <v>0.45760000000000001</v>
      </c>
      <c r="AZ123" s="155">
        <f t="shared" si="82"/>
        <v>4.0000000000000036E-3</v>
      </c>
      <c r="BA123" s="14">
        <v>9.6940999999999988</v>
      </c>
      <c r="BB123" s="59">
        <f>BA123-'[1]Тариф 26 свод без  ПДВ'!AU123</f>
        <v>5.399999999998073E-3</v>
      </c>
      <c r="BC123" s="57">
        <v>1.4801</v>
      </c>
      <c r="BD123" s="57">
        <v>0.1081</v>
      </c>
      <c r="BE123" s="57">
        <v>0.46689999999999998</v>
      </c>
      <c r="BF123" s="156">
        <v>11.287599999999999</v>
      </c>
      <c r="BG123" s="59">
        <v>0.56440000000000001</v>
      </c>
      <c r="BH123" s="59"/>
      <c r="BI123" s="59"/>
      <c r="BJ123" s="14">
        <v>11.852</v>
      </c>
      <c r="BK123" s="60"/>
      <c r="BL123" s="60">
        <v>5.2937999999999992</v>
      </c>
      <c r="BM123" s="60">
        <v>0.26469999999999999</v>
      </c>
      <c r="BN123" s="14">
        <v>5.5584999999999996</v>
      </c>
      <c r="BO123" s="14"/>
      <c r="BP123" s="157"/>
      <c r="BQ123" s="158">
        <f>BJ123-'[1]Тариф 26 свод без  ПДВ'!BG123</f>
        <v>1.9999999999953388E-4</v>
      </c>
      <c r="BR123" s="77">
        <f>'[1]Тариф 26 свод без  ПДВ'!BG123</f>
        <v>11.851800000000001</v>
      </c>
      <c r="BS123" s="159">
        <f t="shared" si="83"/>
        <v>1.9999999999953388E-4</v>
      </c>
      <c r="BU123" s="77">
        <f>'[1]Тариф 26 свод без  ПДВ'!AU123</f>
        <v>9.6887000000000008</v>
      </c>
      <c r="BV123" s="159">
        <f t="shared" si="84"/>
        <v>5.399999999998073E-3</v>
      </c>
      <c r="BX123" s="95">
        <v>4.6921999999999997</v>
      </c>
      <c r="BY123" s="95">
        <v>4.6921999999999997</v>
      </c>
      <c r="BZ123" s="95"/>
      <c r="CA123" s="182">
        <f t="shared" si="85"/>
        <v>2.0660031541707515</v>
      </c>
      <c r="CB123" s="182">
        <f t="shared" si="86"/>
        <v>2.5258940369123226</v>
      </c>
      <c r="CI123" s="160">
        <f>'[1]0 СВОД'!AYY138</f>
        <v>43255.410589781241</v>
      </c>
      <c r="CJ123" s="77">
        <f t="shared" si="87"/>
        <v>519064.92707737489</v>
      </c>
      <c r="CM123" s="161">
        <v>121</v>
      </c>
      <c r="CN123" s="183" t="s">
        <v>691</v>
      </c>
      <c r="CO123" s="163">
        <v>9</v>
      </c>
      <c r="CP123" s="163">
        <v>2</v>
      </c>
      <c r="CQ123" s="164" t="s">
        <v>222</v>
      </c>
      <c r="CR123" s="165" t="s">
        <v>173</v>
      </c>
      <c r="CS123" s="166">
        <v>393.09999999999991</v>
      </c>
      <c r="CT123" s="166">
        <v>3327</v>
      </c>
      <c r="CU123" s="167">
        <v>0</v>
      </c>
      <c r="CV123" s="168">
        <v>3720.1</v>
      </c>
      <c r="CW123" s="166">
        <v>3720.1</v>
      </c>
      <c r="CX123" s="167">
        <v>0</v>
      </c>
      <c r="CY123" s="166">
        <v>0</v>
      </c>
      <c r="CZ123" s="166"/>
      <c r="DA123" s="166">
        <v>3720.1</v>
      </c>
      <c r="DB123" s="166"/>
      <c r="DC123" s="166">
        <v>3327</v>
      </c>
      <c r="DD123" s="59">
        <v>0.1807</v>
      </c>
      <c r="DE123" s="59">
        <v>0.1694</v>
      </c>
      <c r="DF123" s="59">
        <v>0.19409999999999999</v>
      </c>
      <c r="DG123" s="59">
        <v>4.02E-2</v>
      </c>
      <c r="DH123" s="59">
        <v>8.8999999999999999E-3</v>
      </c>
      <c r="DI123" s="59">
        <v>9.0200000000000002E-2</v>
      </c>
      <c r="DJ123" s="59">
        <v>4.8099999999999997E-2</v>
      </c>
      <c r="DK123" s="59">
        <v>0.3458</v>
      </c>
      <c r="DL123" s="59">
        <v>8.7300000000000003E-2</v>
      </c>
      <c r="DM123" s="59">
        <v>9.3100000000000002E-2</v>
      </c>
      <c r="DN123" s="169">
        <v>0</v>
      </c>
      <c r="DO123" s="184">
        <v>1.5778999999999999</v>
      </c>
      <c r="DP123" s="171">
        <f t="shared" si="88"/>
        <v>2.5499999999999998</v>
      </c>
      <c r="DQ123" s="59">
        <v>0.1153</v>
      </c>
      <c r="DR123" s="59">
        <v>0.224</v>
      </c>
      <c r="DS123" s="59">
        <v>2.8500000000000001E-2</v>
      </c>
      <c r="DT123" s="59">
        <v>4.8300000000000003E-2</v>
      </c>
      <c r="DU123" s="59">
        <v>1.9400000000000001E-2</v>
      </c>
      <c r="DV123" s="59">
        <v>1.72E-2</v>
      </c>
      <c r="DW123" s="59">
        <v>7.7999999999999996E-3</v>
      </c>
      <c r="DX123" s="169">
        <v>0</v>
      </c>
      <c r="DY123" s="59">
        <v>0.749</v>
      </c>
      <c r="DZ123" s="171">
        <f t="shared" si="89"/>
        <v>2.1090787716955943</v>
      </c>
      <c r="EA123" s="59">
        <v>0.93869999999999998</v>
      </c>
      <c r="EB123" s="171">
        <f t="shared" si="90"/>
        <v>1.7762863534675615</v>
      </c>
      <c r="EC123" s="59">
        <v>0.16450000000000001</v>
      </c>
      <c r="ED123" s="171">
        <f t="shared" si="91"/>
        <v>2.4972644376899695</v>
      </c>
      <c r="EE123" s="59">
        <v>2.81E-2</v>
      </c>
      <c r="EF123" s="59">
        <v>3.8999999999999998E-3</v>
      </c>
      <c r="EG123" s="59">
        <v>0.2266</v>
      </c>
      <c r="EH123" s="59">
        <v>0</v>
      </c>
      <c r="EI123" s="155">
        <v>0.13519999999999999</v>
      </c>
      <c r="EJ123" s="172">
        <v>5.5422000000000002</v>
      </c>
      <c r="EK123" s="173"/>
      <c r="EL123" s="59">
        <v>1.2113</v>
      </c>
      <c r="EM123" s="59">
        <v>0.30890000000000001</v>
      </c>
      <c r="EN123" s="59">
        <v>0.17319999999999999</v>
      </c>
      <c r="EO123" s="172">
        <v>7.1003999999999996</v>
      </c>
      <c r="ES123" s="57">
        <f t="shared" si="101"/>
        <v>5.5422000000000002</v>
      </c>
      <c r="ET123" s="57">
        <f t="shared" si="102"/>
        <v>7.1003999999999996</v>
      </c>
      <c r="EU123" s="31"/>
      <c r="EV123" s="61">
        <f t="shared" si="92"/>
        <v>1.7491429396268627</v>
      </c>
      <c r="EW123" s="61">
        <f>BJ123/ET123</f>
        <v>1.6692017351135149</v>
      </c>
      <c r="EX123" s="185">
        <v>7.2477</v>
      </c>
      <c r="EY123" s="174">
        <v>9.5816999999999997</v>
      </c>
      <c r="EZ123" s="158">
        <f t="shared" si="93"/>
        <v>9.6940999999999988</v>
      </c>
      <c r="FA123" s="158">
        <f t="shared" si="94"/>
        <v>11.852</v>
      </c>
      <c r="FB123" s="158">
        <f>BA123-EX123</f>
        <v>2.4463999999999988</v>
      </c>
      <c r="FC123" s="158">
        <f>BJ123-EY123</f>
        <v>2.2703000000000007</v>
      </c>
      <c r="FD123" s="175">
        <f>FB123/EX123</f>
        <v>0.33754156491024723</v>
      </c>
      <c r="FE123" s="175">
        <f>FC123/FA123</f>
        <v>0.19155416807289913</v>
      </c>
      <c r="FF123" s="158"/>
      <c r="FG123" s="174"/>
      <c r="FH123" s="174">
        <f t="shared" si="103"/>
        <v>36078.531969999996</v>
      </c>
      <c r="FI123" s="174"/>
      <c r="FJ123" s="176">
        <v>1.2685999999999999</v>
      </c>
      <c r="FK123" s="176">
        <f t="shared" si="104"/>
        <v>1.3787978398446026</v>
      </c>
      <c r="FL123" s="87">
        <v>1.3189</v>
      </c>
      <c r="FM123" s="177">
        <f t="shared" si="105"/>
        <v>1.2656014368894646</v>
      </c>
      <c r="FO123" s="88">
        <f t="shared" si="95"/>
        <v>36078.531969999996</v>
      </c>
      <c r="FP123" s="79">
        <f t="shared" si="96"/>
        <v>39415.011200000001</v>
      </c>
      <c r="FS123" s="79">
        <f t="shared" si="97"/>
        <v>20626.405739999998</v>
      </c>
      <c r="FT123" s="79">
        <f t="shared" si="98"/>
        <v>23613.090239999998</v>
      </c>
      <c r="FU123" s="79">
        <f t="shared" si="106"/>
        <v>1.749142939626863</v>
      </c>
      <c r="FV123" s="79">
        <f t="shared" si="106"/>
        <v>1.6692017351135149</v>
      </c>
      <c r="FY123" s="79">
        <f t="shared" si="107"/>
        <v>3839.8330099999985</v>
      </c>
      <c r="FZ123" s="79">
        <f t="shared" si="108"/>
        <v>39415.011200000001</v>
      </c>
      <c r="GB123" s="178">
        <f t="shared" si="109"/>
        <v>396.09999999999991</v>
      </c>
      <c r="GC123" s="178">
        <f t="shared" si="110"/>
        <v>3325.6</v>
      </c>
      <c r="GG123" s="14">
        <v>7.6335000000000006</v>
      </c>
      <c r="GH123" s="175">
        <f t="shared" si="111"/>
        <v>1.2699417043295995</v>
      </c>
      <c r="GI123" s="14">
        <v>10.0587</v>
      </c>
      <c r="GJ123" s="175">
        <f t="shared" si="112"/>
        <v>1.178283475995904</v>
      </c>
      <c r="GK123" s="175">
        <f>GH123-GJ123</f>
        <v>9.1658228333695524E-2</v>
      </c>
      <c r="GN123" s="14">
        <v>9.5167000000000019</v>
      </c>
      <c r="GO123" s="175">
        <f t="shared" si="113"/>
        <v>1.2467020370734265</v>
      </c>
      <c r="GP123" s="179">
        <f t="shared" si="114"/>
        <v>1.0186409154433782</v>
      </c>
      <c r="GQ123" s="14">
        <v>11.485800000000003</v>
      </c>
      <c r="GR123" s="175">
        <f t="shared" si="115"/>
        <v>1.1418771809478365</v>
      </c>
      <c r="GS123" s="175">
        <f t="shared" si="116"/>
        <v>1.0318828466454228</v>
      </c>
      <c r="GV123" s="32">
        <f t="shared" si="117"/>
        <v>3839.8330099999985</v>
      </c>
      <c r="GW123" s="32">
        <f t="shared" si="118"/>
        <v>39415.011200000001</v>
      </c>
      <c r="GX123" s="180">
        <f t="shared" si="119"/>
        <v>43254.844209999996</v>
      </c>
      <c r="GZ123" s="32">
        <f t="shared" si="120"/>
        <v>9.6940999999999988</v>
      </c>
      <c r="HA123" s="32">
        <f t="shared" si="121"/>
        <v>11.852</v>
      </c>
      <c r="HB123" s="32">
        <f t="shared" si="122"/>
        <v>11.622335010882123</v>
      </c>
    </row>
    <row r="124" spans="1:210" ht="19.2" customHeight="1" x14ac:dyDescent="0.3">
      <c r="A124" s="50">
        <v>116</v>
      </c>
      <c r="B124" s="220" t="s">
        <v>692</v>
      </c>
      <c r="C124" s="150" t="s">
        <v>638</v>
      </c>
      <c r="D124" s="52">
        <v>5</v>
      </c>
      <c r="E124" s="52">
        <v>2</v>
      </c>
      <c r="F124" s="63">
        <v>60</v>
      </c>
      <c r="G124" s="54" t="s">
        <v>103</v>
      </c>
      <c r="H124" s="181" t="s">
        <v>65</v>
      </c>
      <c r="I124" s="55">
        <f t="shared" si="99"/>
        <v>1942.7</v>
      </c>
      <c r="J124" s="55">
        <f t="shared" si="79"/>
        <v>0</v>
      </c>
      <c r="K124" s="55">
        <f t="shared" si="80"/>
        <v>0</v>
      </c>
      <c r="L124" s="56">
        <v>1942.7</v>
      </c>
      <c r="M124" s="56">
        <v>1942.7</v>
      </c>
      <c r="N124" s="56">
        <f t="shared" si="100"/>
        <v>1942.7</v>
      </c>
      <c r="O124" s="56">
        <v>0</v>
      </c>
      <c r="P124" s="56">
        <v>0</v>
      </c>
      <c r="Q124" s="55"/>
      <c r="R124" s="55">
        <v>1942.7</v>
      </c>
      <c r="S124" s="55"/>
      <c r="T124" s="55">
        <v>0</v>
      </c>
      <c r="U124" s="152">
        <v>1942.7</v>
      </c>
      <c r="V124" s="57">
        <v>0.23649999999999999</v>
      </c>
      <c r="W124" s="153">
        <v>0.13489999999999999</v>
      </c>
      <c r="X124" s="57">
        <v>0.34210000000000002</v>
      </c>
      <c r="Y124" s="57">
        <v>8.3799999999999999E-2</v>
      </c>
      <c r="Z124" s="153">
        <v>2.06E-2</v>
      </c>
      <c r="AA124" s="57">
        <v>0.2545</v>
      </c>
      <c r="AB124" s="153">
        <v>0</v>
      </c>
      <c r="AC124" s="57">
        <v>0.63149999999999995</v>
      </c>
      <c r="AD124" s="57">
        <v>0.2442</v>
      </c>
      <c r="AE124" s="57">
        <v>0</v>
      </c>
      <c r="AF124" s="57">
        <v>1.3822000000000001</v>
      </c>
      <c r="AG124" s="57">
        <v>0.35670000000000002</v>
      </c>
      <c r="AH124" s="57">
        <v>0.53169999999999995</v>
      </c>
      <c r="AI124" s="153">
        <v>0.1114</v>
      </c>
      <c r="AJ124" s="153">
        <v>6.5199999999999994E-2</v>
      </c>
      <c r="AK124" s="153">
        <v>0.04</v>
      </c>
      <c r="AL124" s="57">
        <v>0.12</v>
      </c>
      <c r="AM124" s="153">
        <v>5.57E-2</v>
      </c>
      <c r="AN124" s="57">
        <v>0</v>
      </c>
      <c r="AO124" s="153">
        <v>2.6692999999999998</v>
      </c>
      <c r="AP124" s="57">
        <v>1.1025</v>
      </c>
      <c r="AQ124" s="57">
        <v>0.1002</v>
      </c>
      <c r="AR124" s="153">
        <v>0.56020000000000003</v>
      </c>
      <c r="AS124" s="57">
        <v>6.0100000000000001E-2</v>
      </c>
      <c r="AT124" s="57">
        <v>9.7000000000000003E-3</v>
      </c>
      <c r="AU124" s="153">
        <v>1.1936</v>
      </c>
      <c r="AV124" s="153">
        <v>0</v>
      </c>
      <c r="AW124" s="154">
        <v>10.3066</v>
      </c>
      <c r="AX124" s="58">
        <v>0.51529999999999998</v>
      </c>
      <c r="AY124" s="155">
        <f t="shared" si="81"/>
        <v>0.51029999999999998</v>
      </c>
      <c r="AZ124" s="155">
        <f t="shared" si="82"/>
        <v>5.0000000000000044E-3</v>
      </c>
      <c r="BA124" s="14">
        <v>10.821899999999999</v>
      </c>
      <c r="BB124" s="59">
        <f>BA124-'[1]Тариф 26 свод без  ПДВ'!AU124</f>
        <v>-5.0000000000061107E-4</v>
      </c>
      <c r="BC124" s="57">
        <v>0</v>
      </c>
      <c r="BD124" s="57">
        <v>0</v>
      </c>
      <c r="BE124" s="57">
        <v>0</v>
      </c>
      <c r="BF124" s="156">
        <v>10.3066</v>
      </c>
      <c r="BG124" s="59">
        <v>0.51529999999999998</v>
      </c>
      <c r="BH124" s="59"/>
      <c r="BI124" s="59"/>
      <c r="BJ124" s="14">
        <v>10.821899999999999</v>
      </c>
      <c r="BK124" s="60"/>
      <c r="BL124" s="60">
        <v>4.7809999999999997</v>
      </c>
      <c r="BM124" s="60">
        <v>0.23910000000000001</v>
      </c>
      <c r="BN124" s="14">
        <v>5.0200999999999993</v>
      </c>
      <c r="BO124" s="14"/>
      <c r="BP124" s="157"/>
      <c r="BQ124" s="158">
        <f>BJ124-'[1]Тариф 26 свод без  ПДВ'!BG124</f>
        <v>-5.0000000000061107E-4</v>
      </c>
      <c r="BR124" s="77">
        <f>'[1]Тариф 26 свод без  ПДВ'!BG124</f>
        <v>10.8224</v>
      </c>
      <c r="BS124" s="159">
        <f t="shared" si="83"/>
        <v>-5.0000000000061107E-4</v>
      </c>
      <c r="BU124" s="77">
        <f>'[1]Тариф 26 свод без  ПДВ'!AU124</f>
        <v>10.8224</v>
      </c>
      <c r="BV124" s="159">
        <f t="shared" si="84"/>
        <v>-5.0000000000061107E-4</v>
      </c>
      <c r="BX124" s="95">
        <v>4.6694000000000004</v>
      </c>
      <c r="BY124" s="95">
        <v>4.6694000000000004</v>
      </c>
      <c r="BZ124" s="95"/>
      <c r="CA124" s="182">
        <f t="shared" si="85"/>
        <v>2.3176211076369553</v>
      </c>
      <c r="CB124" s="182">
        <f t="shared" si="86"/>
        <v>2.3176211076369553</v>
      </c>
      <c r="CI124" s="160">
        <f>'[1]0 СВОД'!AYY139</f>
        <v>21024.08643811426</v>
      </c>
      <c r="CJ124" s="77">
        <f t="shared" si="87"/>
        <v>252289.03725737112</v>
      </c>
      <c r="CM124" s="161">
        <v>122</v>
      </c>
      <c r="CN124" s="162" t="s">
        <v>693</v>
      </c>
      <c r="CO124" s="163">
        <v>5</v>
      </c>
      <c r="CP124" s="163">
        <v>2</v>
      </c>
      <c r="CQ124" s="164" t="s">
        <v>103</v>
      </c>
      <c r="CR124" s="165" t="s">
        <v>65</v>
      </c>
      <c r="CS124" s="166">
        <v>1941.9</v>
      </c>
      <c r="CT124" s="166">
        <v>0</v>
      </c>
      <c r="CU124" s="167">
        <v>0</v>
      </c>
      <c r="CV124" s="168">
        <v>1941.9</v>
      </c>
      <c r="CW124" s="166">
        <v>1941.9</v>
      </c>
      <c r="CX124" s="167">
        <v>0</v>
      </c>
      <c r="CY124" s="166">
        <v>0</v>
      </c>
      <c r="CZ124" s="166"/>
      <c r="DA124" s="166">
        <v>1941.9</v>
      </c>
      <c r="DB124" s="166"/>
      <c r="DC124" s="166">
        <v>0</v>
      </c>
      <c r="DD124" s="59">
        <v>0.2535</v>
      </c>
      <c r="DE124" s="59">
        <v>0.2437</v>
      </c>
      <c r="DF124" s="59">
        <v>0.22489999999999999</v>
      </c>
      <c r="DG124" s="59">
        <v>4.9500000000000002E-2</v>
      </c>
      <c r="DH124" s="59">
        <v>7.7000000000000002E-3</v>
      </c>
      <c r="DI124" s="59">
        <v>0.1178</v>
      </c>
      <c r="DJ124" s="59">
        <v>4.8099999999999997E-2</v>
      </c>
      <c r="DK124" s="59">
        <v>0.3458</v>
      </c>
      <c r="DL124" s="169">
        <v>0</v>
      </c>
      <c r="DM124" s="59">
        <v>0.1487</v>
      </c>
      <c r="DN124" s="169">
        <v>0</v>
      </c>
      <c r="DO124" s="170">
        <v>0.77429999999999999</v>
      </c>
      <c r="DP124" s="171">
        <f t="shared" si="88"/>
        <v>1.3822000000000001</v>
      </c>
      <c r="DQ124" s="59">
        <v>0.1714</v>
      </c>
      <c r="DR124" s="59">
        <v>0.31819999999999998</v>
      </c>
      <c r="DS124" s="59">
        <v>2.9399999999999999E-2</v>
      </c>
      <c r="DT124" s="59">
        <v>3.09E-2</v>
      </c>
      <c r="DU124" s="59">
        <v>1.6899999999999998E-2</v>
      </c>
      <c r="DV124" s="59">
        <v>2.3699999999999999E-2</v>
      </c>
      <c r="DW124" s="59">
        <v>1.9699999999999999E-2</v>
      </c>
      <c r="DX124" s="169">
        <v>0</v>
      </c>
      <c r="DY124" s="170">
        <v>1.2527000000000001</v>
      </c>
      <c r="DZ124" s="171">
        <f t="shared" si="89"/>
        <v>2.1308373912349321</v>
      </c>
      <c r="EA124" s="59">
        <v>0.66959999999999997</v>
      </c>
      <c r="EB124" s="171">
        <f t="shared" si="90"/>
        <v>1.7961469534050181</v>
      </c>
      <c r="EC124" s="59">
        <v>0.3382</v>
      </c>
      <c r="ED124" s="171">
        <f t="shared" si="91"/>
        <v>1.6564163217031342</v>
      </c>
      <c r="EE124" s="59">
        <v>4.5999999999999999E-2</v>
      </c>
      <c r="EF124" s="59">
        <v>6.4000000000000003E-3</v>
      </c>
      <c r="EG124" s="59">
        <v>0.44409999999999999</v>
      </c>
      <c r="EH124" s="59">
        <v>0</v>
      </c>
      <c r="EI124" s="208">
        <v>0.13950000000000001</v>
      </c>
      <c r="EJ124" s="172">
        <v>5.720699999999999</v>
      </c>
      <c r="EK124" s="173"/>
      <c r="EL124" s="169">
        <v>0</v>
      </c>
      <c r="EM124" s="169">
        <v>0</v>
      </c>
      <c r="EN124" s="59"/>
      <c r="EO124" s="172"/>
      <c r="ES124" s="57">
        <f t="shared" si="101"/>
        <v>5.720699999999999</v>
      </c>
      <c r="ET124" s="57">
        <f t="shared" si="102"/>
        <v>0</v>
      </c>
      <c r="EU124" s="31"/>
      <c r="EV124" s="213">
        <f t="shared" si="92"/>
        <v>1.8917090565839847</v>
      </c>
      <c r="EW124" s="62"/>
      <c r="EX124" s="158">
        <f t="shared" ref="EX124:EX138" si="149">ES124*1.305-BA124</f>
        <v>-3.356386500000001</v>
      </c>
      <c r="EY124" s="77">
        <f>ES124*1.344</f>
        <v>7.6886207999999989</v>
      </c>
      <c r="EZ124" s="158">
        <f t="shared" si="93"/>
        <v>10.821899999999999</v>
      </c>
      <c r="FA124" s="158">
        <f t="shared" si="94"/>
        <v>10.821899999999999</v>
      </c>
      <c r="FH124" s="174">
        <f t="shared" si="103"/>
        <v>21023.705129999998</v>
      </c>
      <c r="FJ124" s="87">
        <v>1.5081196357089168</v>
      </c>
      <c r="FK124" s="176">
        <f t="shared" si="104"/>
        <v>1.2543494639235004</v>
      </c>
      <c r="FM124" s="87" t="e">
        <f t="shared" si="105"/>
        <v>#DIV/0!</v>
      </c>
      <c r="FO124" s="88">
        <f t="shared" si="95"/>
        <v>21023.705129999998</v>
      </c>
      <c r="FP124" s="79">
        <f t="shared" si="96"/>
        <v>0</v>
      </c>
      <c r="FS124" s="79">
        <f t="shared" si="97"/>
        <v>11113.603889999999</v>
      </c>
      <c r="FT124" s="79">
        <f t="shared" si="98"/>
        <v>0</v>
      </c>
      <c r="FU124" s="79">
        <f t="shared" si="106"/>
        <v>1.8917090565839847</v>
      </c>
      <c r="FV124" s="79" t="e">
        <f t="shared" si="106"/>
        <v>#DIV/0!</v>
      </c>
      <c r="FY124" s="79">
        <f t="shared" si="107"/>
        <v>21023.705129999998</v>
      </c>
      <c r="FZ124" s="79">
        <f t="shared" si="108"/>
        <v>0</v>
      </c>
      <c r="GB124" s="178">
        <f t="shared" si="109"/>
        <v>1942.7</v>
      </c>
      <c r="GC124" s="178">
        <f t="shared" si="110"/>
        <v>0</v>
      </c>
      <c r="GG124" s="14">
        <v>8.5216999999999992</v>
      </c>
      <c r="GH124" s="175">
        <f t="shared" si="111"/>
        <v>1.2699226680122511</v>
      </c>
      <c r="GI124" s="14">
        <v>8.5216999999999992</v>
      </c>
      <c r="GJ124" s="175">
        <f t="shared" si="112"/>
        <v>1.2699226680122511</v>
      </c>
      <c r="GK124" s="175">
        <f t="shared" ref="GK124:GK187" si="150">GH124-GJ124</f>
        <v>0</v>
      </c>
      <c r="GN124" s="14">
        <v>10.211900000000002</v>
      </c>
      <c r="GO124" s="175">
        <f t="shared" si="113"/>
        <v>1.1983407066665106</v>
      </c>
      <c r="GP124" s="179">
        <f t="shared" si="114"/>
        <v>1.0597342316317235</v>
      </c>
      <c r="GQ124" s="14">
        <v>10.211900000000002</v>
      </c>
      <c r="GR124" s="175">
        <f t="shared" si="115"/>
        <v>1.1983407066665106</v>
      </c>
      <c r="GS124" s="175">
        <f t="shared" si="116"/>
        <v>1.0597342316317235</v>
      </c>
      <c r="GV124" s="32">
        <f t="shared" si="117"/>
        <v>21023.705129999998</v>
      </c>
      <c r="GW124" s="32">
        <f t="shared" si="118"/>
        <v>0</v>
      </c>
      <c r="GX124" s="180">
        <f t="shared" si="119"/>
        <v>21023.705129999998</v>
      </c>
      <c r="GZ124" s="32">
        <f t="shared" si="120"/>
        <v>10.821899999999999</v>
      </c>
      <c r="HA124" s="32" t="e">
        <f t="shared" si="121"/>
        <v>#DIV/0!</v>
      </c>
      <c r="HB124" s="32">
        <f t="shared" si="122"/>
        <v>10.821899999999999</v>
      </c>
    </row>
    <row r="125" spans="1:210" ht="19.2" customHeight="1" x14ac:dyDescent="0.3">
      <c r="A125" s="50">
        <v>117</v>
      </c>
      <c r="B125" s="51" t="s">
        <v>694</v>
      </c>
      <c r="C125" s="150" t="s">
        <v>638</v>
      </c>
      <c r="D125" s="52">
        <v>5</v>
      </c>
      <c r="E125" s="52">
        <v>4</v>
      </c>
      <c r="F125" s="63">
        <v>60</v>
      </c>
      <c r="G125" s="54" t="s">
        <v>104</v>
      </c>
      <c r="H125" s="181" t="s">
        <v>49</v>
      </c>
      <c r="I125" s="55">
        <f t="shared" si="99"/>
        <v>2736.54</v>
      </c>
      <c r="J125" s="55">
        <f t="shared" si="79"/>
        <v>0</v>
      </c>
      <c r="K125" s="55">
        <f t="shared" si="80"/>
        <v>0</v>
      </c>
      <c r="L125" s="56">
        <v>2736.54</v>
      </c>
      <c r="M125" s="56">
        <v>2736.54</v>
      </c>
      <c r="N125" s="56">
        <f t="shared" si="100"/>
        <v>2736.54</v>
      </c>
      <c r="O125" s="56">
        <v>0</v>
      </c>
      <c r="P125" s="56">
        <v>0</v>
      </c>
      <c r="Q125" s="55"/>
      <c r="R125" s="55">
        <v>2736.54</v>
      </c>
      <c r="S125" s="55"/>
      <c r="T125" s="55">
        <v>0</v>
      </c>
      <c r="U125" s="152">
        <v>2736.54</v>
      </c>
      <c r="V125" s="57">
        <v>0.1678</v>
      </c>
      <c r="W125" s="153">
        <v>9.2999999999999999E-2</v>
      </c>
      <c r="X125" s="57">
        <v>0.32429999999999998</v>
      </c>
      <c r="Y125" s="57">
        <v>7.4399999999999994E-2</v>
      </c>
      <c r="Z125" s="153">
        <v>2.92E-2</v>
      </c>
      <c r="AA125" s="57">
        <v>0.50270000000000004</v>
      </c>
      <c r="AB125" s="153">
        <v>0</v>
      </c>
      <c r="AC125" s="57">
        <v>0.63149999999999995</v>
      </c>
      <c r="AD125" s="57">
        <v>0.1734</v>
      </c>
      <c r="AE125" s="57">
        <v>0</v>
      </c>
      <c r="AF125" s="57">
        <v>1.883</v>
      </c>
      <c r="AG125" s="57">
        <v>0.22239999999999999</v>
      </c>
      <c r="AH125" s="57">
        <v>0.33</v>
      </c>
      <c r="AI125" s="153">
        <v>8.7900000000000006E-2</v>
      </c>
      <c r="AJ125" s="153">
        <v>0.10440000000000001</v>
      </c>
      <c r="AK125" s="153">
        <v>5.6800000000000003E-2</v>
      </c>
      <c r="AL125" s="57">
        <v>0.17330000000000001</v>
      </c>
      <c r="AM125" s="153">
        <v>3.3700000000000001E-2</v>
      </c>
      <c r="AN125" s="57">
        <v>0</v>
      </c>
      <c r="AO125" s="153">
        <v>2.2711999999999999</v>
      </c>
      <c r="AP125" s="57">
        <v>1.1431</v>
      </c>
      <c r="AQ125" s="57">
        <v>9.2799999999999994E-2</v>
      </c>
      <c r="AR125" s="153">
        <v>0.64080000000000004</v>
      </c>
      <c r="AS125" s="57">
        <v>5.8599999999999999E-2</v>
      </c>
      <c r="AT125" s="57">
        <v>9.4999999999999998E-3</v>
      </c>
      <c r="AU125" s="153">
        <v>0.58250000000000002</v>
      </c>
      <c r="AV125" s="153">
        <v>0</v>
      </c>
      <c r="AW125" s="154">
        <v>9.686300000000001</v>
      </c>
      <c r="AX125" s="58">
        <v>0.48430000000000001</v>
      </c>
      <c r="AY125" s="155">
        <f t="shared" si="81"/>
        <v>0.47970000000000002</v>
      </c>
      <c r="AZ125" s="155">
        <f t="shared" si="82"/>
        <v>4.599999999999993E-3</v>
      </c>
      <c r="BA125" s="14">
        <v>10.1706</v>
      </c>
      <c r="BB125" s="59">
        <f>BA125-'[1]Тариф 26 свод без  ПДВ'!AU125</f>
        <v>4.4000000000004036E-3</v>
      </c>
      <c r="BC125" s="57">
        <v>0</v>
      </c>
      <c r="BD125" s="57">
        <v>0</v>
      </c>
      <c r="BE125" s="57">
        <v>0</v>
      </c>
      <c r="BF125" s="156">
        <v>9.686300000000001</v>
      </c>
      <c r="BG125" s="59">
        <v>0.48430000000000001</v>
      </c>
      <c r="BH125" s="59"/>
      <c r="BI125" s="59"/>
      <c r="BJ125" s="14">
        <v>10.1706</v>
      </c>
      <c r="BK125" s="60"/>
      <c r="BL125" s="60">
        <v>5.0487000000000002</v>
      </c>
      <c r="BM125" s="60">
        <v>0.25240000000000001</v>
      </c>
      <c r="BN125" s="14">
        <v>5.3010999999999999</v>
      </c>
      <c r="BO125" s="14"/>
      <c r="BP125" s="157"/>
      <c r="BQ125" s="158">
        <f>BJ125-'[1]Тариф 26 свод без  ПДВ'!BG125</f>
        <v>4.4000000000004036E-3</v>
      </c>
      <c r="BR125" s="77">
        <f>'[1]Тариф 26 свод без  ПДВ'!BG125</f>
        <v>10.1662</v>
      </c>
      <c r="BS125" s="159">
        <f t="shared" si="83"/>
        <v>4.4000000000004036E-3</v>
      </c>
      <c r="BU125" s="77">
        <f>'[1]Тариф 26 свод без  ПДВ'!AU125</f>
        <v>10.1662</v>
      </c>
      <c r="BV125" s="159">
        <f t="shared" si="84"/>
        <v>4.4000000000004036E-3</v>
      </c>
      <c r="BX125" s="95">
        <v>5.1026000000000007</v>
      </c>
      <c r="BY125" s="95">
        <v>5.1026000000000007</v>
      </c>
      <c r="BZ125" s="95"/>
      <c r="CA125" s="182">
        <f t="shared" si="85"/>
        <v>1.9932191431819071</v>
      </c>
      <c r="CB125" s="182">
        <f t="shared" si="86"/>
        <v>1.9932191431819071</v>
      </c>
      <c r="CI125" s="160">
        <f>'[1]0 СВОД'!AYY140</f>
        <v>27832.30643572408</v>
      </c>
      <c r="CJ125" s="77">
        <f t="shared" si="87"/>
        <v>333987.67722868896</v>
      </c>
      <c r="CM125" s="161">
        <v>123</v>
      </c>
      <c r="CN125" s="162" t="s">
        <v>695</v>
      </c>
      <c r="CO125" s="163">
        <v>5</v>
      </c>
      <c r="CP125" s="163">
        <v>4</v>
      </c>
      <c r="CQ125" s="164" t="s">
        <v>104</v>
      </c>
      <c r="CR125" s="165" t="s">
        <v>49</v>
      </c>
      <c r="CS125" s="166">
        <v>2735.62</v>
      </c>
      <c r="CT125" s="166">
        <v>0</v>
      </c>
      <c r="CU125" s="167">
        <v>0</v>
      </c>
      <c r="CV125" s="168">
        <v>2735.62</v>
      </c>
      <c r="CW125" s="166">
        <v>2735.62</v>
      </c>
      <c r="CX125" s="167">
        <v>0</v>
      </c>
      <c r="CY125" s="166">
        <v>0</v>
      </c>
      <c r="CZ125" s="166"/>
      <c r="DA125" s="166">
        <v>2735.62</v>
      </c>
      <c r="DB125" s="166"/>
      <c r="DC125" s="166">
        <v>0</v>
      </c>
      <c r="DD125" s="59">
        <v>0.16470000000000001</v>
      </c>
      <c r="DE125" s="59">
        <v>0.1512</v>
      </c>
      <c r="DF125" s="59">
        <v>0.21329999999999999</v>
      </c>
      <c r="DG125" s="59">
        <v>4.3799999999999999E-2</v>
      </c>
      <c r="DH125" s="59">
        <v>1.0999999999999999E-2</v>
      </c>
      <c r="DI125" s="59">
        <v>0.21879999999999999</v>
      </c>
      <c r="DJ125" s="59">
        <v>4.8099999999999997E-2</v>
      </c>
      <c r="DK125" s="59">
        <v>0.3458</v>
      </c>
      <c r="DL125" s="169">
        <v>0</v>
      </c>
      <c r="DM125" s="59">
        <v>0.1055</v>
      </c>
      <c r="DN125" s="169">
        <v>0</v>
      </c>
      <c r="DO125" s="170">
        <v>1.1513</v>
      </c>
      <c r="DP125" s="171">
        <f t="shared" si="88"/>
        <v>1.883</v>
      </c>
      <c r="DQ125" s="59">
        <v>0.1071</v>
      </c>
      <c r="DR125" s="59">
        <v>0.19750000000000001</v>
      </c>
      <c r="DS125" s="59">
        <v>2.29E-2</v>
      </c>
      <c r="DT125" s="59">
        <v>4.9200000000000001E-2</v>
      </c>
      <c r="DU125" s="59">
        <v>2.4E-2</v>
      </c>
      <c r="DV125" s="59">
        <v>6.0400000000000002E-2</v>
      </c>
      <c r="DW125" s="59">
        <v>9.2999999999999992E-3</v>
      </c>
      <c r="DX125" s="169">
        <v>0</v>
      </c>
      <c r="DY125" s="59">
        <v>1.2144999999999999</v>
      </c>
      <c r="DZ125" s="171">
        <f t="shared" si="89"/>
        <v>1.8700699876492384</v>
      </c>
      <c r="EA125" s="59">
        <v>0.69069999999999998</v>
      </c>
      <c r="EB125" s="171">
        <f t="shared" si="90"/>
        <v>1.789344143622412</v>
      </c>
      <c r="EC125" s="59">
        <v>0.37930000000000003</v>
      </c>
      <c r="ED125" s="171">
        <f t="shared" si="91"/>
        <v>1.6894278934880043</v>
      </c>
      <c r="EE125" s="59">
        <v>4.48E-2</v>
      </c>
      <c r="EF125" s="59">
        <v>6.1999999999999998E-3</v>
      </c>
      <c r="EG125" s="59">
        <v>0.27510000000000001</v>
      </c>
      <c r="EH125" s="59">
        <v>0</v>
      </c>
      <c r="EI125" s="208">
        <v>0.1384</v>
      </c>
      <c r="EJ125" s="172">
        <v>5.6728999999999994</v>
      </c>
      <c r="EK125" s="173"/>
      <c r="EL125" s="169">
        <v>0</v>
      </c>
      <c r="EM125" s="169">
        <v>0</v>
      </c>
      <c r="EN125" s="59"/>
      <c r="EO125" s="172"/>
      <c r="ES125" s="57">
        <f t="shared" si="101"/>
        <v>5.6728999999999994</v>
      </c>
      <c r="ET125" s="57">
        <f t="shared" si="102"/>
        <v>0</v>
      </c>
      <c r="EU125" s="31"/>
      <c r="EV125" s="61">
        <f t="shared" si="92"/>
        <v>1.792839641100672</v>
      </c>
      <c r="EW125" s="62"/>
      <c r="EX125" s="158">
        <f t="shared" si="149"/>
        <v>-2.767465500000001</v>
      </c>
      <c r="EY125" s="77">
        <f t="shared" ref="EY125:EY138" si="151">ES125*1.344</f>
        <v>7.6243775999999999</v>
      </c>
      <c r="EZ125" s="158">
        <f t="shared" si="93"/>
        <v>10.1706</v>
      </c>
      <c r="FA125" s="158">
        <f t="shared" si="94"/>
        <v>10.1706</v>
      </c>
      <c r="FH125" s="174">
        <f t="shared" si="103"/>
        <v>27832.253724000002</v>
      </c>
      <c r="FJ125" s="87">
        <v>1.3624248620634949</v>
      </c>
      <c r="FK125" s="176">
        <f t="shared" si="104"/>
        <v>1.3159181772309128</v>
      </c>
      <c r="FM125" s="87" t="e">
        <f t="shared" si="105"/>
        <v>#DIV/0!</v>
      </c>
      <c r="FO125" s="88">
        <f t="shared" si="95"/>
        <v>27832.253724000002</v>
      </c>
      <c r="FP125" s="79">
        <f t="shared" si="96"/>
        <v>0</v>
      </c>
      <c r="FS125" s="79">
        <f t="shared" si="97"/>
        <v>15524.117765999998</v>
      </c>
      <c r="FT125" s="79">
        <f t="shared" si="98"/>
        <v>0</v>
      </c>
      <c r="FU125" s="79">
        <f t="shared" si="106"/>
        <v>1.792839641100672</v>
      </c>
      <c r="FV125" s="79" t="e">
        <f t="shared" si="106"/>
        <v>#DIV/0!</v>
      </c>
      <c r="FY125" s="79">
        <f t="shared" si="107"/>
        <v>27832.253724000002</v>
      </c>
      <c r="FZ125" s="79">
        <f t="shared" si="108"/>
        <v>0</v>
      </c>
      <c r="GB125" s="178">
        <f t="shared" si="109"/>
        <v>2736.54</v>
      </c>
      <c r="GC125" s="178">
        <f t="shared" si="110"/>
        <v>0</v>
      </c>
      <c r="GG125" s="14">
        <v>8.008799999999999</v>
      </c>
      <c r="GH125" s="175">
        <f t="shared" si="111"/>
        <v>1.2699280791129759</v>
      </c>
      <c r="GI125" s="14">
        <v>8.008799999999999</v>
      </c>
      <c r="GJ125" s="175">
        <f t="shared" si="112"/>
        <v>1.2699280791129759</v>
      </c>
      <c r="GK125" s="175">
        <f t="shared" si="150"/>
        <v>0</v>
      </c>
      <c r="GN125" s="14">
        <v>10.263</v>
      </c>
      <c r="GO125" s="175">
        <f t="shared" si="113"/>
        <v>1.2814653880731197</v>
      </c>
      <c r="GP125" s="179">
        <f t="shared" si="114"/>
        <v>0.99099678456591644</v>
      </c>
      <c r="GQ125" s="14">
        <v>10.263</v>
      </c>
      <c r="GR125" s="175">
        <f t="shared" si="115"/>
        <v>1.2814653880731197</v>
      </c>
      <c r="GS125" s="175">
        <f t="shared" si="116"/>
        <v>0.99099678456591644</v>
      </c>
      <c r="GV125" s="32">
        <f t="shared" si="117"/>
        <v>27832.253724000002</v>
      </c>
      <c r="GW125" s="32">
        <f t="shared" si="118"/>
        <v>0</v>
      </c>
      <c r="GX125" s="180">
        <f t="shared" si="119"/>
        <v>27832.253724000002</v>
      </c>
      <c r="GZ125" s="32">
        <f t="shared" si="120"/>
        <v>10.1706</v>
      </c>
      <c r="HA125" s="32" t="e">
        <f t="shared" si="121"/>
        <v>#DIV/0!</v>
      </c>
      <c r="HB125" s="32">
        <f t="shared" si="122"/>
        <v>10.1706</v>
      </c>
    </row>
    <row r="126" spans="1:210" ht="19.2" customHeight="1" x14ac:dyDescent="0.3">
      <c r="A126" s="50">
        <v>118</v>
      </c>
      <c r="B126" s="51" t="s">
        <v>696</v>
      </c>
      <c r="C126" s="51"/>
      <c r="D126" s="52">
        <v>5</v>
      </c>
      <c r="E126" s="52">
        <v>6</v>
      </c>
      <c r="F126" s="63">
        <v>90</v>
      </c>
      <c r="G126" s="54" t="s">
        <v>105</v>
      </c>
      <c r="H126" s="181" t="s">
        <v>49</v>
      </c>
      <c r="I126" s="55">
        <f t="shared" si="99"/>
        <v>4408.6000000000004</v>
      </c>
      <c r="J126" s="55">
        <f t="shared" si="79"/>
        <v>0</v>
      </c>
      <c r="K126" s="55">
        <f t="shared" si="80"/>
        <v>29.5</v>
      </c>
      <c r="L126" s="56">
        <v>4438.1000000000004</v>
      </c>
      <c r="M126" s="56">
        <v>4408.6000000000004</v>
      </c>
      <c r="N126" s="56">
        <f t="shared" si="100"/>
        <v>4408.6000000000004</v>
      </c>
      <c r="O126" s="56">
        <v>29.5</v>
      </c>
      <c r="P126" s="56">
        <v>0</v>
      </c>
      <c r="Q126" s="55"/>
      <c r="R126" s="55">
        <v>4438.1000000000004</v>
      </c>
      <c r="S126" s="55"/>
      <c r="T126" s="55">
        <v>0</v>
      </c>
      <c r="U126" s="152">
        <v>4438.1000000000004</v>
      </c>
      <c r="V126" s="57">
        <v>0.1527</v>
      </c>
      <c r="W126" s="153">
        <v>8.5300000000000001E-2</v>
      </c>
      <c r="X126" s="57">
        <v>0.33250000000000002</v>
      </c>
      <c r="Y126" s="57">
        <v>7.4800000000000005E-2</v>
      </c>
      <c r="Z126" s="153">
        <v>3.5999999999999997E-2</v>
      </c>
      <c r="AA126" s="57">
        <v>0.5847</v>
      </c>
      <c r="AB126" s="153">
        <v>0</v>
      </c>
      <c r="AC126" s="57">
        <v>0.63149999999999995</v>
      </c>
      <c r="AD126" s="57">
        <v>0.16039999999999999</v>
      </c>
      <c r="AE126" s="57">
        <v>0</v>
      </c>
      <c r="AF126" s="57">
        <v>2.2827000000000002</v>
      </c>
      <c r="AG126" s="57">
        <v>0.20630000000000001</v>
      </c>
      <c r="AH126" s="57">
        <v>0.30709999999999998</v>
      </c>
      <c r="AI126" s="153">
        <v>9.0999999999999998E-2</v>
      </c>
      <c r="AJ126" s="153">
        <v>0.1021</v>
      </c>
      <c r="AK126" s="153">
        <v>7.0000000000000007E-2</v>
      </c>
      <c r="AL126" s="57">
        <v>0.215</v>
      </c>
      <c r="AM126" s="153">
        <v>3.2300000000000002E-2</v>
      </c>
      <c r="AN126" s="57">
        <v>0</v>
      </c>
      <c r="AO126" s="153">
        <v>2.4348999999999998</v>
      </c>
      <c r="AP126" s="57">
        <v>1.0692999999999999</v>
      </c>
      <c r="AQ126" s="57">
        <v>8.8200000000000001E-2</v>
      </c>
      <c r="AR126" s="153">
        <v>0.42570000000000002</v>
      </c>
      <c r="AS126" s="57">
        <v>5.0799999999999998E-2</v>
      </c>
      <c r="AT126" s="57">
        <v>8.2000000000000007E-3</v>
      </c>
      <c r="AU126" s="153">
        <v>0.2465</v>
      </c>
      <c r="AV126" s="153">
        <v>0</v>
      </c>
      <c r="AW126" s="154">
        <v>9.6880000000000024</v>
      </c>
      <c r="AX126" s="58">
        <v>0.4844</v>
      </c>
      <c r="AY126" s="155">
        <f t="shared" si="81"/>
        <v>0.48</v>
      </c>
      <c r="AZ126" s="155">
        <f t="shared" si="82"/>
        <v>4.400000000000015E-3</v>
      </c>
      <c r="BA126" s="14">
        <v>10.172400000000003</v>
      </c>
      <c r="BB126" s="59">
        <f>BA126-'[1]Тариф 26 свод без  ПДВ'!AU126</f>
        <v>4.0000000000031122E-3</v>
      </c>
      <c r="BC126" s="57">
        <v>0</v>
      </c>
      <c r="BD126" s="57">
        <v>0</v>
      </c>
      <c r="BE126" s="57">
        <v>0</v>
      </c>
      <c r="BF126" s="156">
        <v>9.6880000000000024</v>
      </c>
      <c r="BG126" s="59">
        <v>0.4844</v>
      </c>
      <c r="BH126" s="59"/>
      <c r="BI126" s="59"/>
      <c r="BJ126" s="14">
        <v>10.172400000000003</v>
      </c>
      <c r="BK126" s="60"/>
      <c r="BL126" s="60">
        <v>5.5116000000000023</v>
      </c>
      <c r="BM126" s="60">
        <v>0.27560000000000001</v>
      </c>
      <c r="BN126" s="14">
        <v>5.7872000000000021</v>
      </c>
      <c r="BO126" s="14"/>
      <c r="BP126" s="157"/>
      <c r="BQ126" s="158">
        <f>BJ126-'[1]Тариф 26 свод без  ПДВ'!BG126</f>
        <v>4.0000000000031122E-3</v>
      </c>
      <c r="BR126" s="77">
        <f>'[1]Тариф 26 свод без  ПДВ'!BG126</f>
        <v>10.1684</v>
      </c>
      <c r="BS126" s="159">
        <f t="shared" si="83"/>
        <v>4.0000000000031122E-3</v>
      </c>
      <c r="BU126" s="77">
        <f>'[1]Тариф 26 свод без  ПДВ'!AU126</f>
        <v>10.1684</v>
      </c>
      <c r="BV126" s="159">
        <f t="shared" si="84"/>
        <v>4.0000000000031122E-3</v>
      </c>
      <c r="BX126" s="95">
        <v>4.7296000000000005</v>
      </c>
      <c r="BY126" s="95">
        <v>4.7296000000000005</v>
      </c>
      <c r="BZ126" s="95"/>
      <c r="CA126" s="62">
        <f t="shared" si="85"/>
        <v>2.1507949932341006</v>
      </c>
      <c r="CB126" s="62">
        <f t="shared" si="86"/>
        <v>2.1507949932341006</v>
      </c>
      <c r="CI126" s="160">
        <f>'[1]0 СВОД'!AYY141</f>
        <v>45017.40810760203</v>
      </c>
      <c r="CJ126" s="77">
        <f t="shared" si="87"/>
        <v>540208.89729122433</v>
      </c>
      <c r="CM126" s="161">
        <v>124</v>
      </c>
      <c r="CN126" s="162" t="s">
        <v>697</v>
      </c>
      <c r="CO126" s="163">
        <v>5</v>
      </c>
      <c r="CP126" s="163">
        <v>6</v>
      </c>
      <c r="CQ126" s="164" t="s">
        <v>105</v>
      </c>
      <c r="CR126" s="165" t="s">
        <v>49</v>
      </c>
      <c r="CS126" s="166">
        <v>4408.2</v>
      </c>
      <c r="CT126" s="166">
        <v>0</v>
      </c>
      <c r="CU126" s="167">
        <v>29.5</v>
      </c>
      <c r="CV126" s="168">
        <v>4437.7</v>
      </c>
      <c r="CW126" s="166">
        <v>4408.2</v>
      </c>
      <c r="CX126" s="167">
        <v>29.5</v>
      </c>
      <c r="CY126" s="166">
        <v>0</v>
      </c>
      <c r="CZ126" s="166"/>
      <c r="DA126" s="166">
        <v>4437.7</v>
      </c>
      <c r="DB126" s="166"/>
      <c r="DC126" s="166">
        <v>0</v>
      </c>
      <c r="DD126" s="59">
        <v>0.15</v>
      </c>
      <c r="DE126" s="59">
        <v>0.1482</v>
      </c>
      <c r="DF126" s="59">
        <v>0.21859999999999999</v>
      </c>
      <c r="DG126" s="59">
        <v>4.3999999999999997E-2</v>
      </c>
      <c r="DH126" s="59">
        <v>1.35E-2</v>
      </c>
      <c r="DI126" s="59">
        <v>0.2571</v>
      </c>
      <c r="DJ126" s="59">
        <v>4.8099999999999997E-2</v>
      </c>
      <c r="DK126" s="59">
        <v>0.3458</v>
      </c>
      <c r="DL126" s="169">
        <v>0</v>
      </c>
      <c r="DM126" s="59">
        <v>9.7600000000000006E-2</v>
      </c>
      <c r="DN126" s="169">
        <v>0</v>
      </c>
      <c r="DO126" s="170">
        <v>1.3368</v>
      </c>
      <c r="DP126" s="171">
        <f t="shared" si="88"/>
        <v>2.2827000000000002</v>
      </c>
      <c r="DQ126" s="59">
        <v>9.7600000000000006E-2</v>
      </c>
      <c r="DR126" s="59">
        <v>0.19350000000000001</v>
      </c>
      <c r="DS126" s="59">
        <v>2.3800000000000002E-2</v>
      </c>
      <c r="DT126" s="59">
        <v>4.8099999999999997E-2</v>
      </c>
      <c r="DU126" s="59">
        <v>2.9499999999999998E-2</v>
      </c>
      <c r="DV126" s="59">
        <v>7.51E-2</v>
      </c>
      <c r="DW126" s="59">
        <v>8.6E-3</v>
      </c>
      <c r="DX126" s="169">
        <v>0</v>
      </c>
      <c r="DY126" s="59">
        <v>1.2104999999999999</v>
      </c>
      <c r="DZ126" s="171">
        <f t="shared" si="89"/>
        <v>2.0114828583230069</v>
      </c>
      <c r="EA126" s="59">
        <v>0.64610000000000001</v>
      </c>
      <c r="EB126" s="171">
        <f t="shared" si="90"/>
        <v>1.7915183408141153</v>
      </c>
      <c r="EC126" s="59">
        <v>0.2228</v>
      </c>
      <c r="ED126" s="171">
        <f t="shared" si="91"/>
        <v>1.9106822262118492</v>
      </c>
      <c r="EE126" s="59">
        <v>3.8899999999999997E-2</v>
      </c>
      <c r="EF126" s="59">
        <v>5.4000000000000003E-3</v>
      </c>
      <c r="EG126" s="59">
        <v>0.2074</v>
      </c>
      <c r="EH126" s="59">
        <v>0</v>
      </c>
      <c r="EI126" s="208">
        <v>0.13669999999999999</v>
      </c>
      <c r="EJ126" s="172">
        <v>5.6036999999999999</v>
      </c>
      <c r="EK126" s="173"/>
      <c r="EL126" s="169">
        <v>0</v>
      </c>
      <c r="EM126" s="169">
        <v>0</v>
      </c>
      <c r="EN126" s="59"/>
      <c r="EO126" s="172"/>
      <c r="ES126" s="57">
        <f t="shared" si="101"/>
        <v>5.6036999999999999</v>
      </c>
      <c r="ET126" s="57">
        <f t="shared" si="102"/>
        <v>0</v>
      </c>
      <c r="EU126" s="31"/>
      <c r="EV126" s="61">
        <f t="shared" si="92"/>
        <v>1.8153006049574394</v>
      </c>
      <c r="EW126" s="62"/>
      <c r="EX126" s="158">
        <f t="shared" si="149"/>
        <v>-2.8595715000000039</v>
      </c>
      <c r="EY126" s="77">
        <f t="shared" si="151"/>
        <v>7.5313728000000006</v>
      </c>
      <c r="EZ126" s="158">
        <f t="shared" si="93"/>
        <v>10.172400000000003</v>
      </c>
      <c r="FA126" s="158">
        <f t="shared" si="94"/>
        <v>10.172400000000003</v>
      </c>
      <c r="FH126" s="174">
        <f t="shared" si="103"/>
        <v>45146.128440000015</v>
      </c>
      <c r="FJ126" s="87">
        <v>1.3844067312668416</v>
      </c>
      <c r="FK126" s="176">
        <f t="shared" si="104"/>
        <v>1.3112480342365107</v>
      </c>
      <c r="FM126" s="87" t="e">
        <f t="shared" si="105"/>
        <v>#DIV/0!</v>
      </c>
      <c r="FO126" s="88">
        <f t="shared" si="95"/>
        <v>45146.128440000015</v>
      </c>
      <c r="FP126" s="79">
        <f t="shared" si="96"/>
        <v>0</v>
      </c>
      <c r="FS126" s="79">
        <f t="shared" si="97"/>
        <v>24869.78097</v>
      </c>
      <c r="FT126" s="79">
        <f t="shared" si="98"/>
        <v>0</v>
      </c>
      <c r="FU126" s="79">
        <f t="shared" si="106"/>
        <v>1.8153006049574394</v>
      </c>
      <c r="FV126" s="79" t="e">
        <f t="shared" si="106"/>
        <v>#DIV/0!</v>
      </c>
      <c r="FY126" s="79">
        <f t="shared" si="107"/>
        <v>45146.128440000015</v>
      </c>
      <c r="FZ126" s="79">
        <f t="shared" si="108"/>
        <v>0</v>
      </c>
      <c r="GB126" s="178">
        <f t="shared" si="109"/>
        <v>4438.1000000000004</v>
      </c>
      <c r="GC126" s="178">
        <f t="shared" si="110"/>
        <v>0</v>
      </c>
      <c r="GG126" s="14">
        <v>8.0101999999999993</v>
      </c>
      <c r="GH126" s="175">
        <f t="shared" si="111"/>
        <v>1.2699308381813192</v>
      </c>
      <c r="GI126" s="14">
        <v>8.0101999999999993</v>
      </c>
      <c r="GJ126" s="175">
        <f t="shared" si="112"/>
        <v>1.2699308381813192</v>
      </c>
      <c r="GK126" s="175">
        <f t="shared" si="150"/>
        <v>0</v>
      </c>
      <c r="GN126" s="14">
        <v>10.466100000000001</v>
      </c>
      <c r="GO126" s="175">
        <f t="shared" si="113"/>
        <v>1.3065965893485807</v>
      </c>
      <c r="GP126" s="179">
        <f t="shared" si="114"/>
        <v>0.97193797116404412</v>
      </c>
      <c r="GQ126" s="14">
        <v>10.466100000000001</v>
      </c>
      <c r="GR126" s="175">
        <f t="shared" si="115"/>
        <v>1.3065965893485807</v>
      </c>
      <c r="GS126" s="175">
        <f t="shared" si="116"/>
        <v>0.97193797116404412</v>
      </c>
      <c r="GV126" s="32">
        <f t="shared" si="117"/>
        <v>45146.128440000015</v>
      </c>
      <c r="GW126" s="32">
        <f t="shared" si="118"/>
        <v>0</v>
      </c>
      <c r="GX126" s="180">
        <f t="shared" si="119"/>
        <v>45146.128440000015</v>
      </c>
      <c r="GZ126" s="32">
        <f t="shared" si="120"/>
        <v>10.172400000000003</v>
      </c>
      <c r="HA126" s="32" t="e">
        <f t="shared" si="121"/>
        <v>#DIV/0!</v>
      </c>
      <c r="HB126" s="32">
        <f t="shared" si="122"/>
        <v>10.172400000000003</v>
      </c>
    </row>
    <row r="127" spans="1:210" ht="19.2" customHeight="1" x14ac:dyDescent="0.3">
      <c r="A127" s="50">
        <v>119</v>
      </c>
      <c r="B127" s="51" t="s">
        <v>698</v>
      </c>
      <c r="C127" s="51"/>
      <c r="D127" s="52">
        <v>5</v>
      </c>
      <c r="E127" s="52">
        <v>2</v>
      </c>
      <c r="F127" s="63">
        <v>160</v>
      </c>
      <c r="G127" s="54" t="s">
        <v>106</v>
      </c>
      <c r="H127" s="181" t="s">
        <v>65</v>
      </c>
      <c r="I127" s="55">
        <f t="shared" si="99"/>
        <v>4429.8999999999996</v>
      </c>
      <c r="J127" s="55">
        <f t="shared" si="79"/>
        <v>0</v>
      </c>
      <c r="K127" s="55">
        <f t="shared" si="80"/>
        <v>0</v>
      </c>
      <c r="L127" s="56">
        <v>4429.8999999999996</v>
      </c>
      <c r="M127" s="56">
        <v>4429.8999999999996</v>
      </c>
      <c r="N127" s="56">
        <f t="shared" si="100"/>
        <v>4429.8999999999996</v>
      </c>
      <c r="O127" s="56">
        <v>0</v>
      </c>
      <c r="P127" s="56">
        <v>0</v>
      </c>
      <c r="Q127" s="55"/>
      <c r="R127" s="55">
        <v>4429.8999999999996</v>
      </c>
      <c r="S127" s="55"/>
      <c r="T127" s="55">
        <v>0</v>
      </c>
      <c r="U127" s="152">
        <v>4429.8999999999996</v>
      </c>
      <c r="V127" s="57">
        <v>0.15620000000000001</v>
      </c>
      <c r="W127" s="153">
        <v>8.7599999999999997E-2</v>
      </c>
      <c r="X127" s="57">
        <v>0.33229999999999998</v>
      </c>
      <c r="Y127" s="57">
        <v>7.2999999999999995E-2</v>
      </c>
      <c r="Z127" s="153">
        <v>0</v>
      </c>
      <c r="AA127" s="57">
        <v>0.29980000000000001</v>
      </c>
      <c r="AB127" s="153">
        <v>0</v>
      </c>
      <c r="AC127" s="57">
        <v>0.63149999999999995</v>
      </c>
      <c r="AD127" s="57">
        <v>0.28560000000000002</v>
      </c>
      <c r="AE127" s="57">
        <v>0</v>
      </c>
      <c r="AF127" s="57">
        <v>1.2329000000000001</v>
      </c>
      <c r="AG127" s="57">
        <v>0.21659999999999999</v>
      </c>
      <c r="AH127" s="57">
        <v>0.3105</v>
      </c>
      <c r="AI127" s="153">
        <v>8.2699999999999996E-2</v>
      </c>
      <c r="AJ127" s="153">
        <v>8.7599999999999997E-2</v>
      </c>
      <c r="AK127" s="153">
        <v>0</v>
      </c>
      <c r="AL127" s="57">
        <v>0.11169999999999999</v>
      </c>
      <c r="AM127" s="153">
        <v>3.3700000000000001E-2</v>
      </c>
      <c r="AN127" s="57">
        <v>0</v>
      </c>
      <c r="AO127" s="153">
        <v>2.5726</v>
      </c>
      <c r="AP127" s="57">
        <v>2.3233999999999999</v>
      </c>
      <c r="AQ127" s="57">
        <v>9.9699999999999997E-2</v>
      </c>
      <c r="AR127" s="153">
        <v>0.57040000000000002</v>
      </c>
      <c r="AS127" s="57">
        <v>5.8200000000000002E-2</v>
      </c>
      <c r="AT127" s="57">
        <v>9.4000000000000004E-3</v>
      </c>
      <c r="AU127" s="153">
        <v>0.30609999999999998</v>
      </c>
      <c r="AV127" s="153">
        <v>0</v>
      </c>
      <c r="AW127" s="154">
        <v>9.8814999999999991</v>
      </c>
      <c r="AX127" s="58">
        <v>0.49409999999999998</v>
      </c>
      <c r="AY127" s="155">
        <f t="shared" si="81"/>
        <v>0.48909999999999998</v>
      </c>
      <c r="AZ127" s="155">
        <f t="shared" si="82"/>
        <v>5.0000000000000044E-3</v>
      </c>
      <c r="BA127" s="14">
        <v>10.375599999999999</v>
      </c>
      <c r="BB127" s="59">
        <f>BA127-'[1]Тариф 26 свод без  ПДВ'!AU127</f>
        <v>2.0999999999986585E-3</v>
      </c>
      <c r="BC127" s="57">
        <v>0</v>
      </c>
      <c r="BD127" s="57">
        <v>0</v>
      </c>
      <c r="BE127" s="57">
        <v>0</v>
      </c>
      <c r="BF127" s="156">
        <v>9.8814999999999991</v>
      </c>
      <c r="BG127" s="59">
        <v>0.49409999999999998</v>
      </c>
      <c r="BH127" s="59"/>
      <c r="BI127" s="59"/>
      <c r="BJ127" s="14">
        <v>10.375599999999999</v>
      </c>
      <c r="BK127" s="60"/>
      <c r="BL127" s="60">
        <v>4.109</v>
      </c>
      <c r="BM127" s="60">
        <v>0.20549999999999999</v>
      </c>
      <c r="BN127" s="14">
        <v>4.3144999999999998</v>
      </c>
      <c r="BO127" s="14"/>
      <c r="BP127" s="157"/>
      <c r="BQ127" s="158">
        <f>BJ127-'[1]Тариф 26 свод без  ПДВ'!BG127</f>
        <v>2.0999999999986585E-3</v>
      </c>
      <c r="BR127" s="77">
        <f>'[1]Тариф 26 свод без  ПДВ'!BG127</f>
        <v>10.3735</v>
      </c>
      <c r="BS127" s="159">
        <f t="shared" si="83"/>
        <v>2.0999999999986585E-3</v>
      </c>
      <c r="BU127" s="77">
        <f>'[1]Тариф 26 свод без  ПДВ'!AU127</f>
        <v>10.3735</v>
      </c>
      <c r="BV127" s="159">
        <f t="shared" si="84"/>
        <v>2.0999999999986585E-3</v>
      </c>
      <c r="BX127" s="95">
        <v>4.5973999999999995</v>
      </c>
      <c r="BY127" s="95">
        <v>4.5973999999999995</v>
      </c>
      <c r="BZ127" s="95"/>
      <c r="CA127" s="62">
        <f t="shared" si="85"/>
        <v>2.2568408230739112</v>
      </c>
      <c r="CB127" s="62">
        <f t="shared" si="86"/>
        <v>2.2568408230739112</v>
      </c>
      <c r="CI127" s="160">
        <f>'[1]0 СВОД'!AYY142</f>
        <v>45962.866551378494</v>
      </c>
      <c r="CJ127" s="77">
        <f t="shared" si="87"/>
        <v>551554.39861654188</v>
      </c>
      <c r="CM127" s="161">
        <v>125</v>
      </c>
      <c r="CN127" s="162" t="s">
        <v>699</v>
      </c>
      <c r="CO127" s="163">
        <v>5</v>
      </c>
      <c r="CP127" s="163">
        <v>2</v>
      </c>
      <c r="CQ127" s="164" t="s">
        <v>106</v>
      </c>
      <c r="CR127" s="165" t="s">
        <v>65</v>
      </c>
      <c r="CS127" s="166">
        <v>4412.7</v>
      </c>
      <c r="CT127" s="166">
        <v>0</v>
      </c>
      <c r="CU127" s="167">
        <v>0</v>
      </c>
      <c r="CV127" s="168">
        <v>4412.7</v>
      </c>
      <c r="CW127" s="166">
        <v>4412.7</v>
      </c>
      <c r="CX127" s="167">
        <v>0</v>
      </c>
      <c r="CY127" s="166">
        <v>0</v>
      </c>
      <c r="CZ127" s="166"/>
      <c r="DA127" s="166">
        <v>4412.7</v>
      </c>
      <c r="DB127" s="166"/>
      <c r="DC127" s="166">
        <v>0</v>
      </c>
      <c r="DD127" s="59">
        <v>0.1537</v>
      </c>
      <c r="DE127" s="59">
        <v>0.14280000000000001</v>
      </c>
      <c r="DF127" s="59">
        <v>0.21929999999999999</v>
      </c>
      <c r="DG127" s="59">
        <v>4.2900000000000001E-2</v>
      </c>
      <c r="DH127" s="59">
        <v>0</v>
      </c>
      <c r="DI127" s="59">
        <v>0.12720000000000001</v>
      </c>
      <c r="DJ127" s="59">
        <v>4.8099999999999997E-2</v>
      </c>
      <c r="DK127" s="59">
        <v>0.3458</v>
      </c>
      <c r="DL127" s="169">
        <v>0</v>
      </c>
      <c r="DM127" s="59">
        <v>0.17449999999999999</v>
      </c>
      <c r="DN127" s="169">
        <v>0</v>
      </c>
      <c r="DO127" s="59">
        <v>0.67220000000000002</v>
      </c>
      <c r="DP127" s="171">
        <f t="shared" si="88"/>
        <v>1.2329000000000001</v>
      </c>
      <c r="DQ127" s="59">
        <v>0.10489999999999999</v>
      </c>
      <c r="DR127" s="59">
        <v>0.1865</v>
      </c>
      <c r="DS127" s="59">
        <v>2.1600000000000001E-2</v>
      </c>
      <c r="DT127" s="59">
        <v>4.1500000000000002E-2</v>
      </c>
      <c r="DU127" s="59">
        <v>0</v>
      </c>
      <c r="DV127" s="59">
        <v>3.85E-2</v>
      </c>
      <c r="DW127" s="59">
        <v>9.2999999999999992E-3</v>
      </c>
      <c r="DX127" s="169">
        <v>0</v>
      </c>
      <c r="DY127" s="170">
        <v>1.2343</v>
      </c>
      <c r="DZ127" s="171">
        <f t="shared" si="89"/>
        <v>2.0842582840476385</v>
      </c>
      <c r="EA127" s="59">
        <v>1.3298000000000001</v>
      </c>
      <c r="EB127" s="171">
        <f t="shared" si="90"/>
        <v>1.8221537073244094</v>
      </c>
      <c r="EC127" s="59">
        <v>0.28489999999999999</v>
      </c>
      <c r="ED127" s="171">
        <f t="shared" si="91"/>
        <v>2.0021060021060024</v>
      </c>
      <c r="EE127" s="59">
        <v>4.4699999999999997E-2</v>
      </c>
      <c r="EF127" s="59">
        <v>6.1999999999999998E-3</v>
      </c>
      <c r="EG127" s="59">
        <v>0.33629999999999999</v>
      </c>
      <c r="EH127" s="59">
        <v>0</v>
      </c>
      <c r="EI127" s="208">
        <v>0.1391</v>
      </c>
      <c r="EJ127" s="172">
        <v>5.7041000000000004</v>
      </c>
      <c r="EK127" s="173"/>
      <c r="EL127" s="169">
        <v>0</v>
      </c>
      <c r="EM127" s="169">
        <v>0</v>
      </c>
      <c r="EN127" s="59"/>
      <c r="EO127" s="172"/>
      <c r="ES127" s="57">
        <f t="shared" si="101"/>
        <v>5.7041000000000004</v>
      </c>
      <c r="ET127" s="57">
        <f t="shared" si="102"/>
        <v>0</v>
      </c>
      <c r="EU127" s="31"/>
      <c r="EV127" s="61">
        <f t="shared" si="92"/>
        <v>1.8189723181571147</v>
      </c>
      <c r="EW127" s="62"/>
      <c r="EX127" s="158">
        <f t="shared" si="149"/>
        <v>-2.9317494999999987</v>
      </c>
      <c r="EY127" s="77">
        <f t="shared" si="151"/>
        <v>7.6663104000000013</v>
      </c>
      <c r="EZ127" s="158">
        <f t="shared" si="93"/>
        <v>10.375599999999999</v>
      </c>
      <c r="FA127" s="158">
        <f t="shared" si="94"/>
        <v>10.375599999999999</v>
      </c>
      <c r="FH127" s="174">
        <f t="shared" si="103"/>
        <v>45962.870439999992</v>
      </c>
      <c r="FJ127" s="87">
        <v>1.4346172051682122</v>
      </c>
      <c r="FK127" s="176">
        <f t="shared" si="104"/>
        <v>1.2679147521751881</v>
      </c>
      <c r="FM127" s="87" t="e">
        <f t="shared" si="105"/>
        <v>#DIV/0!</v>
      </c>
      <c r="FO127" s="88">
        <f t="shared" si="95"/>
        <v>45962.870439999992</v>
      </c>
      <c r="FP127" s="79">
        <f t="shared" si="96"/>
        <v>0</v>
      </c>
      <c r="FS127" s="79">
        <f t="shared" si="97"/>
        <v>25268.59259</v>
      </c>
      <c r="FT127" s="79">
        <f t="shared" si="98"/>
        <v>0</v>
      </c>
      <c r="FU127" s="79">
        <f t="shared" si="106"/>
        <v>1.8189723181571147</v>
      </c>
      <c r="FV127" s="79" t="e">
        <f t="shared" si="106"/>
        <v>#DIV/0!</v>
      </c>
      <c r="FY127" s="79">
        <f t="shared" si="107"/>
        <v>45962.870439999992</v>
      </c>
      <c r="FZ127" s="79">
        <f t="shared" si="108"/>
        <v>0</v>
      </c>
      <c r="GB127" s="178">
        <f t="shared" si="109"/>
        <v>4429.8999999999996</v>
      </c>
      <c r="GC127" s="178">
        <f t="shared" si="110"/>
        <v>0</v>
      </c>
      <c r="GG127" s="14">
        <v>8.1702000000000012</v>
      </c>
      <c r="GH127" s="175">
        <f t="shared" si="111"/>
        <v>1.2699321926023839</v>
      </c>
      <c r="GI127" s="14">
        <v>8.1702000000000012</v>
      </c>
      <c r="GJ127" s="175">
        <f t="shared" si="112"/>
        <v>1.2699321926023839</v>
      </c>
      <c r="GK127" s="175">
        <f t="shared" si="150"/>
        <v>0</v>
      </c>
      <c r="GN127" s="14">
        <v>10.505099999999997</v>
      </c>
      <c r="GO127" s="175">
        <f t="shared" si="113"/>
        <v>1.285782477785121</v>
      </c>
      <c r="GP127" s="179">
        <f t="shared" si="114"/>
        <v>0.98767265423461004</v>
      </c>
      <c r="GQ127" s="14">
        <v>10.505099999999997</v>
      </c>
      <c r="GR127" s="175">
        <f t="shared" si="115"/>
        <v>1.285782477785121</v>
      </c>
      <c r="GS127" s="175">
        <f t="shared" si="116"/>
        <v>0.98767265423461004</v>
      </c>
      <c r="GV127" s="32">
        <f t="shared" si="117"/>
        <v>45962.870439999992</v>
      </c>
      <c r="GW127" s="32">
        <f t="shared" si="118"/>
        <v>0</v>
      </c>
      <c r="GX127" s="180">
        <f t="shared" si="119"/>
        <v>45962.870439999992</v>
      </c>
      <c r="GZ127" s="32">
        <f t="shared" si="120"/>
        <v>10.375599999999999</v>
      </c>
      <c r="HA127" s="32" t="e">
        <f t="shared" si="121"/>
        <v>#DIV/0!</v>
      </c>
      <c r="HB127" s="32">
        <f t="shared" si="122"/>
        <v>10.375599999999999</v>
      </c>
    </row>
    <row r="128" spans="1:210" ht="19.2" customHeight="1" x14ac:dyDescent="0.3">
      <c r="A128" s="50">
        <v>120</v>
      </c>
      <c r="B128" s="51" t="s">
        <v>700</v>
      </c>
      <c r="C128" s="51"/>
      <c r="D128" s="52">
        <v>5</v>
      </c>
      <c r="E128" s="52">
        <v>2</v>
      </c>
      <c r="F128" s="63">
        <v>160</v>
      </c>
      <c r="G128" s="54" t="s">
        <v>107</v>
      </c>
      <c r="H128" s="181" t="s">
        <v>65</v>
      </c>
      <c r="I128" s="55">
        <f t="shared" si="99"/>
        <v>4382.8999999999996</v>
      </c>
      <c r="J128" s="55">
        <f t="shared" si="79"/>
        <v>0</v>
      </c>
      <c r="K128" s="55">
        <f t="shared" si="80"/>
        <v>0</v>
      </c>
      <c r="L128" s="56">
        <v>4382.8999999999996</v>
      </c>
      <c r="M128" s="56">
        <v>4382.8999999999996</v>
      </c>
      <c r="N128" s="56">
        <f t="shared" si="100"/>
        <v>4382.8999999999996</v>
      </c>
      <c r="O128" s="56">
        <v>0</v>
      </c>
      <c r="P128" s="56">
        <v>0</v>
      </c>
      <c r="Q128" s="55"/>
      <c r="R128" s="55">
        <v>4382.8999999999996</v>
      </c>
      <c r="S128" s="55"/>
      <c r="T128" s="55">
        <v>0</v>
      </c>
      <c r="U128" s="152">
        <v>4382.8999999999996</v>
      </c>
      <c r="V128" s="57">
        <v>0.1578</v>
      </c>
      <c r="W128" s="153">
        <v>8.8499999999999995E-2</v>
      </c>
      <c r="X128" s="57">
        <v>0.33139999999999997</v>
      </c>
      <c r="Y128" s="57">
        <v>7.3200000000000001E-2</v>
      </c>
      <c r="Z128" s="153">
        <v>0</v>
      </c>
      <c r="AA128" s="57">
        <v>0.30299999999999999</v>
      </c>
      <c r="AB128" s="153">
        <v>0</v>
      </c>
      <c r="AC128" s="57">
        <v>0.63149999999999995</v>
      </c>
      <c r="AD128" s="57">
        <v>0.28870000000000001</v>
      </c>
      <c r="AE128" s="57">
        <v>0</v>
      </c>
      <c r="AF128" s="57">
        <v>1.6358999999999999</v>
      </c>
      <c r="AG128" s="57">
        <v>0.21890000000000001</v>
      </c>
      <c r="AH128" s="57">
        <v>0.31390000000000001</v>
      </c>
      <c r="AI128" s="153">
        <v>8.2299999999999998E-2</v>
      </c>
      <c r="AJ128" s="153">
        <v>8.9399999999999993E-2</v>
      </c>
      <c r="AK128" s="153">
        <v>0</v>
      </c>
      <c r="AL128" s="57">
        <v>0.1129</v>
      </c>
      <c r="AM128" s="153">
        <v>3.4000000000000002E-2</v>
      </c>
      <c r="AN128" s="57">
        <v>0</v>
      </c>
      <c r="AO128" s="153">
        <v>2.3492999999999999</v>
      </c>
      <c r="AP128" s="57">
        <v>1.2828999999999999</v>
      </c>
      <c r="AQ128" s="57">
        <v>0.1119</v>
      </c>
      <c r="AR128" s="153">
        <v>0.4572</v>
      </c>
      <c r="AS128" s="57">
        <v>5.7500000000000002E-2</v>
      </c>
      <c r="AT128" s="57">
        <v>9.2999999999999992E-3</v>
      </c>
      <c r="AU128" s="153">
        <v>0.50780000000000003</v>
      </c>
      <c r="AV128" s="153">
        <v>0</v>
      </c>
      <c r="AW128" s="154">
        <v>9.137299999999998</v>
      </c>
      <c r="AX128" s="58">
        <v>0.45689999999999997</v>
      </c>
      <c r="AY128" s="155">
        <f t="shared" si="81"/>
        <v>0.45129999999999998</v>
      </c>
      <c r="AZ128" s="155">
        <f t="shared" si="82"/>
        <v>5.5999999999999939E-3</v>
      </c>
      <c r="BA128" s="14">
        <v>9.5941999999999972</v>
      </c>
      <c r="BB128" s="59">
        <f>BA128-'[1]Тариф 26 свод без  ПДВ'!AU128</f>
        <v>6.9999999999659224E-4</v>
      </c>
      <c r="BC128" s="57">
        <v>0</v>
      </c>
      <c r="BD128" s="57">
        <v>0</v>
      </c>
      <c r="BE128" s="57">
        <v>0</v>
      </c>
      <c r="BF128" s="156">
        <v>9.137299999999998</v>
      </c>
      <c r="BG128" s="59">
        <v>0.45689999999999997</v>
      </c>
      <c r="BH128" s="59"/>
      <c r="BI128" s="59"/>
      <c r="BJ128" s="14">
        <v>9.5941999999999972</v>
      </c>
      <c r="BK128" s="60"/>
      <c r="BL128" s="60">
        <v>4.5400999999999989</v>
      </c>
      <c r="BM128" s="60">
        <v>0.22700000000000001</v>
      </c>
      <c r="BN128" s="14">
        <v>4.7670999999999992</v>
      </c>
      <c r="BO128" s="14"/>
      <c r="BP128" s="157"/>
      <c r="BQ128" s="158">
        <f>BJ128-'[1]Тариф 26 свод без  ПДВ'!BG128</f>
        <v>6.9999999999659224E-4</v>
      </c>
      <c r="BR128" s="77">
        <f>'[1]Тариф 26 свод без  ПДВ'!BG128</f>
        <v>9.5935000000000006</v>
      </c>
      <c r="BS128" s="159">
        <f t="shared" si="83"/>
        <v>6.9999999999659224E-4</v>
      </c>
      <c r="BU128" s="77">
        <f>'[1]Тариф 26 свод без  ПДВ'!AU128</f>
        <v>9.5935000000000006</v>
      </c>
      <c r="BV128" s="159">
        <f t="shared" si="84"/>
        <v>6.9999999999659224E-4</v>
      </c>
      <c r="BX128" s="95">
        <v>4.5359999999999996</v>
      </c>
      <c r="BY128" s="95">
        <v>4.5359999999999996</v>
      </c>
      <c r="BZ128" s="95"/>
      <c r="CA128" s="182">
        <f t="shared" si="85"/>
        <v>2.1151234567901231</v>
      </c>
      <c r="CB128" s="182">
        <f t="shared" si="86"/>
        <v>2.1151234567901231</v>
      </c>
      <c r="CI128" s="160">
        <f>'[1]0 СВОД'!AYY143</f>
        <v>42050.328134720927</v>
      </c>
      <c r="CJ128" s="77">
        <f t="shared" si="87"/>
        <v>504603.93761665112</v>
      </c>
      <c r="CM128" s="161">
        <v>126</v>
      </c>
      <c r="CN128" s="183" t="s">
        <v>701</v>
      </c>
      <c r="CO128" s="163">
        <v>5</v>
      </c>
      <c r="CP128" s="163">
        <v>2</v>
      </c>
      <c r="CQ128" s="164" t="s">
        <v>107</v>
      </c>
      <c r="CR128" s="165" t="s">
        <v>65</v>
      </c>
      <c r="CS128" s="166">
        <v>4364.8</v>
      </c>
      <c r="CT128" s="166">
        <v>0</v>
      </c>
      <c r="CU128" s="167">
        <v>0</v>
      </c>
      <c r="CV128" s="168">
        <v>4364.8</v>
      </c>
      <c r="CW128" s="166">
        <v>4364.8</v>
      </c>
      <c r="CX128" s="167">
        <v>0</v>
      </c>
      <c r="CY128" s="166">
        <v>0</v>
      </c>
      <c r="CZ128" s="166"/>
      <c r="DA128" s="166">
        <v>4364.8</v>
      </c>
      <c r="DB128" s="166"/>
      <c r="DC128" s="166">
        <v>0</v>
      </c>
      <c r="DD128" s="59">
        <v>0.15540000000000001</v>
      </c>
      <c r="DE128" s="59">
        <v>0.1444</v>
      </c>
      <c r="DF128" s="59">
        <v>0.21879999999999999</v>
      </c>
      <c r="DG128" s="59">
        <v>4.2999999999999997E-2</v>
      </c>
      <c r="DH128" s="59">
        <v>0</v>
      </c>
      <c r="DI128" s="59">
        <v>0.1285</v>
      </c>
      <c r="DJ128" s="59">
        <v>4.8099999999999997E-2</v>
      </c>
      <c r="DK128" s="59">
        <v>0.3458</v>
      </c>
      <c r="DL128" s="169">
        <v>0</v>
      </c>
      <c r="DM128" s="59">
        <v>0.1764</v>
      </c>
      <c r="DN128" s="169">
        <v>0</v>
      </c>
      <c r="DO128" s="184">
        <v>0.80649999999999999</v>
      </c>
      <c r="DP128" s="171">
        <f t="shared" si="88"/>
        <v>1.6358999999999999</v>
      </c>
      <c r="DQ128" s="59">
        <v>0.1061</v>
      </c>
      <c r="DR128" s="59">
        <v>0.1885</v>
      </c>
      <c r="DS128" s="59">
        <v>2.1499999999999998E-2</v>
      </c>
      <c r="DT128" s="59">
        <v>4.24E-2</v>
      </c>
      <c r="DU128" s="59">
        <v>0</v>
      </c>
      <c r="DV128" s="59">
        <v>3.8899999999999997E-2</v>
      </c>
      <c r="DW128" s="59">
        <v>9.4000000000000004E-3</v>
      </c>
      <c r="DX128" s="169">
        <v>0</v>
      </c>
      <c r="DY128" s="59">
        <v>1.1642999999999999</v>
      </c>
      <c r="DZ128" s="171">
        <f t="shared" si="89"/>
        <v>2.0177789229580005</v>
      </c>
      <c r="EA128" s="59">
        <v>0.74409999999999998</v>
      </c>
      <c r="EB128" s="171">
        <f t="shared" si="90"/>
        <v>1.8744792366617391</v>
      </c>
      <c r="EC128" s="59">
        <v>0.22559999999999999</v>
      </c>
      <c r="ED128" s="171">
        <f t="shared" si="91"/>
        <v>2.0265957446808511</v>
      </c>
      <c r="EE128" s="59">
        <v>4.4200000000000003E-2</v>
      </c>
      <c r="EF128" s="59">
        <v>6.1000000000000004E-3</v>
      </c>
      <c r="EG128" s="59">
        <v>0.49880000000000002</v>
      </c>
      <c r="EH128" s="59">
        <v>0</v>
      </c>
      <c r="EI128" s="208">
        <v>0.12889999999999999</v>
      </c>
      <c r="EJ128" s="172">
        <v>5.2857000000000003</v>
      </c>
      <c r="EK128" s="173"/>
      <c r="EL128" s="169">
        <v>0</v>
      </c>
      <c r="EM128" s="169">
        <v>0</v>
      </c>
      <c r="EN128" s="59"/>
      <c r="EO128" s="172"/>
      <c r="ES128" s="57">
        <f t="shared" si="101"/>
        <v>5.2857000000000003</v>
      </c>
      <c r="ET128" s="57">
        <f t="shared" si="102"/>
        <v>0</v>
      </c>
      <c r="EU128" s="31"/>
      <c r="EV128" s="61">
        <f t="shared" si="92"/>
        <v>1.8151238246589849</v>
      </c>
      <c r="EW128" s="62"/>
      <c r="EX128" s="158">
        <f t="shared" si="149"/>
        <v>-2.6963614999999974</v>
      </c>
      <c r="EY128" s="77">
        <f t="shared" si="151"/>
        <v>7.1039808000000004</v>
      </c>
      <c r="EZ128" s="158">
        <f t="shared" si="93"/>
        <v>9.5941999999999972</v>
      </c>
      <c r="FA128" s="158">
        <f t="shared" si="94"/>
        <v>9.5941999999999972</v>
      </c>
      <c r="FH128" s="174">
        <f t="shared" si="103"/>
        <v>42050.419179999983</v>
      </c>
      <c r="FJ128" s="87">
        <v>1.4230849272565602</v>
      </c>
      <c r="FK128" s="176">
        <f t="shared" si="104"/>
        <v>1.2754852432863595</v>
      </c>
      <c r="FM128" s="87" t="e">
        <f t="shared" si="105"/>
        <v>#DIV/0!</v>
      </c>
      <c r="FO128" s="88">
        <f t="shared" si="95"/>
        <v>42050.419179999983</v>
      </c>
      <c r="FP128" s="79">
        <f t="shared" si="96"/>
        <v>0</v>
      </c>
      <c r="FS128" s="79">
        <f t="shared" si="97"/>
        <v>23166.694530000001</v>
      </c>
      <c r="FT128" s="79">
        <f t="shared" si="98"/>
        <v>0</v>
      </c>
      <c r="FU128" s="79">
        <f t="shared" si="106"/>
        <v>1.8151238246589847</v>
      </c>
      <c r="FV128" s="79" t="e">
        <f t="shared" si="106"/>
        <v>#DIV/0!</v>
      </c>
      <c r="FY128" s="79">
        <f t="shared" si="107"/>
        <v>42050.419179999983</v>
      </c>
      <c r="FZ128" s="79">
        <f t="shared" si="108"/>
        <v>0</v>
      </c>
      <c r="GB128" s="178">
        <f t="shared" si="109"/>
        <v>4382.8999999999996</v>
      </c>
      <c r="GC128" s="178">
        <f t="shared" si="110"/>
        <v>0</v>
      </c>
      <c r="GG128" s="14">
        <v>7.5549999999999997</v>
      </c>
      <c r="GH128" s="175">
        <f t="shared" si="111"/>
        <v>1.2699139642620778</v>
      </c>
      <c r="GI128" s="14">
        <v>7.5549999999999997</v>
      </c>
      <c r="GJ128" s="175">
        <f t="shared" si="112"/>
        <v>1.2699139642620778</v>
      </c>
      <c r="GK128" s="175">
        <f t="shared" si="150"/>
        <v>0</v>
      </c>
      <c r="GN128" s="14">
        <v>9.4286999999999992</v>
      </c>
      <c r="GO128" s="175">
        <f t="shared" si="113"/>
        <v>1.2480079417604235</v>
      </c>
      <c r="GP128" s="179">
        <f t="shared" si="114"/>
        <v>1.0175527909467899</v>
      </c>
      <c r="GQ128" s="14">
        <v>9.4286999999999992</v>
      </c>
      <c r="GR128" s="175">
        <f t="shared" si="115"/>
        <v>1.2480079417604235</v>
      </c>
      <c r="GS128" s="175">
        <f t="shared" si="116"/>
        <v>1.0175527909467899</v>
      </c>
      <c r="GV128" s="32">
        <f t="shared" si="117"/>
        <v>42050.419179999983</v>
      </c>
      <c r="GW128" s="32">
        <f t="shared" si="118"/>
        <v>0</v>
      </c>
      <c r="GX128" s="180">
        <f t="shared" si="119"/>
        <v>42050.419179999983</v>
      </c>
      <c r="GZ128" s="32">
        <f t="shared" si="120"/>
        <v>9.5941999999999972</v>
      </c>
      <c r="HA128" s="32" t="e">
        <f t="shared" si="121"/>
        <v>#DIV/0!</v>
      </c>
      <c r="HB128" s="32">
        <f t="shared" si="122"/>
        <v>9.5941999999999972</v>
      </c>
    </row>
    <row r="129" spans="1:210" ht="19.2" customHeight="1" x14ac:dyDescent="0.3">
      <c r="A129" s="50">
        <v>121</v>
      </c>
      <c r="B129" s="51" t="s">
        <v>702</v>
      </c>
      <c r="C129" s="51"/>
      <c r="D129" s="52">
        <v>5</v>
      </c>
      <c r="E129" s="52">
        <v>4</v>
      </c>
      <c r="F129" s="63">
        <v>60</v>
      </c>
      <c r="G129" s="54" t="s">
        <v>108</v>
      </c>
      <c r="H129" s="181" t="s">
        <v>49</v>
      </c>
      <c r="I129" s="55">
        <f t="shared" si="99"/>
        <v>2753</v>
      </c>
      <c r="J129" s="55">
        <f t="shared" si="79"/>
        <v>0</v>
      </c>
      <c r="K129" s="55">
        <f t="shared" si="80"/>
        <v>0</v>
      </c>
      <c r="L129" s="56">
        <v>2753</v>
      </c>
      <c r="M129" s="56">
        <v>2753</v>
      </c>
      <c r="N129" s="56">
        <f t="shared" si="100"/>
        <v>2753</v>
      </c>
      <c r="O129" s="56">
        <v>0</v>
      </c>
      <c r="P129" s="56">
        <v>0</v>
      </c>
      <c r="Q129" s="55"/>
      <c r="R129" s="55">
        <v>2753</v>
      </c>
      <c r="S129" s="55"/>
      <c r="T129" s="55">
        <v>0</v>
      </c>
      <c r="U129" s="152">
        <v>2753</v>
      </c>
      <c r="V129" s="57">
        <v>0.16689999999999999</v>
      </c>
      <c r="W129" s="153">
        <v>9.2499999999999999E-2</v>
      </c>
      <c r="X129" s="57">
        <v>0.3246</v>
      </c>
      <c r="Y129" s="57">
        <v>7.4200000000000002E-2</v>
      </c>
      <c r="Z129" s="153">
        <v>2.9000000000000001E-2</v>
      </c>
      <c r="AA129" s="57">
        <v>0.49959999999999999</v>
      </c>
      <c r="AB129" s="153">
        <v>0</v>
      </c>
      <c r="AC129" s="57">
        <v>0.63149999999999995</v>
      </c>
      <c r="AD129" s="57">
        <v>0.17230000000000001</v>
      </c>
      <c r="AE129" s="57">
        <v>0</v>
      </c>
      <c r="AF129" s="57">
        <v>1.2352000000000001</v>
      </c>
      <c r="AG129" s="57">
        <v>0.22120000000000001</v>
      </c>
      <c r="AH129" s="57">
        <v>0.3281</v>
      </c>
      <c r="AI129" s="153">
        <v>8.7900000000000006E-2</v>
      </c>
      <c r="AJ129" s="153">
        <v>0.1027</v>
      </c>
      <c r="AK129" s="153">
        <v>5.6500000000000002E-2</v>
      </c>
      <c r="AL129" s="57">
        <v>0.17219999999999999</v>
      </c>
      <c r="AM129" s="153">
        <v>3.3599999999999998E-2</v>
      </c>
      <c r="AN129" s="57">
        <v>0</v>
      </c>
      <c r="AO129" s="153">
        <v>3.4823</v>
      </c>
      <c r="AP129" s="57">
        <v>1.127</v>
      </c>
      <c r="AQ129" s="57">
        <v>8.8499999999999995E-2</v>
      </c>
      <c r="AR129" s="153">
        <v>0.76139999999999997</v>
      </c>
      <c r="AS129" s="57">
        <v>5.1400000000000001E-2</v>
      </c>
      <c r="AT129" s="57">
        <v>8.3000000000000001E-3</v>
      </c>
      <c r="AU129" s="153">
        <v>0.2331</v>
      </c>
      <c r="AV129" s="153">
        <v>0</v>
      </c>
      <c r="AW129" s="154">
        <v>9.98</v>
      </c>
      <c r="AX129" s="58">
        <v>0.499</v>
      </c>
      <c r="AY129" s="155">
        <f t="shared" si="81"/>
        <v>0.49459999999999998</v>
      </c>
      <c r="AZ129" s="155">
        <f t="shared" si="82"/>
        <v>4.400000000000015E-3</v>
      </c>
      <c r="BA129" s="14">
        <v>10.479000000000001</v>
      </c>
      <c r="BB129" s="59">
        <f>BA129-'[1]Тариф 26 свод без  ПДВ'!AU129</f>
        <v>-5.4999999999996163E-3</v>
      </c>
      <c r="BC129" s="57">
        <v>0</v>
      </c>
      <c r="BD129" s="57">
        <v>0</v>
      </c>
      <c r="BE129" s="57">
        <v>0</v>
      </c>
      <c r="BF129" s="156">
        <v>9.98</v>
      </c>
      <c r="BG129" s="59">
        <v>0.499</v>
      </c>
      <c r="BH129" s="59"/>
      <c r="BI129" s="59"/>
      <c r="BJ129" s="14">
        <v>10.479000000000001</v>
      </c>
      <c r="BK129" s="60"/>
      <c r="BL129" s="60">
        <v>4.3762000000000008</v>
      </c>
      <c r="BM129" s="60">
        <v>0.21879999999999999</v>
      </c>
      <c r="BN129" s="14">
        <v>4.5950000000000006</v>
      </c>
      <c r="BO129" s="14"/>
      <c r="BP129" s="157"/>
      <c r="BQ129" s="158">
        <f>BJ129-'[1]Тариф 26 свод без  ПДВ'!BG129</f>
        <v>-5.4999999999996163E-3</v>
      </c>
      <c r="BR129" s="77">
        <f>'[1]Тариф 26 свод без  ПДВ'!BG129</f>
        <v>10.484500000000001</v>
      </c>
      <c r="BS129" s="159">
        <f t="shared" si="83"/>
        <v>-5.4999999999996163E-3</v>
      </c>
      <c r="BU129" s="77">
        <f>'[1]Тариф 26 свод без  ПДВ'!AU129</f>
        <v>10.484500000000001</v>
      </c>
      <c r="BV129" s="159">
        <f t="shared" si="84"/>
        <v>-5.4999999999996163E-3</v>
      </c>
      <c r="BX129" s="95">
        <v>4.5026000000000002</v>
      </c>
      <c r="BY129" s="95">
        <v>5.6711999999999998</v>
      </c>
      <c r="BZ129" s="95"/>
      <c r="CA129" s="182">
        <f t="shared" si="85"/>
        <v>2.3273219917381072</v>
      </c>
      <c r="CB129" s="182">
        <f t="shared" si="86"/>
        <v>1.8477570884468897</v>
      </c>
      <c r="CD129" s="160">
        <f>L129-CE129</f>
        <v>2753</v>
      </c>
      <c r="CE129" s="160">
        <f>T129</f>
        <v>0</v>
      </c>
      <c r="CF129" s="77">
        <f>CD129*BA129</f>
        <v>28848.687000000002</v>
      </c>
      <c r="CG129" s="77">
        <f>BJ129*CE129</f>
        <v>0</v>
      </c>
      <c r="CI129" s="160">
        <f>'[1]0 СВОД'!AYY144</f>
        <v>28849.929116071526</v>
      </c>
      <c r="CJ129" s="77">
        <f t="shared" si="87"/>
        <v>346199.14939285832</v>
      </c>
      <c r="CM129" s="161">
        <v>127</v>
      </c>
      <c r="CN129" s="162" t="s">
        <v>703</v>
      </c>
      <c r="CO129" s="163">
        <v>5</v>
      </c>
      <c r="CP129" s="163">
        <v>4</v>
      </c>
      <c r="CQ129" s="164" t="s">
        <v>108</v>
      </c>
      <c r="CR129" s="165" t="s">
        <v>49</v>
      </c>
      <c r="CS129" s="166">
        <v>2752.9</v>
      </c>
      <c r="CT129" s="166">
        <v>0</v>
      </c>
      <c r="CU129" s="167">
        <v>0</v>
      </c>
      <c r="CV129" s="168">
        <v>2752.9</v>
      </c>
      <c r="CW129" s="166">
        <v>2752.9</v>
      </c>
      <c r="CX129" s="167">
        <v>0</v>
      </c>
      <c r="CY129" s="166">
        <v>0</v>
      </c>
      <c r="CZ129" s="166"/>
      <c r="DA129" s="166">
        <v>2752.9</v>
      </c>
      <c r="DB129" s="166"/>
      <c r="DC129" s="166">
        <v>0</v>
      </c>
      <c r="DD129" s="59">
        <v>0.16370000000000001</v>
      </c>
      <c r="DE129" s="59">
        <v>0.15029999999999999</v>
      </c>
      <c r="DF129" s="59">
        <v>0.21329999999999999</v>
      </c>
      <c r="DG129" s="59">
        <v>4.3700000000000003E-2</v>
      </c>
      <c r="DH129" s="59">
        <v>1.09E-2</v>
      </c>
      <c r="DI129" s="59">
        <v>0.21740000000000001</v>
      </c>
      <c r="DJ129" s="59">
        <v>4.8099999999999997E-2</v>
      </c>
      <c r="DK129" s="59">
        <v>0.3458</v>
      </c>
      <c r="DL129" s="169">
        <v>0</v>
      </c>
      <c r="DM129" s="59">
        <v>0.10489999999999999</v>
      </c>
      <c r="DN129" s="169">
        <v>0</v>
      </c>
      <c r="DO129" s="170">
        <v>0.76649999999999996</v>
      </c>
      <c r="DP129" s="171">
        <f t="shared" si="88"/>
        <v>1.2352000000000001</v>
      </c>
      <c r="DQ129" s="59">
        <v>0.1065</v>
      </c>
      <c r="DR129" s="59">
        <v>0.1963</v>
      </c>
      <c r="DS129" s="59">
        <v>2.29E-2</v>
      </c>
      <c r="DT129" s="59">
        <v>4.8399999999999999E-2</v>
      </c>
      <c r="DU129" s="59">
        <v>2.3800000000000002E-2</v>
      </c>
      <c r="DV129" s="59">
        <v>0.06</v>
      </c>
      <c r="DW129" s="59">
        <v>9.1999999999999998E-3</v>
      </c>
      <c r="DX129" s="169">
        <v>0</v>
      </c>
      <c r="DY129" s="170">
        <v>1.8342000000000001</v>
      </c>
      <c r="DZ129" s="171">
        <f t="shared" si="89"/>
        <v>1.8985388725329844</v>
      </c>
      <c r="EA129" s="59">
        <v>0.6784</v>
      </c>
      <c r="EB129" s="171">
        <f t="shared" si="90"/>
        <v>1.7917158018867925</v>
      </c>
      <c r="EC129" s="59">
        <v>0.43530000000000002</v>
      </c>
      <c r="ED129" s="171">
        <f t="shared" si="91"/>
        <v>1.7491385251550653</v>
      </c>
      <c r="EE129" s="59">
        <v>3.9300000000000002E-2</v>
      </c>
      <c r="EF129" s="59">
        <v>5.4999999999999997E-3</v>
      </c>
      <c r="EG129" s="59">
        <v>0.20630000000000001</v>
      </c>
      <c r="EH129" s="59">
        <v>0</v>
      </c>
      <c r="EI129" s="208">
        <v>0.14330000000000001</v>
      </c>
      <c r="EJ129" s="172">
        <v>5.8739999999999988</v>
      </c>
      <c r="EK129" s="173"/>
      <c r="EL129" s="169">
        <v>0</v>
      </c>
      <c r="EM129" s="169">
        <v>0</v>
      </c>
      <c r="EN129" s="59"/>
      <c r="EO129" s="172"/>
      <c r="ES129" s="57">
        <f t="shared" si="101"/>
        <v>5.8739999999999988</v>
      </c>
      <c r="ET129" s="57">
        <f t="shared" si="102"/>
        <v>0</v>
      </c>
      <c r="EU129" s="31"/>
      <c r="EV129" s="61">
        <f t="shared" si="92"/>
        <v>1.783963227783453</v>
      </c>
      <c r="EW129" s="182"/>
      <c r="EX129" s="158">
        <f t="shared" si="149"/>
        <v>-2.813430000000003</v>
      </c>
      <c r="EY129" s="77">
        <f t="shared" si="151"/>
        <v>7.8946559999999986</v>
      </c>
      <c r="EZ129" s="158">
        <f t="shared" si="93"/>
        <v>10.479000000000001</v>
      </c>
      <c r="FA129" s="158">
        <f t="shared" si="94"/>
        <v>10.479000000000001</v>
      </c>
      <c r="FH129" s="174">
        <f t="shared" si="103"/>
        <v>28848.687000000002</v>
      </c>
      <c r="FJ129" s="87">
        <v>1.4058392917943481</v>
      </c>
      <c r="FK129" s="176">
        <f t="shared" si="104"/>
        <v>1.2689666864457068</v>
      </c>
      <c r="FM129" s="87" t="e">
        <f t="shared" si="105"/>
        <v>#DIV/0!</v>
      </c>
      <c r="FO129" s="88">
        <f t="shared" si="95"/>
        <v>28848.687000000002</v>
      </c>
      <c r="FP129" s="79">
        <f t="shared" si="96"/>
        <v>0</v>
      </c>
      <c r="FS129" s="79">
        <f t="shared" si="97"/>
        <v>16171.121999999996</v>
      </c>
      <c r="FT129" s="79">
        <f t="shared" si="98"/>
        <v>0</v>
      </c>
      <c r="FU129" s="79">
        <f t="shared" si="106"/>
        <v>1.7839632277834532</v>
      </c>
      <c r="FV129" s="79" t="e">
        <f t="shared" si="106"/>
        <v>#DIV/0!</v>
      </c>
      <c r="FY129" s="79">
        <f t="shared" si="107"/>
        <v>28848.687000000002</v>
      </c>
      <c r="FZ129" s="79">
        <f t="shared" si="108"/>
        <v>0</v>
      </c>
      <c r="GB129" s="178">
        <f t="shared" si="109"/>
        <v>2753</v>
      </c>
      <c r="GC129" s="178">
        <f t="shared" si="110"/>
        <v>0</v>
      </c>
      <c r="GG129" s="14">
        <v>8.2516999999999996</v>
      </c>
      <c r="GH129" s="175">
        <f t="shared" si="111"/>
        <v>1.2699201376686018</v>
      </c>
      <c r="GI129" s="14">
        <v>8.2516999999999996</v>
      </c>
      <c r="GJ129" s="175">
        <f t="shared" si="112"/>
        <v>1.2699201376686018</v>
      </c>
      <c r="GK129" s="175">
        <f t="shared" si="150"/>
        <v>0</v>
      </c>
      <c r="GN129" s="14">
        <v>10.768899999999999</v>
      </c>
      <c r="GO129" s="175">
        <f t="shared" si="113"/>
        <v>1.3050522922549292</v>
      </c>
      <c r="GP129" s="179">
        <f t="shared" si="114"/>
        <v>0.97307988745368634</v>
      </c>
      <c r="GQ129" s="14">
        <v>10.768899999999999</v>
      </c>
      <c r="GR129" s="175">
        <f t="shared" si="115"/>
        <v>1.3050522922549292</v>
      </c>
      <c r="GS129" s="175">
        <f t="shared" si="116"/>
        <v>0.97307988745368634</v>
      </c>
      <c r="GV129" s="32">
        <f t="shared" si="117"/>
        <v>28848.687000000002</v>
      </c>
      <c r="GW129" s="32">
        <f t="shared" si="118"/>
        <v>0</v>
      </c>
      <c r="GX129" s="180">
        <f t="shared" si="119"/>
        <v>28848.687000000002</v>
      </c>
      <c r="GZ129" s="32">
        <f t="shared" si="120"/>
        <v>10.479000000000001</v>
      </c>
      <c r="HA129" s="32" t="e">
        <f t="shared" si="121"/>
        <v>#DIV/0!</v>
      </c>
      <c r="HB129" s="32">
        <f t="shared" si="122"/>
        <v>10.479000000000001</v>
      </c>
    </row>
    <row r="130" spans="1:210" ht="19.2" customHeight="1" x14ac:dyDescent="0.3">
      <c r="A130" s="50">
        <v>122</v>
      </c>
      <c r="B130" s="51" t="s">
        <v>704</v>
      </c>
      <c r="C130" s="51"/>
      <c r="D130" s="52">
        <v>5</v>
      </c>
      <c r="E130" s="52">
        <v>4</v>
      </c>
      <c r="F130" s="63">
        <v>60</v>
      </c>
      <c r="G130" s="54" t="s">
        <v>109</v>
      </c>
      <c r="H130" s="181" t="s">
        <v>49</v>
      </c>
      <c r="I130" s="55">
        <f t="shared" si="99"/>
        <v>2775.3</v>
      </c>
      <c r="J130" s="55">
        <f t="shared" si="79"/>
        <v>0</v>
      </c>
      <c r="K130" s="55">
        <f t="shared" si="80"/>
        <v>0</v>
      </c>
      <c r="L130" s="56">
        <v>2775.3</v>
      </c>
      <c r="M130" s="56">
        <v>2775.3</v>
      </c>
      <c r="N130" s="56">
        <f t="shared" si="100"/>
        <v>2775.3</v>
      </c>
      <c r="O130" s="56">
        <v>0</v>
      </c>
      <c r="P130" s="56">
        <v>0</v>
      </c>
      <c r="Q130" s="55"/>
      <c r="R130" s="55">
        <v>2775.3</v>
      </c>
      <c r="S130" s="55"/>
      <c r="T130" s="55">
        <v>0</v>
      </c>
      <c r="U130" s="152">
        <v>2775.3</v>
      </c>
      <c r="V130" s="57">
        <v>0.1656</v>
      </c>
      <c r="W130" s="153">
        <v>9.1800000000000007E-2</v>
      </c>
      <c r="X130" s="57">
        <v>0.32469999999999999</v>
      </c>
      <c r="Y130" s="57">
        <v>7.3999999999999996E-2</v>
      </c>
      <c r="Z130" s="153">
        <v>2.8799999999999999E-2</v>
      </c>
      <c r="AA130" s="57">
        <v>0.49559999999999998</v>
      </c>
      <c r="AB130" s="153">
        <v>0</v>
      </c>
      <c r="AC130" s="57">
        <v>0.63149999999999995</v>
      </c>
      <c r="AD130" s="57">
        <v>0.17100000000000001</v>
      </c>
      <c r="AE130" s="57">
        <v>0</v>
      </c>
      <c r="AF130" s="57">
        <v>1.4713000000000001</v>
      </c>
      <c r="AG130" s="57">
        <v>0.2195</v>
      </c>
      <c r="AH130" s="57">
        <v>0.32550000000000001</v>
      </c>
      <c r="AI130" s="153">
        <v>8.7800000000000003E-2</v>
      </c>
      <c r="AJ130" s="153">
        <v>0.1014</v>
      </c>
      <c r="AK130" s="153">
        <v>5.6000000000000001E-2</v>
      </c>
      <c r="AL130" s="57">
        <v>0.1709</v>
      </c>
      <c r="AM130" s="153">
        <v>3.3399999999999999E-2</v>
      </c>
      <c r="AN130" s="57">
        <v>0</v>
      </c>
      <c r="AO130" s="153">
        <v>3.3380000000000001</v>
      </c>
      <c r="AP130" s="57">
        <v>1.1065</v>
      </c>
      <c r="AQ130" s="57">
        <v>8.7800000000000003E-2</v>
      </c>
      <c r="AR130" s="153">
        <v>0.66200000000000003</v>
      </c>
      <c r="AS130" s="57">
        <v>5.0999999999999997E-2</v>
      </c>
      <c r="AT130" s="57">
        <v>8.3000000000000001E-3</v>
      </c>
      <c r="AU130" s="153">
        <v>0.1958</v>
      </c>
      <c r="AV130" s="153">
        <v>0</v>
      </c>
      <c r="AW130" s="154">
        <v>9.898200000000001</v>
      </c>
      <c r="AX130" s="58">
        <v>0.49490000000000001</v>
      </c>
      <c r="AY130" s="155">
        <f t="shared" si="81"/>
        <v>0.49049999999999999</v>
      </c>
      <c r="AZ130" s="155">
        <f t="shared" si="82"/>
        <v>4.400000000000015E-3</v>
      </c>
      <c r="BA130" s="14">
        <v>10.3931</v>
      </c>
      <c r="BB130" s="59">
        <f>BA130-'[1]Тариф 26 свод без  ПДВ'!AU130</f>
        <v>2.7000000000008129E-3</v>
      </c>
      <c r="BC130" s="57">
        <v>0</v>
      </c>
      <c r="BD130" s="57">
        <v>0</v>
      </c>
      <c r="BE130" s="57">
        <v>0</v>
      </c>
      <c r="BF130" s="156">
        <v>9.898200000000001</v>
      </c>
      <c r="BG130" s="59">
        <v>0.49490000000000001</v>
      </c>
      <c r="BH130" s="59"/>
      <c r="BI130" s="59"/>
      <c r="BJ130" s="14">
        <v>10.3931</v>
      </c>
      <c r="BK130" s="60"/>
      <c r="BL130" s="60">
        <v>4.5958999999999994</v>
      </c>
      <c r="BM130" s="60">
        <v>0.2298</v>
      </c>
      <c r="BN130" s="14">
        <v>4.8256999999999994</v>
      </c>
      <c r="BO130" s="14"/>
      <c r="BP130" s="157"/>
      <c r="BQ130" s="158">
        <f>BJ130-'[1]Тариф 26 свод без  ПДВ'!BG130</f>
        <v>2.7000000000008129E-3</v>
      </c>
      <c r="BR130" s="77">
        <f>'[1]Тариф 26 свод без  ПДВ'!BG130</f>
        <v>10.3904</v>
      </c>
      <c r="BS130" s="159">
        <f t="shared" si="83"/>
        <v>2.7000000000008129E-3</v>
      </c>
      <c r="BU130" s="77">
        <f>'[1]Тариф 26 свод без  ПДВ'!AU130</f>
        <v>10.3904</v>
      </c>
      <c r="BV130" s="159">
        <f t="shared" si="84"/>
        <v>2.7000000000008129E-3</v>
      </c>
      <c r="BX130" s="95">
        <v>4.5754000000000001</v>
      </c>
      <c r="BY130" s="95">
        <v>4.5754000000000001</v>
      </c>
      <c r="BZ130" s="95"/>
      <c r="CA130" s="62">
        <f t="shared" si="85"/>
        <v>2.2715172443939329</v>
      </c>
      <c r="CB130" s="62">
        <f t="shared" si="86"/>
        <v>2.2715172443939329</v>
      </c>
      <c r="CI130" s="160">
        <f>'[1]0 СВОД'!AYY145</f>
        <v>28843.976059261968</v>
      </c>
      <c r="CJ130" s="77">
        <f t="shared" si="87"/>
        <v>346127.7127111436</v>
      </c>
      <c r="CM130" s="161">
        <v>128</v>
      </c>
      <c r="CN130" s="162" t="s">
        <v>705</v>
      </c>
      <c r="CO130" s="163">
        <v>5</v>
      </c>
      <c r="CP130" s="163">
        <v>4</v>
      </c>
      <c r="CQ130" s="164" t="s">
        <v>109</v>
      </c>
      <c r="CR130" s="165" t="s">
        <v>49</v>
      </c>
      <c r="CS130" s="166">
        <v>2771.2</v>
      </c>
      <c r="CT130" s="166">
        <v>0</v>
      </c>
      <c r="CU130" s="167">
        <v>0</v>
      </c>
      <c r="CV130" s="168">
        <v>2771.2</v>
      </c>
      <c r="CW130" s="166">
        <v>2771.2</v>
      </c>
      <c r="CX130" s="167">
        <v>0</v>
      </c>
      <c r="CY130" s="166">
        <v>0</v>
      </c>
      <c r="CZ130" s="166"/>
      <c r="DA130" s="166">
        <v>2771.2</v>
      </c>
      <c r="DB130" s="166"/>
      <c r="DC130" s="166">
        <v>0</v>
      </c>
      <c r="DD130" s="59">
        <v>0.16270000000000001</v>
      </c>
      <c r="DE130" s="59">
        <v>0.14929999999999999</v>
      </c>
      <c r="DF130" s="59">
        <v>0.21379999999999999</v>
      </c>
      <c r="DG130" s="59">
        <v>4.36E-2</v>
      </c>
      <c r="DH130" s="59">
        <v>1.0800000000000001E-2</v>
      </c>
      <c r="DI130" s="59">
        <v>0.216</v>
      </c>
      <c r="DJ130" s="59">
        <v>4.8099999999999997E-2</v>
      </c>
      <c r="DK130" s="59">
        <v>0.3458</v>
      </c>
      <c r="DL130" s="169">
        <v>0</v>
      </c>
      <c r="DM130" s="59">
        <v>0.1042</v>
      </c>
      <c r="DN130" s="169">
        <v>0</v>
      </c>
      <c r="DO130" s="170">
        <v>0.9547000000000001</v>
      </c>
      <c r="DP130" s="171">
        <f t="shared" si="88"/>
        <v>1.4713000000000001</v>
      </c>
      <c r="DQ130" s="59">
        <v>0.10580000000000001</v>
      </c>
      <c r="DR130" s="59">
        <v>0.19500000000000001</v>
      </c>
      <c r="DS130" s="59">
        <v>2.29E-2</v>
      </c>
      <c r="DT130" s="59">
        <v>4.7800000000000002E-2</v>
      </c>
      <c r="DU130" s="59">
        <v>2.3699999999999999E-2</v>
      </c>
      <c r="DV130" s="59">
        <v>5.96E-2</v>
      </c>
      <c r="DW130" s="59">
        <v>9.1000000000000004E-3</v>
      </c>
      <c r="DX130" s="169">
        <v>0</v>
      </c>
      <c r="DY130" s="170">
        <v>1.7547999999999999</v>
      </c>
      <c r="DZ130" s="171">
        <f t="shared" si="89"/>
        <v>1.9022110781855484</v>
      </c>
      <c r="EA130" s="59">
        <v>0.66749999999999998</v>
      </c>
      <c r="EB130" s="171">
        <f t="shared" si="90"/>
        <v>1.7892134831460678</v>
      </c>
      <c r="EC130" s="59">
        <v>0.38279999999999997</v>
      </c>
      <c r="ED130" s="171">
        <f t="shared" si="91"/>
        <v>1.7293625914315571</v>
      </c>
      <c r="EE130" s="59">
        <v>3.9100000000000003E-2</v>
      </c>
      <c r="EF130" s="59">
        <v>5.4000000000000003E-3</v>
      </c>
      <c r="EG130" s="59">
        <v>0.1153</v>
      </c>
      <c r="EH130" s="59">
        <v>0</v>
      </c>
      <c r="EI130" s="208">
        <v>0.1419</v>
      </c>
      <c r="EJ130" s="172">
        <v>5.819700000000001</v>
      </c>
      <c r="EK130" s="173"/>
      <c r="EL130" s="169">
        <v>0</v>
      </c>
      <c r="EM130" s="169">
        <v>0</v>
      </c>
      <c r="EN130" s="59"/>
      <c r="EO130" s="172"/>
      <c r="ES130" s="57">
        <f t="shared" si="101"/>
        <v>5.819700000000001</v>
      </c>
      <c r="ET130" s="57">
        <f t="shared" si="102"/>
        <v>0</v>
      </c>
      <c r="EU130" s="31"/>
      <c r="EV130" s="61">
        <f t="shared" si="92"/>
        <v>1.7858480677698161</v>
      </c>
      <c r="EW130" s="62"/>
      <c r="EX130" s="158">
        <f t="shared" si="149"/>
        <v>-2.7983914999999993</v>
      </c>
      <c r="EY130" s="77">
        <f t="shared" si="151"/>
        <v>7.8216768000000014</v>
      </c>
      <c r="EZ130" s="158">
        <f t="shared" si="93"/>
        <v>10.3931</v>
      </c>
      <c r="FA130" s="158">
        <f t="shared" si="94"/>
        <v>10.3931</v>
      </c>
      <c r="FH130" s="174">
        <f t="shared" si="103"/>
        <v>28843.970430000005</v>
      </c>
      <c r="FJ130" s="87">
        <v>1.4019279344296098</v>
      </c>
      <c r="FK130" s="176">
        <f t="shared" si="104"/>
        <v>1.2738515467960974</v>
      </c>
      <c r="FM130" s="87" t="e">
        <f t="shared" si="105"/>
        <v>#DIV/0!</v>
      </c>
      <c r="FO130" s="88">
        <f t="shared" si="95"/>
        <v>28843.970430000005</v>
      </c>
      <c r="FP130" s="79">
        <f t="shared" si="96"/>
        <v>0</v>
      </c>
      <c r="FS130" s="79">
        <f t="shared" si="97"/>
        <v>16151.413410000005</v>
      </c>
      <c r="FT130" s="79">
        <f t="shared" si="98"/>
        <v>0</v>
      </c>
      <c r="FU130" s="79">
        <f t="shared" si="106"/>
        <v>1.7858480677698161</v>
      </c>
      <c r="FV130" s="79" t="e">
        <f t="shared" si="106"/>
        <v>#DIV/0!</v>
      </c>
      <c r="FY130" s="79">
        <f t="shared" si="107"/>
        <v>28843.970430000005</v>
      </c>
      <c r="FZ130" s="79">
        <f t="shared" si="108"/>
        <v>0</v>
      </c>
      <c r="GB130" s="178">
        <f t="shared" si="109"/>
        <v>2775.3</v>
      </c>
      <c r="GC130" s="178">
        <f t="shared" si="110"/>
        <v>0</v>
      </c>
      <c r="GG130" s="14">
        <v>8.1838999999999995</v>
      </c>
      <c r="GH130" s="175">
        <f t="shared" si="111"/>
        <v>1.2699446474174905</v>
      </c>
      <c r="GI130" s="14">
        <v>8.1838999999999995</v>
      </c>
      <c r="GJ130" s="175">
        <f t="shared" si="112"/>
        <v>1.2699446474174905</v>
      </c>
      <c r="GK130" s="175">
        <f t="shared" si="150"/>
        <v>0</v>
      </c>
      <c r="GN130" s="14">
        <v>10.7128</v>
      </c>
      <c r="GO130" s="175">
        <f t="shared" si="113"/>
        <v>1.3090091521157394</v>
      </c>
      <c r="GP130" s="179">
        <f t="shared" si="114"/>
        <v>0.97015719513105825</v>
      </c>
      <c r="GQ130" s="14">
        <v>10.7128</v>
      </c>
      <c r="GR130" s="175">
        <f t="shared" si="115"/>
        <v>1.3090091521157394</v>
      </c>
      <c r="GS130" s="175">
        <f t="shared" si="116"/>
        <v>0.97015719513105825</v>
      </c>
      <c r="GV130" s="32">
        <f t="shared" si="117"/>
        <v>28843.970430000005</v>
      </c>
      <c r="GW130" s="32">
        <f t="shared" si="118"/>
        <v>0</v>
      </c>
      <c r="GX130" s="180">
        <f t="shared" si="119"/>
        <v>28843.970430000005</v>
      </c>
      <c r="GZ130" s="32">
        <f t="shared" si="120"/>
        <v>10.3931</v>
      </c>
      <c r="HA130" s="32" t="e">
        <f t="shared" si="121"/>
        <v>#DIV/0!</v>
      </c>
      <c r="HB130" s="32">
        <f t="shared" si="122"/>
        <v>10.3931</v>
      </c>
    </row>
    <row r="131" spans="1:210" ht="19.2" customHeight="1" x14ac:dyDescent="0.3">
      <c r="A131" s="50">
        <v>123</v>
      </c>
      <c r="B131" s="51" t="s">
        <v>706</v>
      </c>
      <c r="C131" s="51"/>
      <c r="D131" s="52">
        <v>5</v>
      </c>
      <c r="E131" s="52">
        <v>6</v>
      </c>
      <c r="F131" s="63">
        <v>94</v>
      </c>
      <c r="G131" s="54" t="s">
        <v>110</v>
      </c>
      <c r="H131" s="181" t="s">
        <v>56</v>
      </c>
      <c r="I131" s="55">
        <f t="shared" si="99"/>
        <v>4373.63</v>
      </c>
      <c r="J131" s="55">
        <f t="shared" si="79"/>
        <v>0</v>
      </c>
      <c r="K131" s="55">
        <f t="shared" si="80"/>
        <v>66.2</v>
      </c>
      <c r="L131" s="56">
        <v>4439.83</v>
      </c>
      <c r="M131" s="56">
        <v>4373.63</v>
      </c>
      <c r="N131" s="56">
        <f t="shared" si="100"/>
        <v>4373.63</v>
      </c>
      <c r="O131" s="56">
        <v>66.2</v>
      </c>
      <c r="P131" s="56">
        <v>0</v>
      </c>
      <c r="Q131" s="55"/>
      <c r="R131" s="55">
        <v>4439.83</v>
      </c>
      <c r="S131" s="55"/>
      <c r="T131" s="55">
        <v>0</v>
      </c>
      <c r="U131" s="152">
        <v>4439.83</v>
      </c>
      <c r="V131" s="57">
        <v>0.15629999999999999</v>
      </c>
      <c r="W131" s="153">
        <v>0.10349999999999999</v>
      </c>
      <c r="X131" s="57">
        <v>0.33229999999999998</v>
      </c>
      <c r="Y131" s="57">
        <v>7.46E-2</v>
      </c>
      <c r="Z131" s="153">
        <v>0</v>
      </c>
      <c r="AA131" s="57">
        <v>0.59989999999999999</v>
      </c>
      <c r="AB131" s="153">
        <v>0</v>
      </c>
      <c r="AC131" s="57">
        <v>0.63149999999999995</v>
      </c>
      <c r="AD131" s="57">
        <v>0.16739999999999999</v>
      </c>
      <c r="AE131" s="57">
        <v>0</v>
      </c>
      <c r="AF131" s="57">
        <v>1.3461000000000001</v>
      </c>
      <c r="AG131" s="57">
        <v>0.2152</v>
      </c>
      <c r="AH131" s="57">
        <v>0.36699999999999999</v>
      </c>
      <c r="AI131" s="153">
        <v>9.0300000000000005E-2</v>
      </c>
      <c r="AJ131" s="153">
        <v>0.1013</v>
      </c>
      <c r="AK131" s="153">
        <v>0</v>
      </c>
      <c r="AL131" s="57">
        <v>0.21740000000000001</v>
      </c>
      <c r="AM131" s="153">
        <v>3.3500000000000002E-2</v>
      </c>
      <c r="AN131" s="57">
        <v>0</v>
      </c>
      <c r="AO131" s="153">
        <v>2.2534999999999998</v>
      </c>
      <c r="AP131" s="57">
        <v>1.0321</v>
      </c>
      <c r="AQ131" s="57">
        <v>9.1200000000000003E-2</v>
      </c>
      <c r="AR131" s="153">
        <v>0.43080000000000002</v>
      </c>
      <c r="AS131" s="57">
        <v>5.3699999999999998E-2</v>
      </c>
      <c r="AT131" s="57">
        <v>8.6999999999999994E-3</v>
      </c>
      <c r="AU131" s="153">
        <v>0.29349999999999998</v>
      </c>
      <c r="AV131" s="153">
        <v>0</v>
      </c>
      <c r="AW131" s="154">
        <v>8.5997999999999966</v>
      </c>
      <c r="AX131" s="58">
        <v>0.43</v>
      </c>
      <c r="AY131" s="155">
        <f t="shared" si="81"/>
        <v>0.4254</v>
      </c>
      <c r="AZ131" s="155">
        <f t="shared" si="82"/>
        <v>4.599999999999993E-3</v>
      </c>
      <c r="BA131" s="14">
        <v>9.0297999999999963</v>
      </c>
      <c r="BB131" s="59">
        <f>BA131-'[1]Тариф 26 свод без  ПДВ'!AU131</f>
        <v>-2.1000000000039876E-3</v>
      </c>
      <c r="BC131" s="57">
        <v>0</v>
      </c>
      <c r="BD131" s="57">
        <v>0</v>
      </c>
      <c r="BE131" s="57">
        <v>0</v>
      </c>
      <c r="BF131" s="156">
        <v>8.5997999999999966</v>
      </c>
      <c r="BG131" s="59">
        <v>0.43</v>
      </c>
      <c r="BH131" s="59"/>
      <c r="BI131" s="59"/>
      <c r="BJ131" s="14">
        <v>9.0297999999999963</v>
      </c>
      <c r="BK131" s="60"/>
      <c r="BL131" s="60">
        <v>4.5898999999999974</v>
      </c>
      <c r="BM131" s="60">
        <v>0.22950000000000001</v>
      </c>
      <c r="BN131" s="14">
        <v>4.8193999999999972</v>
      </c>
      <c r="BO131" s="14"/>
      <c r="BP131" s="157"/>
      <c r="BQ131" s="158">
        <f>BJ131-'[1]Тариф 26 свод без  ПДВ'!BG131</f>
        <v>-2.1000000000039876E-3</v>
      </c>
      <c r="BR131" s="77">
        <f>'[1]Тариф 26 свод без  ПДВ'!BG131</f>
        <v>9.0319000000000003</v>
      </c>
      <c r="BS131" s="159">
        <f t="shared" si="83"/>
        <v>-2.1000000000039876E-3</v>
      </c>
      <c r="BU131" s="77">
        <f>'[1]Тариф 26 свод без  ПДВ'!AU131</f>
        <v>9.0319000000000003</v>
      </c>
      <c r="BV131" s="159">
        <f t="shared" si="84"/>
        <v>-2.1000000000039876E-3</v>
      </c>
      <c r="BX131" s="95">
        <v>4.5372000000000003</v>
      </c>
      <c r="BY131" s="95">
        <v>4.5372000000000003</v>
      </c>
      <c r="BZ131" s="95"/>
      <c r="CA131" s="62">
        <f t="shared" si="85"/>
        <v>1.9901701489905659</v>
      </c>
      <c r="CB131" s="62">
        <f t="shared" si="86"/>
        <v>1.9901701489905659</v>
      </c>
      <c r="CI131" s="160">
        <f>'[1]0 СВОД'!AYY146</f>
        <v>39812.047198581335</v>
      </c>
      <c r="CJ131" s="77">
        <f t="shared" si="87"/>
        <v>477744.56638297602</v>
      </c>
      <c r="CM131" s="161">
        <v>129</v>
      </c>
      <c r="CN131" s="162" t="s">
        <v>707</v>
      </c>
      <c r="CO131" s="163">
        <v>5</v>
      </c>
      <c r="CP131" s="163">
        <v>6</v>
      </c>
      <c r="CQ131" s="164" t="s">
        <v>110</v>
      </c>
      <c r="CR131" s="165" t="s">
        <v>56</v>
      </c>
      <c r="CS131" s="166">
        <v>4369.93</v>
      </c>
      <c r="CT131" s="166">
        <v>0</v>
      </c>
      <c r="CU131" s="167">
        <v>66.2</v>
      </c>
      <c r="CV131" s="168">
        <v>4436.13</v>
      </c>
      <c r="CW131" s="166">
        <v>4369.93</v>
      </c>
      <c r="CX131" s="167">
        <v>66.2</v>
      </c>
      <c r="CY131" s="166">
        <v>-1.8474111129762605E-13</v>
      </c>
      <c r="CZ131" s="166"/>
      <c r="DA131" s="166">
        <v>4436.13</v>
      </c>
      <c r="DB131" s="166"/>
      <c r="DC131" s="166">
        <v>0</v>
      </c>
      <c r="DD131" s="59">
        <v>0.1593</v>
      </c>
      <c r="DE131" s="59">
        <v>0.16830000000000001</v>
      </c>
      <c r="DF131" s="59">
        <v>0.21870000000000001</v>
      </c>
      <c r="DG131" s="59">
        <v>4.3900000000000002E-2</v>
      </c>
      <c r="DH131" s="59">
        <v>0</v>
      </c>
      <c r="DI131" s="59">
        <v>0.26390000000000002</v>
      </c>
      <c r="DJ131" s="59">
        <v>4.8099999999999997E-2</v>
      </c>
      <c r="DK131" s="59">
        <v>0.3458</v>
      </c>
      <c r="DL131" s="169">
        <v>0</v>
      </c>
      <c r="DM131" s="59">
        <v>0.10199999999999999</v>
      </c>
      <c r="DN131" s="169">
        <v>0</v>
      </c>
      <c r="DO131" s="170">
        <v>0.68479999999999996</v>
      </c>
      <c r="DP131" s="171">
        <f t="shared" si="88"/>
        <v>1.3461000000000001</v>
      </c>
      <c r="DQ131" s="59">
        <v>0.1037</v>
      </c>
      <c r="DR131" s="59">
        <v>0.21970000000000001</v>
      </c>
      <c r="DS131" s="59">
        <v>2.3599999999999999E-2</v>
      </c>
      <c r="DT131" s="59">
        <v>4.7699999999999999E-2</v>
      </c>
      <c r="DU131" s="59">
        <v>0</v>
      </c>
      <c r="DV131" s="59">
        <v>7.5999999999999998E-2</v>
      </c>
      <c r="DW131" s="59">
        <v>9.1000000000000004E-3</v>
      </c>
      <c r="DX131" s="169">
        <v>0</v>
      </c>
      <c r="DY131" s="59">
        <v>1.1106</v>
      </c>
      <c r="DZ131" s="171">
        <f t="shared" si="89"/>
        <v>2.0290833783540427</v>
      </c>
      <c r="EA131" s="59">
        <v>0.60329999999999995</v>
      </c>
      <c r="EB131" s="171">
        <f t="shared" si="90"/>
        <v>1.8619260732637164</v>
      </c>
      <c r="EC131" s="59">
        <v>0.2109</v>
      </c>
      <c r="ED131" s="171">
        <f t="shared" si="91"/>
        <v>2.0426742532005688</v>
      </c>
      <c r="EE131" s="59">
        <v>4.1099999999999998E-2</v>
      </c>
      <c r="EF131" s="59">
        <v>5.7000000000000002E-3</v>
      </c>
      <c r="EG131" s="59">
        <v>0.35110000000000002</v>
      </c>
      <c r="EH131" s="59">
        <v>0</v>
      </c>
      <c r="EI131" s="208">
        <v>0.12089999999999999</v>
      </c>
      <c r="EJ131" s="172">
        <v>4.9581999999999997</v>
      </c>
      <c r="EK131" s="173"/>
      <c r="EL131" s="169">
        <v>0</v>
      </c>
      <c r="EM131" s="169">
        <v>0</v>
      </c>
      <c r="EN131" s="59"/>
      <c r="EO131" s="172"/>
      <c r="ES131" s="57">
        <f t="shared" si="101"/>
        <v>4.9581999999999997</v>
      </c>
      <c r="ET131" s="57">
        <f t="shared" si="102"/>
        <v>0</v>
      </c>
      <c r="EU131" s="31"/>
      <c r="EV131" s="61">
        <f t="shared" si="92"/>
        <v>1.8211851074986884</v>
      </c>
      <c r="EW131" s="62"/>
      <c r="EX131" s="158">
        <f t="shared" si="149"/>
        <v>-2.5593489999999965</v>
      </c>
      <c r="EY131" s="77">
        <f t="shared" si="151"/>
        <v>6.6638207999999999</v>
      </c>
      <c r="EZ131" s="158">
        <f t="shared" si="93"/>
        <v>9.0297999999999963</v>
      </c>
      <c r="FA131" s="158">
        <f t="shared" si="94"/>
        <v>9.0297999999999963</v>
      </c>
      <c r="FH131" s="174">
        <f t="shared" si="103"/>
        <v>40090.77693399998</v>
      </c>
      <c r="FJ131" s="87">
        <v>1.4365495542737285</v>
      </c>
      <c r="FK131" s="176">
        <f t="shared" si="104"/>
        <v>1.2677495893411201</v>
      </c>
      <c r="FM131" s="87" t="e">
        <f t="shared" si="105"/>
        <v>#DIV/0!</v>
      </c>
      <c r="FO131" s="88">
        <f t="shared" si="95"/>
        <v>40090.77693399998</v>
      </c>
      <c r="FP131" s="79">
        <f t="shared" si="96"/>
        <v>0</v>
      </c>
      <c r="FS131" s="79">
        <f t="shared" si="97"/>
        <v>22013.565105999998</v>
      </c>
      <c r="FT131" s="79">
        <f t="shared" si="98"/>
        <v>0</v>
      </c>
      <c r="FU131" s="79">
        <f t="shared" si="106"/>
        <v>1.8211851074986882</v>
      </c>
      <c r="FV131" s="79" t="e">
        <f t="shared" si="106"/>
        <v>#DIV/0!</v>
      </c>
      <c r="FY131" s="79">
        <f t="shared" si="107"/>
        <v>40090.77693399998</v>
      </c>
      <c r="FZ131" s="79">
        <f t="shared" si="108"/>
        <v>0</v>
      </c>
      <c r="GB131" s="178">
        <f t="shared" si="109"/>
        <v>4439.83</v>
      </c>
      <c r="GC131" s="178">
        <f t="shared" si="110"/>
        <v>0</v>
      </c>
      <c r="GG131" s="14">
        <v>7.1104000000000003</v>
      </c>
      <c r="GH131" s="175">
        <f t="shared" si="111"/>
        <v>1.2699426192619256</v>
      </c>
      <c r="GI131" s="14">
        <v>7.1104000000000003</v>
      </c>
      <c r="GJ131" s="175">
        <f t="shared" si="112"/>
        <v>1.2699426192619256</v>
      </c>
      <c r="GK131" s="175">
        <f t="shared" si="150"/>
        <v>0</v>
      </c>
      <c r="GN131" s="14">
        <v>8.9762000000000022</v>
      </c>
      <c r="GO131" s="175">
        <f t="shared" si="113"/>
        <v>1.262404365436544</v>
      </c>
      <c r="GP131" s="179">
        <f t="shared" si="114"/>
        <v>1.005971346449499</v>
      </c>
      <c r="GQ131" s="14">
        <v>8.9762000000000022</v>
      </c>
      <c r="GR131" s="175">
        <f t="shared" si="115"/>
        <v>1.262404365436544</v>
      </c>
      <c r="GS131" s="175">
        <f t="shared" si="116"/>
        <v>1.005971346449499</v>
      </c>
      <c r="GV131" s="32">
        <f t="shared" si="117"/>
        <v>40090.77693399998</v>
      </c>
      <c r="GW131" s="32">
        <f t="shared" si="118"/>
        <v>0</v>
      </c>
      <c r="GX131" s="180">
        <f t="shared" si="119"/>
        <v>40090.77693399998</v>
      </c>
      <c r="GZ131" s="32">
        <f t="shared" si="120"/>
        <v>9.0297999999999963</v>
      </c>
      <c r="HA131" s="32" t="e">
        <f t="shared" si="121"/>
        <v>#DIV/0!</v>
      </c>
      <c r="HB131" s="32">
        <f t="shared" si="122"/>
        <v>9.0297999999999963</v>
      </c>
    </row>
    <row r="132" spans="1:210" ht="19.2" customHeight="1" x14ac:dyDescent="0.3">
      <c r="A132" s="50">
        <v>124</v>
      </c>
      <c r="B132" s="51" t="s">
        <v>708</v>
      </c>
      <c r="C132" s="51"/>
      <c r="D132" s="52">
        <v>5</v>
      </c>
      <c r="E132" s="52">
        <v>2</v>
      </c>
      <c r="F132" s="63">
        <v>120</v>
      </c>
      <c r="G132" s="54" t="s">
        <v>111</v>
      </c>
      <c r="H132" s="181" t="s">
        <v>65</v>
      </c>
      <c r="I132" s="55">
        <f t="shared" si="99"/>
        <v>3357.89</v>
      </c>
      <c r="J132" s="55">
        <f t="shared" si="79"/>
        <v>0</v>
      </c>
      <c r="K132" s="55">
        <f t="shared" si="80"/>
        <v>0</v>
      </c>
      <c r="L132" s="56">
        <v>3357.89</v>
      </c>
      <c r="M132" s="56">
        <v>3357.89</v>
      </c>
      <c r="N132" s="56">
        <f t="shared" si="100"/>
        <v>3357.89</v>
      </c>
      <c r="O132" s="56">
        <v>0</v>
      </c>
      <c r="P132" s="56">
        <v>0</v>
      </c>
      <c r="Q132" s="55"/>
      <c r="R132" s="55">
        <v>3357.89</v>
      </c>
      <c r="S132" s="55"/>
      <c r="T132" s="55">
        <v>0</v>
      </c>
      <c r="U132" s="152">
        <v>3357.89</v>
      </c>
      <c r="V132" s="57">
        <v>0.18429999999999999</v>
      </c>
      <c r="W132" s="153">
        <v>0.11360000000000001</v>
      </c>
      <c r="X132" s="57">
        <v>0.32740000000000002</v>
      </c>
      <c r="Y132" s="57">
        <v>7.4499999999999997E-2</v>
      </c>
      <c r="Z132" s="153">
        <v>0</v>
      </c>
      <c r="AA132" s="57">
        <v>0.3649</v>
      </c>
      <c r="AB132" s="153">
        <v>0</v>
      </c>
      <c r="AC132" s="57">
        <v>0.63149999999999995</v>
      </c>
      <c r="AD132" s="57">
        <v>0.28260000000000002</v>
      </c>
      <c r="AE132" s="57">
        <v>0</v>
      </c>
      <c r="AF132" s="57">
        <v>1.6414</v>
      </c>
      <c r="AG132" s="57">
        <v>0.25240000000000001</v>
      </c>
      <c r="AH132" s="57">
        <v>0.40279999999999999</v>
      </c>
      <c r="AI132" s="153">
        <v>8.2600000000000007E-2</v>
      </c>
      <c r="AJ132" s="153">
        <v>0.1074</v>
      </c>
      <c r="AK132" s="153">
        <v>0</v>
      </c>
      <c r="AL132" s="57">
        <v>0.12870000000000001</v>
      </c>
      <c r="AM132" s="153">
        <v>3.2800000000000003E-2</v>
      </c>
      <c r="AN132" s="57">
        <v>0</v>
      </c>
      <c r="AO132" s="153">
        <v>2.1581999999999999</v>
      </c>
      <c r="AP132" s="57">
        <v>0.53039999999999998</v>
      </c>
      <c r="AQ132" s="57">
        <v>9.7900000000000001E-2</v>
      </c>
      <c r="AR132" s="153">
        <v>0.50160000000000005</v>
      </c>
      <c r="AS132" s="57">
        <v>5.4300000000000001E-2</v>
      </c>
      <c r="AT132" s="57">
        <v>8.8000000000000005E-3</v>
      </c>
      <c r="AU132" s="153">
        <v>0.62119999999999997</v>
      </c>
      <c r="AV132" s="153">
        <v>0</v>
      </c>
      <c r="AW132" s="154">
        <v>8.5992999999999995</v>
      </c>
      <c r="AX132" s="58">
        <v>0.43</v>
      </c>
      <c r="AY132" s="155">
        <f t="shared" si="81"/>
        <v>0.42509999999999998</v>
      </c>
      <c r="AZ132" s="155">
        <f t="shared" si="82"/>
        <v>4.9000000000000155E-3</v>
      </c>
      <c r="BA132" s="14">
        <v>9.0292999999999992</v>
      </c>
      <c r="BB132" s="59">
        <f>BA132-'[1]Тариф 26 свод без  ПДВ'!AU132</f>
        <v>-1.800000000001134E-3</v>
      </c>
      <c r="BC132" s="57">
        <v>0</v>
      </c>
      <c r="BD132" s="57">
        <v>0</v>
      </c>
      <c r="BE132" s="57">
        <v>0</v>
      </c>
      <c r="BF132" s="156">
        <v>8.5992999999999995</v>
      </c>
      <c r="BG132" s="59">
        <v>0.43</v>
      </c>
      <c r="BH132" s="59"/>
      <c r="BI132" s="59"/>
      <c r="BJ132" s="14">
        <v>9.0292999999999992</v>
      </c>
      <c r="BK132" s="60"/>
      <c r="BL132" s="60">
        <v>4.7878999999999996</v>
      </c>
      <c r="BM132" s="60">
        <v>0.2394</v>
      </c>
      <c r="BN132" s="14">
        <v>5.0272999999999994</v>
      </c>
      <c r="BO132" s="14"/>
      <c r="BP132" s="157"/>
      <c r="BQ132" s="158">
        <f>BJ132-'[1]Тариф 26 свод без  ПДВ'!BG132</f>
        <v>-1.800000000001134E-3</v>
      </c>
      <c r="BR132" s="77">
        <f>'[1]Тариф 26 свод без  ПДВ'!BG132</f>
        <v>9.0311000000000003</v>
      </c>
      <c r="BS132" s="159">
        <f t="shared" si="83"/>
        <v>-1.800000000001134E-3</v>
      </c>
      <c r="BU132" s="77">
        <f>'[1]Тариф 26 свод без  ПДВ'!AU132</f>
        <v>9.0311000000000003</v>
      </c>
      <c r="BV132" s="159">
        <f t="shared" si="84"/>
        <v>-1.800000000001134E-3</v>
      </c>
      <c r="BX132" s="95">
        <v>4.4820000000000002</v>
      </c>
      <c r="BY132" s="95">
        <v>4.4820000000000002</v>
      </c>
      <c r="BZ132" s="95"/>
      <c r="CA132" s="62">
        <f t="shared" si="85"/>
        <v>2.0145693886657741</v>
      </c>
      <c r="CB132" s="62">
        <f t="shared" si="86"/>
        <v>2.0145693886657741</v>
      </c>
      <c r="CI132" s="160">
        <f>'[1]0 СВОД'!AYY147</f>
        <v>30319.005044480749</v>
      </c>
      <c r="CJ132" s="77">
        <f t="shared" si="87"/>
        <v>363828.06053376896</v>
      </c>
      <c r="CM132" s="161">
        <v>130</v>
      </c>
      <c r="CN132" s="183" t="s">
        <v>709</v>
      </c>
      <c r="CO132" s="163">
        <v>5</v>
      </c>
      <c r="CP132" s="163">
        <v>2</v>
      </c>
      <c r="CQ132" s="164" t="s">
        <v>111</v>
      </c>
      <c r="CR132" s="165" t="s">
        <v>65</v>
      </c>
      <c r="CS132" s="166">
        <v>3351.65</v>
      </c>
      <c r="CT132" s="166">
        <v>0</v>
      </c>
      <c r="CU132" s="167">
        <v>0</v>
      </c>
      <c r="CV132" s="168">
        <v>3351.65</v>
      </c>
      <c r="CW132" s="166">
        <v>3351.65</v>
      </c>
      <c r="CX132" s="167">
        <v>0</v>
      </c>
      <c r="CY132" s="166">
        <v>0</v>
      </c>
      <c r="CZ132" s="166"/>
      <c r="DA132" s="166">
        <v>3351.65</v>
      </c>
      <c r="DB132" s="166"/>
      <c r="DC132" s="166">
        <v>0</v>
      </c>
      <c r="DD132" s="59">
        <v>0.1812</v>
      </c>
      <c r="DE132" s="59">
        <v>0.18490000000000001</v>
      </c>
      <c r="DF132" s="59">
        <v>0.21560000000000001</v>
      </c>
      <c r="DG132" s="59">
        <v>4.36E-2</v>
      </c>
      <c r="DH132" s="59">
        <v>0</v>
      </c>
      <c r="DI132" s="59">
        <v>0.15329999999999999</v>
      </c>
      <c r="DJ132" s="59">
        <v>4.8099999999999997E-2</v>
      </c>
      <c r="DK132" s="59">
        <v>0.3458</v>
      </c>
      <c r="DL132" s="169">
        <v>0</v>
      </c>
      <c r="DM132" s="59">
        <v>0.17230000000000001</v>
      </c>
      <c r="DN132" s="169">
        <v>0</v>
      </c>
      <c r="DO132" s="184">
        <v>0.92019999999999991</v>
      </c>
      <c r="DP132" s="171">
        <f t="shared" si="88"/>
        <v>1.6414</v>
      </c>
      <c r="DQ132" s="59">
        <v>0.122</v>
      </c>
      <c r="DR132" s="59">
        <v>0.2414</v>
      </c>
      <c r="DS132" s="59">
        <v>2.1499999999999998E-2</v>
      </c>
      <c r="DT132" s="59">
        <v>5.0799999999999998E-2</v>
      </c>
      <c r="DU132" s="59">
        <v>0</v>
      </c>
      <c r="DV132" s="59">
        <v>4.4299999999999999E-2</v>
      </c>
      <c r="DW132" s="59">
        <v>8.8999999999999999E-3</v>
      </c>
      <c r="DX132" s="169">
        <v>0</v>
      </c>
      <c r="DY132" s="59">
        <v>1.0794999999999999</v>
      </c>
      <c r="DZ132" s="171">
        <f t="shared" si="89"/>
        <v>1.9992589161648913</v>
      </c>
      <c r="EA132" s="59">
        <v>0.3196</v>
      </c>
      <c r="EB132" s="171">
        <f t="shared" si="90"/>
        <v>1.965894868585732</v>
      </c>
      <c r="EC132" s="59">
        <v>0.248</v>
      </c>
      <c r="ED132" s="171">
        <f t="shared" si="91"/>
        <v>2.0225806451612907</v>
      </c>
      <c r="EE132" s="59">
        <v>4.1599999999999998E-2</v>
      </c>
      <c r="EF132" s="59">
        <v>5.7999999999999996E-3</v>
      </c>
      <c r="EG132" s="59">
        <v>0.67879999999999996</v>
      </c>
      <c r="EH132" s="59">
        <v>0</v>
      </c>
      <c r="EI132" s="208">
        <v>0.12820000000000001</v>
      </c>
      <c r="EJ132" s="172">
        <v>5.255399999999999</v>
      </c>
      <c r="EK132" s="173"/>
      <c r="EL132" s="169">
        <v>0</v>
      </c>
      <c r="EM132" s="169">
        <v>0</v>
      </c>
      <c r="EN132" s="59"/>
      <c r="EO132" s="172"/>
      <c r="ES132" s="57">
        <f t="shared" si="101"/>
        <v>5.255399999999999</v>
      </c>
      <c r="ET132" s="57">
        <f t="shared" si="102"/>
        <v>0</v>
      </c>
      <c r="EU132" s="31"/>
      <c r="EV132" s="61">
        <f t="shared" si="92"/>
        <v>1.7180994786315029</v>
      </c>
      <c r="EW132" s="62"/>
      <c r="EX132" s="158">
        <f t="shared" si="149"/>
        <v>-2.1710030000000007</v>
      </c>
      <c r="EY132" s="77">
        <f t="shared" si="151"/>
        <v>7.0632575999999991</v>
      </c>
      <c r="EZ132" s="158">
        <f t="shared" si="93"/>
        <v>9.0292999999999992</v>
      </c>
      <c r="FA132" s="158">
        <f t="shared" si="94"/>
        <v>9.0292999999999992</v>
      </c>
      <c r="FH132" s="174">
        <f t="shared" si="103"/>
        <v>30319.396176999995</v>
      </c>
      <c r="FJ132" s="87">
        <v>1.4238497545381896</v>
      </c>
      <c r="FK132" s="176">
        <f t="shared" si="104"/>
        <v>1.2066578465568161</v>
      </c>
      <c r="FM132" s="87" t="e">
        <f t="shared" si="105"/>
        <v>#DIV/0!</v>
      </c>
      <c r="FO132" s="88">
        <f t="shared" si="95"/>
        <v>30319.396176999995</v>
      </c>
      <c r="FP132" s="79">
        <f t="shared" si="96"/>
        <v>0</v>
      </c>
      <c r="FS132" s="79">
        <f t="shared" si="97"/>
        <v>17647.055105999996</v>
      </c>
      <c r="FT132" s="79">
        <f t="shared" si="98"/>
        <v>0</v>
      </c>
      <c r="FU132" s="79">
        <f t="shared" si="106"/>
        <v>1.7180994786315029</v>
      </c>
      <c r="FV132" s="79" t="e">
        <f t="shared" si="106"/>
        <v>#DIV/0!</v>
      </c>
      <c r="FY132" s="79">
        <f t="shared" si="107"/>
        <v>30319.396176999995</v>
      </c>
      <c r="FZ132" s="79">
        <f t="shared" si="108"/>
        <v>0</v>
      </c>
      <c r="GB132" s="178">
        <f t="shared" si="109"/>
        <v>3357.89</v>
      </c>
      <c r="GC132" s="178">
        <f t="shared" si="110"/>
        <v>0</v>
      </c>
      <c r="GG132" s="14">
        <v>7.5390999999999995</v>
      </c>
      <c r="GH132" s="175">
        <f t="shared" si="111"/>
        <v>1.1976628510034355</v>
      </c>
      <c r="GI132" s="14">
        <v>7.5390999999999995</v>
      </c>
      <c r="GJ132" s="175">
        <f t="shared" si="112"/>
        <v>1.1976628510034355</v>
      </c>
      <c r="GK132" s="175">
        <f t="shared" si="150"/>
        <v>0</v>
      </c>
      <c r="GN132" s="14">
        <v>9.0599999999999987</v>
      </c>
      <c r="GO132" s="175">
        <f t="shared" si="113"/>
        <v>1.2017349551007415</v>
      </c>
      <c r="GP132" s="179">
        <f t="shared" si="114"/>
        <v>0.99661147902869762</v>
      </c>
      <c r="GQ132" s="14">
        <v>9.0599999999999987</v>
      </c>
      <c r="GR132" s="175">
        <f t="shared" si="115"/>
        <v>1.2017349551007415</v>
      </c>
      <c r="GS132" s="175">
        <f t="shared" si="116"/>
        <v>0.99661147902869762</v>
      </c>
      <c r="GV132" s="32">
        <f t="shared" si="117"/>
        <v>30319.396176999995</v>
      </c>
      <c r="GW132" s="32">
        <f t="shared" si="118"/>
        <v>0</v>
      </c>
      <c r="GX132" s="180">
        <f t="shared" si="119"/>
        <v>30319.396176999995</v>
      </c>
      <c r="GZ132" s="32">
        <f t="shared" si="120"/>
        <v>9.0292999999999992</v>
      </c>
      <c r="HA132" s="32" t="e">
        <f t="shared" si="121"/>
        <v>#DIV/0!</v>
      </c>
      <c r="HB132" s="32">
        <f t="shared" si="122"/>
        <v>9.0292999999999992</v>
      </c>
    </row>
    <row r="133" spans="1:210" ht="19.2" customHeight="1" x14ac:dyDescent="0.3">
      <c r="A133" s="50">
        <v>125</v>
      </c>
      <c r="B133" s="51" t="s">
        <v>710</v>
      </c>
      <c r="C133" s="51"/>
      <c r="D133" s="52">
        <v>5</v>
      </c>
      <c r="E133" s="52">
        <v>2</v>
      </c>
      <c r="F133" s="63">
        <v>120</v>
      </c>
      <c r="G133" s="54" t="s">
        <v>112</v>
      </c>
      <c r="H133" s="181" t="s">
        <v>65</v>
      </c>
      <c r="I133" s="55">
        <f t="shared" si="99"/>
        <v>3343.62</v>
      </c>
      <c r="J133" s="55">
        <f t="shared" si="79"/>
        <v>0</v>
      </c>
      <c r="K133" s="55">
        <f t="shared" si="80"/>
        <v>0</v>
      </c>
      <c r="L133" s="56">
        <v>3343.62</v>
      </c>
      <c r="M133" s="56">
        <v>3343.62</v>
      </c>
      <c r="N133" s="56">
        <f t="shared" si="100"/>
        <v>3343.62</v>
      </c>
      <c r="O133" s="56">
        <v>0</v>
      </c>
      <c r="P133" s="56">
        <v>0</v>
      </c>
      <c r="Q133" s="55"/>
      <c r="R133" s="55">
        <v>3343.62</v>
      </c>
      <c r="S133" s="55"/>
      <c r="T133" s="55">
        <v>0</v>
      </c>
      <c r="U133" s="152">
        <v>3343.62</v>
      </c>
      <c r="V133" s="57">
        <v>0.18509999999999999</v>
      </c>
      <c r="W133" s="153">
        <v>0.11409999999999999</v>
      </c>
      <c r="X133" s="57">
        <v>0.32879999999999998</v>
      </c>
      <c r="Y133" s="57">
        <v>7.4800000000000005E-2</v>
      </c>
      <c r="Z133" s="153">
        <v>0</v>
      </c>
      <c r="AA133" s="57">
        <v>0.3664</v>
      </c>
      <c r="AB133" s="153">
        <v>0</v>
      </c>
      <c r="AC133" s="57">
        <v>0.63149999999999995</v>
      </c>
      <c r="AD133" s="57">
        <v>0.2838</v>
      </c>
      <c r="AE133" s="57">
        <v>0</v>
      </c>
      <c r="AF133" s="57">
        <v>1.6257999999999999</v>
      </c>
      <c r="AG133" s="57">
        <v>0.2535</v>
      </c>
      <c r="AH133" s="57">
        <v>0.40450000000000003</v>
      </c>
      <c r="AI133" s="153">
        <v>8.2900000000000001E-2</v>
      </c>
      <c r="AJ133" s="153">
        <v>0.1079</v>
      </c>
      <c r="AK133" s="153">
        <v>0</v>
      </c>
      <c r="AL133" s="57">
        <v>0.1293</v>
      </c>
      <c r="AM133" s="153">
        <v>3.2899999999999999E-2</v>
      </c>
      <c r="AN133" s="57">
        <v>0</v>
      </c>
      <c r="AO133" s="153">
        <v>2.5457000000000001</v>
      </c>
      <c r="AP133" s="57">
        <v>0.56410000000000005</v>
      </c>
      <c r="AQ133" s="57">
        <v>9.8000000000000004E-2</v>
      </c>
      <c r="AR133" s="153">
        <v>0.40289999999999998</v>
      </c>
      <c r="AS133" s="57">
        <v>5.45E-2</v>
      </c>
      <c r="AT133" s="57">
        <v>8.8000000000000005E-3</v>
      </c>
      <c r="AU133" s="153">
        <v>0.62380000000000002</v>
      </c>
      <c r="AV133" s="153">
        <v>0</v>
      </c>
      <c r="AW133" s="154">
        <v>8.9191000000000003</v>
      </c>
      <c r="AX133" s="58">
        <v>0.44600000000000001</v>
      </c>
      <c r="AY133" s="155">
        <f t="shared" si="81"/>
        <v>0.44109999999999999</v>
      </c>
      <c r="AZ133" s="155">
        <f t="shared" si="82"/>
        <v>4.9000000000000155E-3</v>
      </c>
      <c r="BA133" s="14">
        <v>9.3651</v>
      </c>
      <c r="BB133" s="59">
        <f>BA133-'[1]Тариф 26 свод без  ПДВ'!AU133</f>
        <v>2.0000000000006679E-3</v>
      </c>
      <c r="BC133" s="57">
        <v>0</v>
      </c>
      <c r="BD133" s="57">
        <v>0</v>
      </c>
      <c r="BE133" s="57">
        <v>0</v>
      </c>
      <c r="BF133" s="156">
        <v>8.9191000000000003</v>
      </c>
      <c r="BG133" s="59">
        <v>0.44600000000000001</v>
      </c>
      <c r="BH133" s="59"/>
      <c r="BI133" s="59"/>
      <c r="BJ133" s="14">
        <v>9.3651</v>
      </c>
      <c r="BK133" s="60"/>
      <c r="BL133" s="60">
        <v>4.7826000000000013</v>
      </c>
      <c r="BM133" s="60">
        <v>0.23910000000000001</v>
      </c>
      <c r="BN133" s="14">
        <v>5.0217000000000009</v>
      </c>
      <c r="BO133" s="14"/>
      <c r="BP133" s="157"/>
      <c r="BQ133" s="158">
        <f>BJ133-'[1]Тариф 26 свод без  ПДВ'!BG133</f>
        <v>2.0000000000006679E-3</v>
      </c>
      <c r="BR133" s="77">
        <f>'[1]Тариф 26 свод без  ПДВ'!BG133</f>
        <v>9.3630999999999993</v>
      </c>
      <c r="BS133" s="159">
        <f t="shared" si="83"/>
        <v>2.0000000000006679E-3</v>
      </c>
      <c r="BU133" s="77">
        <f>'[1]Тариф 26 свод без  ПДВ'!AU133</f>
        <v>9.3630999999999993</v>
      </c>
      <c r="BV133" s="159">
        <f t="shared" si="84"/>
        <v>2.0000000000006679E-3</v>
      </c>
      <c r="BX133" s="95">
        <v>4.5617999999999999</v>
      </c>
      <c r="BY133" s="95">
        <v>4.5617999999999999</v>
      </c>
      <c r="BZ133" s="95"/>
      <c r="CA133" s="62">
        <f t="shared" si="85"/>
        <v>2.0529396290937787</v>
      </c>
      <c r="CB133" s="62">
        <f t="shared" si="86"/>
        <v>2.0529396290937787</v>
      </c>
      <c r="CI133" s="160">
        <f>'[1]0 СВОД'!AYY148</f>
        <v>31313.21833162877</v>
      </c>
      <c r="CJ133" s="77">
        <f t="shared" si="87"/>
        <v>375758.61997954524</v>
      </c>
      <c r="CM133" s="161">
        <v>131</v>
      </c>
      <c r="CN133" s="183" t="s">
        <v>711</v>
      </c>
      <c r="CO133" s="163">
        <v>5</v>
      </c>
      <c r="CP133" s="163">
        <v>2</v>
      </c>
      <c r="CQ133" s="164" t="s">
        <v>112</v>
      </c>
      <c r="CR133" s="165" t="s">
        <v>65</v>
      </c>
      <c r="CS133" s="166">
        <v>3341.14</v>
      </c>
      <c r="CT133" s="166">
        <v>0</v>
      </c>
      <c r="CU133" s="167">
        <v>0</v>
      </c>
      <c r="CV133" s="168">
        <v>3341.14</v>
      </c>
      <c r="CW133" s="166">
        <v>3341.14</v>
      </c>
      <c r="CX133" s="167">
        <v>0</v>
      </c>
      <c r="CY133" s="166">
        <v>0</v>
      </c>
      <c r="CZ133" s="166"/>
      <c r="DA133" s="166">
        <v>3341.14</v>
      </c>
      <c r="DB133" s="166"/>
      <c r="DC133" s="166">
        <v>0</v>
      </c>
      <c r="DD133" s="59">
        <v>0.1817</v>
      </c>
      <c r="DE133" s="59">
        <v>0.18540000000000001</v>
      </c>
      <c r="DF133" s="59">
        <v>0.21629999999999999</v>
      </c>
      <c r="DG133" s="59">
        <v>4.3799999999999999E-2</v>
      </c>
      <c r="DH133" s="59">
        <v>0</v>
      </c>
      <c r="DI133" s="59">
        <v>0.15379999999999999</v>
      </c>
      <c r="DJ133" s="59">
        <v>4.8099999999999997E-2</v>
      </c>
      <c r="DK133" s="59">
        <v>0.3458</v>
      </c>
      <c r="DL133" s="169">
        <v>0</v>
      </c>
      <c r="DM133" s="59">
        <v>0.17280000000000001</v>
      </c>
      <c r="DN133" s="169">
        <v>0</v>
      </c>
      <c r="DO133" s="184">
        <v>0.97040000000000004</v>
      </c>
      <c r="DP133" s="171">
        <f t="shared" si="88"/>
        <v>1.6257999999999999</v>
      </c>
      <c r="DQ133" s="59">
        <v>0.12239999999999999</v>
      </c>
      <c r="DR133" s="59">
        <v>0.2422</v>
      </c>
      <c r="DS133" s="59">
        <v>2.1600000000000001E-2</v>
      </c>
      <c r="DT133" s="59">
        <v>5.0999999999999997E-2</v>
      </c>
      <c r="DU133" s="59">
        <v>0</v>
      </c>
      <c r="DV133" s="59">
        <v>4.4400000000000002E-2</v>
      </c>
      <c r="DW133" s="59">
        <v>8.8999999999999999E-3</v>
      </c>
      <c r="DX133" s="169">
        <v>0</v>
      </c>
      <c r="DY133" s="59">
        <v>1.2602</v>
      </c>
      <c r="DZ133" s="171">
        <f t="shared" si="89"/>
        <v>2.0200761783843837</v>
      </c>
      <c r="EA133" s="59">
        <v>0.3382</v>
      </c>
      <c r="EB133" s="171">
        <f t="shared" si="90"/>
        <v>1.9577173270254289</v>
      </c>
      <c r="EC133" s="59">
        <v>0.19750000000000001</v>
      </c>
      <c r="ED133" s="171">
        <f t="shared" si="91"/>
        <v>2.0399999999999996</v>
      </c>
      <c r="EE133" s="59">
        <v>4.1700000000000001E-2</v>
      </c>
      <c r="EF133" s="59">
        <v>5.7999999999999996E-3</v>
      </c>
      <c r="EG133" s="59">
        <v>0.57489999999999997</v>
      </c>
      <c r="EH133" s="59">
        <v>0</v>
      </c>
      <c r="EI133" s="208">
        <v>0.13070000000000001</v>
      </c>
      <c r="EJ133" s="172">
        <v>5.3575999999999988</v>
      </c>
      <c r="EK133" s="173"/>
      <c r="EL133" s="169">
        <v>0</v>
      </c>
      <c r="EM133" s="169">
        <v>0</v>
      </c>
      <c r="EN133" s="59"/>
      <c r="EO133" s="172"/>
      <c r="ES133" s="57">
        <f t="shared" si="101"/>
        <v>5.3575999999999988</v>
      </c>
      <c r="ET133" s="57">
        <f t="shared" si="102"/>
        <v>0</v>
      </c>
      <c r="EU133" s="31"/>
      <c r="EV133" s="61">
        <f t="shared" si="92"/>
        <v>1.7480028370912353</v>
      </c>
      <c r="EW133" s="62"/>
      <c r="EX133" s="158">
        <f t="shared" si="149"/>
        <v>-2.373432000000002</v>
      </c>
      <c r="EY133" s="77">
        <f t="shared" si="151"/>
        <v>7.2006143999999992</v>
      </c>
      <c r="EZ133" s="158">
        <f t="shared" si="93"/>
        <v>9.3651</v>
      </c>
      <c r="FA133" s="158">
        <f t="shared" si="94"/>
        <v>9.3651</v>
      </c>
      <c r="FH133" s="174">
        <f t="shared" si="103"/>
        <v>31313.335661999998</v>
      </c>
      <c r="FJ133" s="87">
        <v>1.3966888158877111</v>
      </c>
      <c r="FK133" s="176">
        <f t="shared" si="104"/>
        <v>1.2515334963717277</v>
      </c>
      <c r="FM133" s="87" t="e">
        <f t="shared" si="105"/>
        <v>#DIV/0!</v>
      </c>
      <c r="FO133" s="88">
        <f t="shared" si="95"/>
        <v>31313.335661999998</v>
      </c>
      <c r="FP133" s="79">
        <f t="shared" si="96"/>
        <v>0</v>
      </c>
      <c r="FS133" s="79">
        <f t="shared" si="97"/>
        <v>17913.778511999997</v>
      </c>
      <c r="FT133" s="79">
        <f t="shared" si="98"/>
        <v>0</v>
      </c>
      <c r="FU133" s="79">
        <f t="shared" si="106"/>
        <v>1.7480028370912351</v>
      </c>
      <c r="FV133" s="79" t="e">
        <f t="shared" si="106"/>
        <v>#DIV/0!</v>
      </c>
      <c r="FY133" s="79">
        <f t="shared" si="107"/>
        <v>31313.335661999998</v>
      </c>
      <c r="FZ133" s="79">
        <f t="shared" si="108"/>
        <v>0</v>
      </c>
      <c r="GB133" s="178">
        <f t="shared" si="109"/>
        <v>3343.62</v>
      </c>
      <c r="GC133" s="178">
        <f t="shared" si="110"/>
        <v>0</v>
      </c>
      <c r="GG133" s="14">
        <v>7.6428000000000003</v>
      </c>
      <c r="GH133" s="175">
        <f t="shared" si="111"/>
        <v>1.2253493484063431</v>
      </c>
      <c r="GI133" s="14">
        <v>7.6428000000000003</v>
      </c>
      <c r="GJ133" s="175">
        <f t="shared" si="112"/>
        <v>1.2253493484063431</v>
      </c>
      <c r="GK133" s="175">
        <f t="shared" si="150"/>
        <v>0</v>
      </c>
      <c r="GN133" s="14">
        <v>9.2568999999999999</v>
      </c>
      <c r="GO133" s="175">
        <f t="shared" si="113"/>
        <v>1.2111922332129585</v>
      </c>
      <c r="GP133" s="179">
        <f t="shared" si="114"/>
        <v>1.011688578249738</v>
      </c>
      <c r="GQ133" s="14">
        <v>9.2568999999999999</v>
      </c>
      <c r="GR133" s="175">
        <f t="shared" si="115"/>
        <v>1.2111922332129585</v>
      </c>
      <c r="GS133" s="175">
        <f t="shared" si="116"/>
        <v>1.011688578249738</v>
      </c>
      <c r="GV133" s="32">
        <f t="shared" si="117"/>
        <v>31313.335661999998</v>
      </c>
      <c r="GW133" s="32">
        <f t="shared" si="118"/>
        <v>0</v>
      </c>
      <c r="GX133" s="180">
        <f t="shared" si="119"/>
        <v>31313.335661999998</v>
      </c>
      <c r="GZ133" s="32">
        <f t="shared" si="120"/>
        <v>9.3651</v>
      </c>
      <c r="HA133" s="32" t="e">
        <f t="shared" si="121"/>
        <v>#DIV/0!</v>
      </c>
      <c r="HB133" s="32">
        <f t="shared" si="122"/>
        <v>9.3651</v>
      </c>
    </row>
    <row r="134" spans="1:210" ht="19.2" customHeight="1" x14ac:dyDescent="0.3">
      <c r="A134" s="50">
        <v>126</v>
      </c>
      <c r="B134" s="51" t="s">
        <v>712</v>
      </c>
      <c r="C134" s="51"/>
      <c r="D134" s="52">
        <v>5</v>
      </c>
      <c r="E134" s="52">
        <v>6</v>
      </c>
      <c r="F134" s="63">
        <v>90</v>
      </c>
      <c r="G134" s="54" t="s">
        <v>113</v>
      </c>
      <c r="H134" s="181" t="s">
        <v>49</v>
      </c>
      <c r="I134" s="55">
        <f t="shared" si="99"/>
        <v>4481.1000000000004</v>
      </c>
      <c r="J134" s="55">
        <f t="shared" si="79"/>
        <v>0</v>
      </c>
      <c r="K134" s="55">
        <f t="shared" si="80"/>
        <v>0</v>
      </c>
      <c r="L134" s="56">
        <v>4481.1000000000004</v>
      </c>
      <c r="M134" s="56">
        <v>4481.1000000000004</v>
      </c>
      <c r="N134" s="56">
        <f t="shared" si="100"/>
        <v>4481.1000000000004</v>
      </c>
      <c r="O134" s="56">
        <v>0</v>
      </c>
      <c r="P134" s="56">
        <v>0</v>
      </c>
      <c r="Q134" s="55"/>
      <c r="R134" s="55">
        <v>4481.1000000000004</v>
      </c>
      <c r="S134" s="55"/>
      <c r="T134" s="55">
        <v>0</v>
      </c>
      <c r="U134" s="152">
        <v>4481.1000000000004</v>
      </c>
      <c r="V134" s="57">
        <v>0.15640000000000001</v>
      </c>
      <c r="W134" s="153">
        <v>8.4400000000000003E-2</v>
      </c>
      <c r="X134" s="57">
        <v>0.33200000000000002</v>
      </c>
      <c r="Y134" s="57">
        <v>7.46E-2</v>
      </c>
      <c r="Z134" s="153">
        <v>4.0099999999999997E-2</v>
      </c>
      <c r="AA134" s="57">
        <v>0.58460000000000001</v>
      </c>
      <c r="AB134" s="153">
        <v>0</v>
      </c>
      <c r="AC134" s="57">
        <v>0.63149999999999995</v>
      </c>
      <c r="AD134" s="57">
        <v>0.1588</v>
      </c>
      <c r="AE134" s="57">
        <v>0</v>
      </c>
      <c r="AF134" s="57">
        <v>2.1364999999999998</v>
      </c>
      <c r="AG134" s="57">
        <v>0.20860000000000001</v>
      </c>
      <c r="AH134" s="57">
        <v>0.30809999999999998</v>
      </c>
      <c r="AI134" s="153">
        <v>9.0899999999999995E-2</v>
      </c>
      <c r="AJ134" s="153">
        <v>9.8500000000000004E-2</v>
      </c>
      <c r="AK134" s="153">
        <v>7.8E-2</v>
      </c>
      <c r="AL134" s="57">
        <v>0.2203</v>
      </c>
      <c r="AM134" s="153">
        <v>3.2199999999999999E-2</v>
      </c>
      <c r="AN134" s="57">
        <v>0</v>
      </c>
      <c r="AO134" s="153">
        <v>2.4205999999999999</v>
      </c>
      <c r="AP134" s="57">
        <v>1.0169999999999999</v>
      </c>
      <c r="AQ134" s="57">
        <v>8.77E-2</v>
      </c>
      <c r="AR134" s="153">
        <v>0.40629999999999999</v>
      </c>
      <c r="AS134" s="57">
        <v>5.7500000000000002E-2</v>
      </c>
      <c r="AT134" s="57">
        <v>9.2999999999999992E-3</v>
      </c>
      <c r="AU134" s="153">
        <v>0.19059999999999999</v>
      </c>
      <c r="AV134" s="153">
        <v>0</v>
      </c>
      <c r="AW134" s="154">
        <v>9.4244999999999965</v>
      </c>
      <c r="AX134" s="58">
        <v>0.47120000000000001</v>
      </c>
      <c r="AY134" s="155">
        <f t="shared" si="81"/>
        <v>0.46679999999999999</v>
      </c>
      <c r="AZ134" s="155">
        <f t="shared" si="82"/>
        <v>4.400000000000015E-3</v>
      </c>
      <c r="BA134" s="14">
        <v>9.8956999999999962</v>
      </c>
      <c r="BB134" s="59">
        <f>BA134-'[1]Тариф 26 свод без  ПДВ'!AU134</f>
        <v>3.2999999999958618E-3</v>
      </c>
      <c r="BC134" s="57">
        <v>0</v>
      </c>
      <c r="BD134" s="57">
        <v>0</v>
      </c>
      <c r="BE134" s="57">
        <v>0</v>
      </c>
      <c r="BF134" s="156">
        <v>9.4244999999999965</v>
      </c>
      <c r="BG134" s="59">
        <v>0.47120000000000001</v>
      </c>
      <c r="BH134" s="59"/>
      <c r="BI134" s="59"/>
      <c r="BJ134" s="14">
        <v>9.8956999999999962</v>
      </c>
      <c r="BK134" s="60"/>
      <c r="BL134" s="60">
        <v>5.389999999999997</v>
      </c>
      <c r="BM134" s="60">
        <v>0.26950000000000002</v>
      </c>
      <c r="BN134" s="14">
        <v>5.6594999999999969</v>
      </c>
      <c r="BO134" s="14"/>
      <c r="BP134" s="157"/>
      <c r="BQ134" s="158">
        <f>BJ134-'[1]Тариф 26 свод без  ПДВ'!BG134</f>
        <v>3.2999999999958618E-3</v>
      </c>
      <c r="BR134" s="77">
        <f>'[1]Тариф 26 свод без  ПДВ'!BG134</f>
        <v>9.8924000000000003</v>
      </c>
      <c r="BS134" s="159">
        <f t="shared" si="83"/>
        <v>3.2999999999958618E-3</v>
      </c>
      <c r="BU134" s="77">
        <f>'[1]Тариф 26 свод без  ПДВ'!AU134</f>
        <v>9.8924000000000003</v>
      </c>
      <c r="BV134" s="159">
        <f t="shared" si="84"/>
        <v>3.2999999999958618E-3</v>
      </c>
      <c r="BX134" s="95">
        <v>4.2275</v>
      </c>
      <c r="BY134" s="95">
        <v>4.2275</v>
      </c>
      <c r="BZ134" s="95"/>
      <c r="CA134" s="182">
        <f t="shared" si="85"/>
        <v>2.3407924305144876</v>
      </c>
      <c r="CB134" s="182">
        <f t="shared" si="86"/>
        <v>2.3407924305144876</v>
      </c>
      <c r="CI134" s="160">
        <f>'[1]0 СВОД'!AYY149</f>
        <v>44343.533174070973</v>
      </c>
      <c r="CJ134" s="77">
        <f t="shared" si="87"/>
        <v>532122.39808885171</v>
      </c>
      <c r="CM134" s="161">
        <v>132</v>
      </c>
      <c r="CN134" s="162" t="s">
        <v>713</v>
      </c>
      <c r="CO134" s="163">
        <v>5</v>
      </c>
      <c r="CP134" s="163">
        <v>6</v>
      </c>
      <c r="CQ134" s="164" t="s">
        <v>113</v>
      </c>
      <c r="CR134" s="165" t="s">
        <v>49</v>
      </c>
      <c r="CS134" s="166">
        <v>4478.8500000000004</v>
      </c>
      <c r="CT134" s="166">
        <v>0</v>
      </c>
      <c r="CU134" s="167">
        <v>0</v>
      </c>
      <c r="CV134" s="168">
        <v>4478.8500000000004</v>
      </c>
      <c r="CW134" s="166">
        <v>4478.8500000000004</v>
      </c>
      <c r="CX134" s="167">
        <v>0</v>
      </c>
      <c r="CY134" s="166">
        <v>0</v>
      </c>
      <c r="CZ134" s="166"/>
      <c r="DA134" s="166">
        <v>4478.8500000000004</v>
      </c>
      <c r="DB134" s="166"/>
      <c r="DC134" s="166">
        <v>0</v>
      </c>
      <c r="DD134" s="59">
        <v>0.15390000000000001</v>
      </c>
      <c r="DE134" s="59">
        <v>0.15490000000000001</v>
      </c>
      <c r="DF134" s="59">
        <v>0.21840000000000001</v>
      </c>
      <c r="DG134" s="59">
        <v>4.3900000000000002E-2</v>
      </c>
      <c r="DH134" s="59">
        <v>1.5100000000000001E-2</v>
      </c>
      <c r="DI134" s="59">
        <v>0.25740000000000002</v>
      </c>
      <c r="DJ134" s="59">
        <v>4.8099999999999997E-2</v>
      </c>
      <c r="DK134" s="59">
        <v>0.3458</v>
      </c>
      <c r="DL134" s="169">
        <v>0</v>
      </c>
      <c r="DM134" s="59">
        <v>9.6699999999999994E-2</v>
      </c>
      <c r="DN134" s="169">
        <v>0</v>
      </c>
      <c r="DO134" s="170">
        <v>1.2312000000000001</v>
      </c>
      <c r="DP134" s="171">
        <f t="shared" si="88"/>
        <v>2.1364999999999998</v>
      </c>
      <c r="DQ134" s="59">
        <v>0.10050000000000001</v>
      </c>
      <c r="DR134" s="59">
        <v>0.20219999999999999</v>
      </c>
      <c r="DS134" s="59">
        <v>2.3699999999999999E-2</v>
      </c>
      <c r="DT134" s="59">
        <v>4.6300000000000001E-2</v>
      </c>
      <c r="DU134" s="59">
        <v>3.2899999999999999E-2</v>
      </c>
      <c r="DV134" s="59">
        <v>7.6899999999999996E-2</v>
      </c>
      <c r="DW134" s="59">
        <v>8.5000000000000006E-3</v>
      </c>
      <c r="DX134" s="169">
        <v>0</v>
      </c>
      <c r="DY134" s="59">
        <v>1.2356</v>
      </c>
      <c r="DZ134" s="171">
        <f t="shared" si="89"/>
        <v>1.9590482356749757</v>
      </c>
      <c r="EA134" s="59">
        <v>0.61929999999999996</v>
      </c>
      <c r="EB134" s="171">
        <f t="shared" si="90"/>
        <v>1.7837881479089293</v>
      </c>
      <c r="EC134" s="59">
        <v>0.24829999999999999</v>
      </c>
      <c r="ED134" s="171">
        <f t="shared" si="91"/>
        <v>1.6363270237615788</v>
      </c>
      <c r="EE134" s="59">
        <v>4.3999999999999997E-2</v>
      </c>
      <c r="EF134" s="59">
        <v>6.1000000000000004E-3</v>
      </c>
      <c r="EG134" s="59">
        <v>0.18049999999999999</v>
      </c>
      <c r="EH134" s="59">
        <v>0</v>
      </c>
      <c r="EI134" s="208">
        <v>0.1348</v>
      </c>
      <c r="EJ134" s="172">
        <v>5.5250000000000012</v>
      </c>
      <c r="EK134" s="173"/>
      <c r="EL134" s="169">
        <v>0</v>
      </c>
      <c r="EM134" s="169">
        <v>0</v>
      </c>
      <c r="EN134" s="59"/>
      <c r="EO134" s="172"/>
      <c r="ES134" s="57">
        <f t="shared" si="101"/>
        <v>5.5250000000000012</v>
      </c>
      <c r="ET134" s="57">
        <f t="shared" si="102"/>
        <v>0</v>
      </c>
      <c r="EU134" s="31"/>
      <c r="EV134" s="61">
        <f t="shared" si="92"/>
        <v>1.7910769230769219</v>
      </c>
      <c r="EW134" s="62"/>
      <c r="EX134" s="158">
        <f t="shared" si="149"/>
        <v>-2.6855749999999947</v>
      </c>
      <c r="EY134" s="77">
        <f t="shared" si="151"/>
        <v>7.425600000000002</v>
      </c>
      <c r="EZ134" s="158">
        <f t="shared" si="93"/>
        <v>9.8956999999999962</v>
      </c>
      <c r="FA134" s="158">
        <f t="shared" si="94"/>
        <v>9.8956999999999962</v>
      </c>
      <c r="FH134" s="174">
        <f t="shared" si="103"/>
        <v>44343.621269999989</v>
      </c>
      <c r="FJ134" s="87">
        <v>1.3836561085972852</v>
      </c>
      <c r="FK134" s="176">
        <f t="shared" si="104"/>
        <v>1.2944523656912623</v>
      </c>
      <c r="FM134" s="87" t="e">
        <f t="shared" si="105"/>
        <v>#DIV/0!</v>
      </c>
      <c r="FO134" s="88">
        <f t="shared" si="95"/>
        <v>44343.621269999989</v>
      </c>
      <c r="FP134" s="79">
        <f t="shared" si="96"/>
        <v>0</v>
      </c>
      <c r="FS134" s="79">
        <f t="shared" si="97"/>
        <v>24758.077500000007</v>
      </c>
      <c r="FT134" s="79">
        <f t="shared" si="98"/>
        <v>0</v>
      </c>
      <c r="FU134" s="79">
        <f t="shared" si="106"/>
        <v>1.7910769230769221</v>
      </c>
      <c r="FV134" s="79" t="e">
        <f t="shared" si="106"/>
        <v>#DIV/0!</v>
      </c>
      <c r="FY134" s="79">
        <f t="shared" si="107"/>
        <v>44343.621269999989</v>
      </c>
      <c r="FZ134" s="79">
        <f t="shared" si="108"/>
        <v>0</v>
      </c>
      <c r="GB134" s="178">
        <f t="shared" si="109"/>
        <v>4481.1000000000004</v>
      </c>
      <c r="GC134" s="178">
        <f t="shared" si="110"/>
        <v>0</v>
      </c>
      <c r="GG134" s="14">
        <v>7.7923999999999989</v>
      </c>
      <c r="GH134" s="175">
        <f t="shared" si="111"/>
        <v>1.269916842051229</v>
      </c>
      <c r="GI134" s="14">
        <v>7.7923999999999989</v>
      </c>
      <c r="GJ134" s="175">
        <f t="shared" si="112"/>
        <v>1.269916842051229</v>
      </c>
      <c r="GK134" s="175">
        <f t="shared" si="150"/>
        <v>0</v>
      </c>
      <c r="GN134" s="14">
        <v>10.1615</v>
      </c>
      <c r="GO134" s="175">
        <f t="shared" si="113"/>
        <v>1.3040270006673171</v>
      </c>
      <c r="GP134" s="179">
        <f t="shared" si="114"/>
        <v>0.97384244452098567</v>
      </c>
      <c r="GQ134" s="14">
        <v>10.1615</v>
      </c>
      <c r="GR134" s="175">
        <f t="shared" si="115"/>
        <v>1.3040270006673171</v>
      </c>
      <c r="GS134" s="175">
        <f t="shared" si="116"/>
        <v>0.97384244452098567</v>
      </c>
      <c r="GV134" s="32">
        <f t="shared" si="117"/>
        <v>44343.621269999989</v>
      </c>
      <c r="GW134" s="32">
        <f t="shared" si="118"/>
        <v>0</v>
      </c>
      <c r="GX134" s="180">
        <f t="shared" si="119"/>
        <v>44343.621269999989</v>
      </c>
      <c r="GZ134" s="32">
        <f t="shared" si="120"/>
        <v>9.8956999999999962</v>
      </c>
      <c r="HA134" s="32" t="e">
        <f t="shared" si="121"/>
        <v>#DIV/0!</v>
      </c>
      <c r="HB134" s="32">
        <f t="shared" si="122"/>
        <v>9.8956999999999962</v>
      </c>
    </row>
    <row r="135" spans="1:210" ht="19.2" customHeight="1" x14ac:dyDescent="0.3">
      <c r="A135" s="50">
        <v>127</v>
      </c>
      <c r="B135" s="51" t="s">
        <v>714</v>
      </c>
      <c r="C135" s="51"/>
      <c r="D135" s="52">
        <v>5</v>
      </c>
      <c r="E135" s="52">
        <v>4</v>
      </c>
      <c r="F135" s="63">
        <v>60</v>
      </c>
      <c r="G135" s="54" t="s">
        <v>114</v>
      </c>
      <c r="H135" s="181" t="s">
        <v>49</v>
      </c>
      <c r="I135" s="55">
        <f t="shared" si="99"/>
        <v>2759.6</v>
      </c>
      <c r="J135" s="55">
        <f t="shared" si="79"/>
        <v>0</v>
      </c>
      <c r="K135" s="55">
        <f t="shared" si="80"/>
        <v>0</v>
      </c>
      <c r="L135" s="56">
        <v>2759.6</v>
      </c>
      <c r="M135" s="56">
        <v>2759.6</v>
      </c>
      <c r="N135" s="56">
        <f t="shared" si="100"/>
        <v>2759.6</v>
      </c>
      <c r="O135" s="56">
        <v>0</v>
      </c>
      <c r="P135" s="56">
        <v>0</v>
      </c>
      <c r="Q135" s="55"/>
      <c r="R135" s="55">
        <v>2759.6</v>
      </c>
      <c r="S135" s="55"/>
      <c r="T135" s="55">
        <v>0</v>
      </c>
      <c r="U135" s="152">
        <v>2759.6</v>
      </c>
      <c r="V135" s="57">
        <v>0.16650000000000001</v>
      </c>
      <c r="W135" s="153">
        <v>9.2299999999999993E-2</v>
      </c>
      <c r="X135" s="57">
        <v>0.32419999999999999</v>
      </c>
      <c r="Y135" s="57">
        <v>7.4300000000000005E-2</v>
      </c>
      <c r="Z135" s="153">
        <v>0</v>
      </c>
      <c r="AA135" s="57">
        <v>0.4985</v>
      </c>
      <c r="AB135" s="153">
        <v>0</v>
      </c>
      <c r="AC135" s="57">
        <v>0.63149999999999995</v>
      </c>
      <c r="AD135" s="57">
        <v>0.1719</v>
      </c>
      <c r="AE135" s="57">
        <v>0</v>
      </c>
      <c r="AF135" s="57">
        <v>1.5190999999999999</v>
      </c>
      <c r="AG135" s="57">
        <v>0.23810000000000001</v>
      </c>
      <c r="AH135" s="57">
        <v>0.33650000000000002</v>
      </c>
      <c r="AI135" s="153">
        <v>8.7900000000000006E-2</v>
      </c>
      <c r="AJ135" s="153">
        <v>0.1037</v>
      </c>
      <c r="AK135" s="153">
        <v>0</v>
      </c>
      <c r="AL135" s="57">
        <v>0.17180000000000001</v>
      </c>
      <c r="AM135" s="153">
        <v>3.3500000000000002E-2</v>
      </c>
      <c r="AN135" s="57">
        <v>0</v>
      </c>
      <c r="AO135" s="153">
        <v>2.7115</v>
      </c>
      <c r="AP135" s="57">
        <v>1.1344000000000001</v>
      </c>
      <c r="AQ135" s="57">
        <v>3.7400000000000003E-2</v>
      </c>
      <c r="AR135" s="153">
        <v>0.49330000000000002</v>
      </c>
      <c r="AS135" s="57">
        <v>5.1299999999999998E-2</v>
      </c>
      <c r="AT135" s="57">
        <v>8.3000000000000001E-3</v>
      </c>
      <c r="AU135" s="153">
        <v>0.27200000000000002</v>
      </c>
      <c r="AV135" s="153">
        <v>0</v>
      </c>
      <c r="AW135" s="154">
        <v>9.1579999999999995</v>
      </c>
      <c r="AX135" s="58">
        <v>0.45789999999999997</v>
      </c>
      <c r="AY135" s="155">
        <f t="shared" si="81"/>
        <v>0.45600000000000002</v>
      </c>
      <c r="AZ135" s="155">
        <f t="shared" si="82"/>
        <v>1.8999999999999573E-3</v>
      </c>
      <c r="BA135" s="14">
        <v>9.6158999999999999</v>
      </c>
      <c r="BB135" s="59">
        <f>BA135-'[1]Тариф 26 свод без  ПДВ'!AU135</f>
        <v>1.5999999999998238E-3</v>
      </c>
      <c r="BC135" s="57">
        <v>0</v>
      </c>
      <c r="BD135" s="57">
        <v>0</v>
      </c>
      <c r="BE135" s="57">
        <v>0</v>
      </c>
      <c r="BF135" s="156">
        <v>9.1579999999999995</v>
      </c>
      <c r="BG135" s="59">
        <v>0.45789999999999997</v>
      </c>
      <c r="BH135" s="59"/>
      <c r="BI135" s="59"/>
      <c r="BJ135" s="14">
        <v>9.6158999999999999</v>
      </c>
      <c r="BK135" s="60"/>
      <c r="BL135" s="60">
        <v>4.5467999999999993</v>
      </c>
      <c r="BM135" s="60">
        <v>0.2273</v>
      </c>
      <c r="BN135" s="14">
        <v>4.7740999999999989</v>
      </c>
      <c r="BO135" s="14"/>
      <c r="BP135" s="157"/>
      <c r="BQ135" s="158">
        <f>BJ135-'[1]Тариф 26 свод без  ПДВ'!BG135</f>
        <v>1.5999999999998238E-3</v>
      </c>
      <c r="BR135" s="77">
        <f>'[1]Тариф 26 свод без  ПДВ'!BG135</f>
        <v>9.6143000000000001</v>
      </c>
      <c r="BS135" s="159">
        <f t="shared" si="83"/>
        <v>1.5999999999998238E-3</v>
      </c>
      <c r="BU135" s="77">
        <f>'[1]Тариф 26 свод без  ПДВ'!AU135</f>
        <v>9.6143000000000001</v>
      </c>
      <c r="BV135" s="159">
        <f t="shared" si="84"/>
        <v>1.5999999999998238E-3</v>
      </c>
      <c r="BX135" s="95">
        <v>4.6981000000000002</v>
      </c>
      <c r="BY135" s="95">
        <v>4.6981000000000002</v>
      </c>
      <c r="BZ135" s="95"/>
      <c r="CA135" s="62">
        <f t="shared" si="85"/>
        <v>2.0467635852791553</v>
      </c>
      <c r="CB135" s="62">
        <f t="shared" si="86"/>
        <v>2.0467635852791553</v>
      </c>
      <c r="CI135" s="160">
        <f>'[1]0 СВОД'!AYY150</f>
        <v>26536.307105848729</v>
      </c>
      <c r="CJ135" s="77">
        <f t="shared" si="87"/>
        <v>318435.68527018477</v>
      </c>
      <c r="CM135" s="161">
        <v>133</v>
      </c>
      <c r="CN135" s="162" t="s">
        <v>715</v>
      </c>
      <c r="CO135" s="163">
        <v>5</v>
      </c>
      <c r="CP135" s="163">
        <v>4</v>
      </c>
      <c r="CQ135" s="164" t="s">
        <v>114</v>
      </c>
      <c r="CR135" s="165" t="s">
        <v>49</v>
      </c>
      <c r="CS135" s="166">
        <v>2758.9</v>
      </c>
      <c r="CT135" s="166">
        <v>0</v>
      </c>
      <c r="CU135" s="167">
        <v>0</v>
      </c>
      <c r="CV135" s="168">
        <v>2758.9</v>
      </c>
      <c r="CW135" s="166">
        <v>2758.9</v>
      </c>
      <c r="CX135" s="167">
        <v>0</v>
      </c>
      <c r="CY135" s="166">
        <v>0</v>
      </c>
      <c r="CZ135" s="166"/>
      <c r="DA135" s="166">
        <v>2758.9</v>
      </c>
      <c r="DB135" s="166"/>
      <c r="DC135" s="166">
        <v>0</v>
      </c>
      <c r="DD135" s="59">
        <v>0.17530000000000001</v>
      </c>
      <c r="DE135" s="59">
        <v>0.1686</v>
      </c>
      <c r="DF135" s="59">
        <v>0.21310000000000001</v>
      </c>
      <c r="DG135" s="59">
        <v>4.3700000000000003E-2</v>
      </c>
      <c r="DH135" s="59">
        <v>0</v>
      </c>
      <c r="DI135" s="59">
        <v>0.21690000000000001</v>
      </c>
      <c r="DJ135" s="59">
        <v>4.8099999999999997E-2</v>
      </c>
      <c r="DK135" s="59">
        <v>0.3458</v>
      </c>
      <c r="DL135" s="169">
        <v>0</v>
      </c>
      <c r="DM135" s="59">
        <v>0.1047</v>
      </c>
      <c r="DN135" s="169">
        <v>0</v>
      </c>
      <c r="DO135" s="170">
        <v>0.97639999999999993</v>
      </c>
      <c r="DP135" s="171">
        <f t="shared" si="88"/>
        <v>1.5190999999999999</v>
      </c>
      <c r="DQ135" s="59">
        <v>0.1147</v>
      </c>
      <c r="DR135" s="59">
        <v>0.22020000000000001</v>
      </c>
      <c r="DS135" s="59">
        <v>2.29E-2</v>
      </c>
      <c r="DT135" s="59">
        <v>4.8800000000000003E-2</v>
      </c>
      <c r="DU135" s="59">
        <v>0</v>
      </c>
      <c r="DV135" s="59">
        <v>5.9900000000000002E-2</v>
      </c>
      <c r="DW135" s="59">
        <v>9.1999999999999998E-3</v>
      </c>
      <c r="DX135" s="169">
        <v>0</v>
      </c>
      <c r="DY135" s="170">
        <v>1.2477</v>
      </c>
      <c r="DZ135" s="171">
        <f t="shared" si="89"/>
        <v>2.17319868558147</v>
      </c>
      <c r="EA135" s="59">
        <v>0.65649999999999997</v>
      </c>
      <c r="EB135" s="171">
        <f t="shared" si="90"/>
        <v>1.7849200304645854</v>
      </c>
      <c r="EC135" s="59">
        <v>0.29559999999999997</v>
      </c>
      <c r="ED135" s="171">
        <f t="shared" si="91"/>
        <v>1.6688092016238161</v>
      </c>
      <c r="EE135" s="59">
        <v>3.9300000000000002E-2</v>
      </c>
      <c r="EF135" s="59">
        <v>5.4999999999999997E-3</v>
      </c>
      <c r="EG135" s="59">
        <v>0.16600000000000001</v>
      </c>
      <c r="EH135" s="59">
        <v>0</v>
      </c>
      <c r="EI135" s="208">
        <v>0.1295</v>
      </c>
      <c r="EJ135" s="172">
        <v>5.3084000000000007</v>
      </c>
      <c r="EK135" s="173"/>
      <c r="EL135" s="169">
        <v>0</v>
      </c>
      <c r="EM135" s="169">
        <v>0</v>
      </c>
      <c r="EN135" s="59"/>
      <c r="EO135" s="172"/>
      <c r="ES135" s="57">
        <f t="shared" si="101"/>
        <v>5.3084000000000007</v>
      </c>
      <c r="ET135" s="57">
        <f t="shared" si="102"/>
        <v>0</v>
      </c>
      <c r="EU135" s="31"/>
      <c r="EV135" s="61">
        <f t="shared" si="92"/>
        <v>1.8114497777107976</v>
      </c>
      <c r="EW135" s="62"/>
      <c r="EX135" s="158">
        <f t="shared" si="149"/>
        <v>-2.6884379999999997</v>
      </c>
      <c r="EY135" s="77">
        <f t="shared" si="151"/>
        <v>7.1344896000000011</v>
      </c>
      <c r="EZ135" s="158">
        <f t="shared" si="93"/>
        <v>9.6158999999999999</v>
      </c>
      <c r="FA135" s="158">
        <f t="shared" si="94"/>
        <v>9.6158999999999999</v>
      </c>
      <c r="FH135" s="174">
        <f t="shared" si="103"/>
        <v>26536.037639999999</v>
      </c>
      <c r="FJ135" s="87">
        <v>1.4121769271343532</v>
      </c>
      <c r="FK135" s="176">
        <f t="shared" si="104"/>
        <v>1.2827357131423081</v>
      </c>
      <c r="FM135" s="87" t="e">
        <f t="shared" si="105"/>
        <v>#DIV/0!</v>
      </c>
      <c r="FO135" s="88">
        <f t="shared" si="95"/>
        <v>26536.037639999999</v>
      </c>
      <c r="FP135" s="79">
        <f t="shared" si="96"/>
        <v>0</v>
      </c>
      <c r="FS135" s="79">
        <f t="shared" si="97"/>
        <v>14649.060640000002</v>
      </c>
      <c r="FT135" s="79">
        <f t="shared" si="98"/>
        <v>0</v>
      </c>
      <c r="FU135" s="79">
        <f t="shared" si="106"/>
        <v>1.8114497777107976</v>
      </c>
      <c r="FV135" s="79" t="e">
        <f t="shared" si="106"/>
        <v>#DIV/0!</v>
      </c>
      <c r="FY135" s="79">
        <f t="shared" si="107"/>
        <v>26536.037639999999</v>
      </c>
      <c r="FZ135" s="79">
        <f t="shared" si="108"/>
        <v>0</v>
      </c>
      <c r="GB135" s="178">
        <f t="shared" si="109"/>
        <v>2759.6</v>
      </c>
      <c r="GC135" s="178">
        <f t="shared" si="110"/>
        <v>0</v>
      </c>
      <c r="GG135" s="14">
        <v>7.5719999999999992</v>
      </c>
      <c r="GH135" s="175">
        <f t="shared" si="111"/>
        <v>1.2699286846275755</v>
      </c>
      <c r="GI135" s="14">
        <v>7.5719999999999992</v>
      </c>
      <c r="GJ135" s="175">
        <f t="shared" si="112"/>
        <v>1.2699286846275755</v>
      </c>
      <c r="GK135" s="175">
        <f t="shared" si="150"/>
        <v>0</v>
      </c>
      <c r="GN135" s="14">
        <v>9.9131</v>
      </c>
      <c r="GO135" s="175">
        <f t="shared" si="113"/>
        <v>1.3091785525620709</v>
      </c>
      <c r="GP135" s="179">
        <f t="shared" si="114"/>
        <v>0.97001946918723703</v>
      </c>
      <c r="GQ135" s="14">
        <v>9.9131</v>
      </c>
      <c r="GR135" s="175">
        <f t="shared" si="115"/>
        <v>1.3091785525620709</v>
      </c>
      <c r="GS135" s="175">
        <f t="shared" si="116"/>
        <v>0.97001946918723703</v>
      </c>
      <c r="GV135" s="32">
        <f t="shared" si="117"/>
        <v>26536.037639999999</v>
      </c>
      <c r="GW135" s="32">
        <f t="shared" si="118"/>
        <v>0</v>
      </c>
      <c r="GX135" s="180">
        <f t="shared" si="119"/>
        <v>26536.037639999999</v>
      </c>
      <c r="GZ135" s="32">
        <f t="shared" si="120"/>
        <v>9.6158999999999999</v>
      </c>
      <c r="HA135" s="32" t="e">
        <f t="shared" si="121"/>
        <v>#DIV/0!</v>
      </c>
      <c r="HB135" s="32">
        <f t="shared" si="122"/>
        <v>9.6158999999999999</v>
      </c>
    </row>
    <row r="136" spans="1:210" ht="19.2" customHeight="1" x14ac:dyDescent="0.3">
      <c r="A136" s="50">
        <v>128</v>
      </c>
      <c r="B136" s="51" t="s">
        <v>716</v>
      </c>
      <c r="C136" s="51"/>
      <c r="D136" s="52">
        <v>5</v>
      </c>
      <c r="E136" s="52">
        <v>4</v>
      </c>
      <c r="F136" s="63">
        <v>60</v>
      </c>
      <c r="G136" s="54" t="s">
        <v>115</v>
      </c>
      <c r="H136" s="181" t="s">
        <v>49</v>
      </c>
      <c r="I136" s="55">
        <f t="shared" si="99"/>
        <v>2767.3</v>
      </c>
      <c r="J136" s="55">
        <f t="shared" si="79"/>
        <v>0</v>
      </c>
      <c r="K136" s="55">
        <f t="shared" si="80"/>
        <v>0</v>
      </c>
      <c r="L136" s="56">
        <v>2767.3</v>
      </c>
      <c r="M136" s="56">
        <v>2767.3</v>
      </c>
      <c r="N136" s="56">
        <f t="shared" si="100"/>
        <v>2767.3</v>
      </c>
      <c r="O136" s="56">
        <v>0</v>
      </c>
      <c r="P136" s="56">
        <v>0</v>
      </c>
      <c r="Q136" s="55"/>
      <c r="R136" s="55">
        <v>2767.3</v>
      </c>
      <c r="S136" s="55"/>
      <c r="T136" s="55">
        <v>0</v>
      </c>
      <c r="U136" s="152">
        <v>2767.3</v>
      </c>
      <c r="V136" s="57">
        <v>0.16600000000000001</v>
      </c>
      <c r="W136" s="153">
        <v>9.2100000000000001E-2</v>
      </c>
      <c r="X136" s="57">
        <v>0.32450000000000001</v>
      </c>
      <c r="Y136" s="57">
        <v>7.4200000000000002E-2</v>
      </c>
      <c r="Z136" s="153">
        <v>2.8899999999999999E-2</v>
      </c>
      <c r="AA136" s="57">
        <v>0.49709999999999999</v>
      </c>
      <c r="AB136" s="153">
        <v>0</v>
      </c>
      <c r="AC136" s="57">
        <v>0.63149999999999995</v>
      </c>
      <c r="AD136" s="57">
        <v>0.1714</v>
      </c>
      <c r="AE136" s="57">
        <v>0</v>
      </c>
      <c r="AF136" s="57">
        <v>1.8016000000000001</v>
      </c>
      <c r="AG136" s="57">
        <v>0.22009999999999999</v>
      </c>
      <c r="AH136" s="57">
        <v>0.32640000000000002</v>
      </c>
      <c r="AI136" s="153">
        <v>8.8300000000000003E-2</v>
      </c>
      <c r="AJ136" s="153">
        <v>0.1028</v>
      </c>
      <c r="AK136" s="153">
        <v>5.62E-2</v>
      </c>
      <c r="AL136" s="57">
        <v>0.1714</v>
      </c>
      <c r="AM136" s="153">
        <v>3.1699999999999999E-2</v>
      </c>
      <c r="AN136" s="57">
        <v>0</v>
      </c>
      <c r="AO136" s="153">
        <v>2.798</v>
      </c>
      <c r="AP136" s="57">
        <v>1.1385000000000001</v>
      </c>
      <c r="AQ136" s="57">
        <v>8.9399999999999993E-2</v>
      </c>
      <c r="AR136" s="153">
        <v>0.52139999999999997</v>
      </c>
      <c r="AS136" s="57">
        <v>5.2900000000000003E-2</v>
      </c>
      <c r="AT136" s="57">
        <v>8.6E-3</v>
      </c>
      <c r="AU136" s="153">
        <v>0.33479999999999999</v>
      </c>
      <c r="AV136" s="153">
        <v>0</v>
      </c>
      <c r="AW136" s="154">
        <v>9.7277999999999984</v>
      </c>
      <c r="AX136" s="58">
        <v>0.4864</v>
      </c>
      <c r="AY136" s="155">
        <f t="shared" si="81"/>
        <v>0.4819</v>
      </c>
      <c r="AZ136" s="155">
        <f t="shared" si="82"/>
        <v>4.500000000000004E-3</v>
      </c>
      <c r="BA136" s="14">
        <v>10.214199999999998</v>
      </c>
      <c r="BB136" s="59">
        <f>BA136-'[1]Тариф 26 свод без  ПДВ'!AU136</f>
        <v>-6.0000000000020037E-3</v>
      </c>
      <c r="BC136" s="57">
        <v>0</v>
      </c>
      <c r="BD136" s="57">
        <v>0</v>
      </c>
      <c r="BE136" s="57">
        <v>0</v>
      </c>
      <c r="BF136" s="156">
        <v>9.7277999999999984</v>
      </c>
      <c r="BG136" s="59">
        <v>0.4864</v>
      </c>
      <c r="BH136" s="59"/>
      <c r="BI136" s="59"/>
      <c r="BJ136" s="14">
        <v>10.214199999999998</v>
      </c>
      <c r="BK136" s="60"/>
      <c r="BL136" s="60">
        <v>4.9350999999999985</v>
      </c>
      <c r="BM136" s="60">
        <v>0.24679999999999999</v>
      </c>
      <c r="BN136" s="14">
        <v>5.1818999999999988</v>
      </c>
      <c r="BO136" s="14"/>
      <c r="BP136" s="157"/>
      <c r="BQ136" s="158">
        <f>BJ136-'[1]Тариф 26 свод без  ПДВ'!BG136</f>
        <v>-6.0000000000020037E-3</v>
      </c>
      <c r="BR136" s="77">
        <f>'[1]Тариф 26 свод без  ПДВ'!BG136</f>
        <v>10.2202</v>
      </c>
      <c r="BS136" s="159">
        <f t="shared" si="83"/>
        <v>-6.0000000000020037E-3</v>
      </c>
      <c r="BU136" s="77">
        <f>'[1]Тариф 26 свод без  ПДВ'!AU136</f>
        <v>10.2202</v>
      </c>
      <c r="BV136" s="159">
        <f t="shared" si="84"/>
        <v>-6.0000000000020037E-3</v>
      </c>
      <c r="BX136" s="95">
        <v>4.6547999999999998</v>
      </c>
      <c r="BY136" s="95">
        <v>4.6547999999999998</v>
      </c>
      <c r="BZ136" s="95"/>
      <c r="CA136" s="62">
        <f t="shared" si="85"/>
        <v>2.1943370284437567</v>
      </c>
      <c r="CB136" s="62">
        <f t="shared" si="86"/>
        <v>2.1943370284437567</v>
      </c>
      <c r="CI136" s="160">
        <f>'[1]0 СВОД'!AYY151</f>
        <v>28266.232618989885</v>
      </c>
      <c r="CJ136" s="77">
        <f t="shared" si="87"/>
        <v>339194.7914278786</v>
      </c>
      <c r="CM136" s="161">
        <v>134</v>
      </c>
      <c r="CN136" s="162" t="s">
        <v>717</v>
      </c>
      <c r="CO136" s="163">
        <v>5</v>
      </c>
      <c r="CP136" s="163">
        <v>4</v>
      </c>
      <c r="CQ136" s="164" t="s">
        <v>115</v>
      </c>
      <c r="CR136" s="165" t="s">
        <v>49</v>
      </c>
      <c r="CS136" s="166">
        <v>2765.8</v>
      </c>
      <c r="CT136" s="166">
        <v>0</v>
      </c>
      <c r="CU136" s="167">
        <v>0</v>
      </c>
      <c r="CV136" s="168">
        <v>2765.8</v>
      </c>
      <c r="CW136" s="166">
        <v>2765.8</v>
      </c>
      <c r="CX136" s="167">
        <v>0</v>
      </c>
      <c r="CY136" s="166">
        <v>0</v>
      </c>
      <c r="CZ136" s="166"/>
      <c r="DA136" s="166">
        <v>2765.8</v>
      </c>
      <c r="DB136" s="166"/>
      <c r="DC136" s="166">
        <v>0</v>
      </c>
      <c r="DD136" s="59">
        <v>0.16300000000000001</v>
      </c>
      <c r="DE136" s="59">
        <v>0.14960000000000001</v>
      </c>
      <c r="DF136" s="59">
        <v>0.21340000000000001</v>
      </c>
      <c r="DG136" s="59">
        <v>4.3700000000000003E-2</v>
      </c>
      <c r="DH136" s="59">
        <v>1.09E-2</v>
      </c>
      <c r="DI136" s="59">
        <v>0.21640000000000001</v>
      </c>
      <c r="DJ136" s="59">
        <v>4.8099999999999997E-2</v>
      </c>
      <c r="DK136" s="59">
        <v>0.3458</v>
      </c>
      <c r="DL136" s="169">
        <v>0</v>
      </c>
      <c r="DM136" s="59">
        <v>0.10440000000000001</v>
      </c>
      <c r="DN136" s="169">
        <v>0</v>
      </c>
      <c r="DO136" s="170">
        <v>1.2239</v>
      </c>
      <c r="DP136" s="171">
        <f t="shared" si="88"/>
        <v>1.8016000000000001</v>
      </c>
      <c r="DQ136" s="59">
        <v>0.106</v>
      </c>
      <c r="DR136" s="59">
        <v>0.19539999999999999</v>
      </c>
      <c r="DS136" s="59">
        <v>2.3E-2</v>
      </c>
      <c r="DT136" s="59">
        <v>4.8399999999999999E-2</v>
      </c>
      <c r="DU136" s="59">
        <v>2.3699999999999999E-2</v>
      </c>
      <c r="DV136" s="59">
        <v>5.9700000000000003E-2</v>
      </c>
      <c r="DW136" s="59">
        <v>8.3000000000000001E-3</v>
      </c>
      <c r="DX136" s="169">
        <v>0</v>
      </c>
      <c r="DY136" s="170">
        <v>1.375</v>
      </c>
      <c r="DZ136" s="171">
        <f t="shared" si="89"/>
        <v>2.0349090909090908</v>
      </c>
      <c r="EA136" s="59">
        <v>0.68559999999999999</v>
      </c>
      <c r="EB136" s="171">
        <f t="shared" si="90"/>
        <v>1.7909859976662776</v>
      </c>
      <c r="EC136" s="59">
        <v>0.30909999999999999</v>
      </c>
      <c r="ED136" s="171">
        <f t="shared" si="91"/>
        <v>1.686832740213523</v>
      </c>
      <c r="EE136" s="59">
        <v>4.0500000000000001E-2</v>
      </c>
      <c r="EF136" s="59">
        <v>5.5999999999999999E-3</v>
      </c>
      <c r="EG136" s="59">
        <v>0.19139999999999999</v>
      </c>
      <c r="EH136" s="59">
        <v>0</v>
      </c>
      <c r="EI136" s="208">
        <v>0.13980000000000001</v>
      </c>
      <c r="EJ136" s="172">
        <v>5.7306999999999997</v>
      </c>
      <c r="EK136" s="173"/>
      <c r="EL136" s="169">
        <v>0</v>
      </c>
      <c r="EM136" s="169">
        <v>0</v>
      </c>
      <c r="EN136" s="59"/>
      <c r="EO136" s="172"/>
      <c r="ES136" s="57">
        <f t="shared" si="101"/>
        <v>5.7306999999999997</v>
      </c>
      <c r="ET136" s="57">
        <f t="shared" si="102"/>
        <v>0</v>
      </c>
      <c r="EU136" s="31"/>
      <c r="EV136" s="61">
        <f t="shared" si="92"/>
        <v>1.7823651560891338</v>
      </c>
      <c r="EW136" s="62"/>
      <c r="EX136" s="158">
        <f t="shared" si="149"/>
        <v>-2.7356364999999991</v>
      </c>
      <c r="EY136" s="77">
        <f t="shared" si="151"/>
        <v>7.7020607999999999</v>
      </c>
      <c r="EZ136" s="158">
        <f t="shared" si="93"/>
        <v>10.214199999999998</v>
      </c>
      <c r="FA136" s="158">
        <f t="shared" si="94"/>
        <v>10.214199999999998</v>
      </c>
      <c r="FH136" s="174">
        <f t="shared" si="103"/>
        <v>28265.755659999995</v>
      </c>
      <c r="FJ136" s="87">
        <v>1.4015216291203521</v>
      </c>
      <c r="FK136" s="176">
        <f t="shared" si="104"/>
        <v>1.2717357471021076</v>
      </c>
      <c r="FM136" s="87" t="e">
        <f t="shared" si="105"/>
        <v>#DIV/0!</v>
      </c>
      <c r="FO136" s="88">
        <f t="shared" si="95"/>
        <v>28265.755659999995</v>
      </c>
      <c r="FP136" s="79">
        <f t="shared" si="96"/>
        <v>0</v>
      </c>
      <c r="FS136" s="79">
        <f t="shared" si="97"/>
        <v>15858.56611</v>
      </c>
      <c r="FT136" s="79">
        <f t="shared" si="98"/>
        <v>0</v>
      </c>
      <c r="FU136" s="79">
        <f t="shared" si="106"/>
        <v>1.7823651560891336</v>
      </c>
      <c r="FV136" s="79" t="e">
        <f t="shared" si="106"/>
        <v>#DIV/0!</v>
      </c>
      <c r="FY136" s="79">
        <f t="shared" si="107"/>
        <v>28265.755659999995</v>
      </c>
      <c r="FZ136" s="79">
        <f t="shared" si="108"/>
        <v>0</v>
      </c>
      <c r="GB136" s="178">
        <f t="shared" si="109"/>
        <v>2767.3</v>
      </c>
      <c r="GC136" s="178">
        <f t="shared" si="110"/>
        <v>0</v>
      </c>
      <c r="GG136" s="14">
        <v>8.0433000000000003</v>
      </c>
      <c r="GH136" s="175">
        <f t="shared" si="111"/>
        <v>1.269901657279972</v>
      </c>
      <c r="GI136" s="14">
        <v>8.0433000000000003</v>
      </c>
      <c r="GJ136" s="175">
        <f t="shared" si="112"/>
        <v>1.269901657279972</v>
      </c>
      <c r="GK136" s="175">
        <f t="shared" si="150"/>
        <v>0</v>
      </c>
      <c r="GN136" s="14">
        <v>10.4855</v>
      </c>
      <c r="GO136" s="175">
        <f t="shared" si="113"/>
        <v>1.3036315939974885</v>
      </c>
      <c r="GP136" s="179">
        <f t="shared" si="114"/>
        <v>0.97412617424061787</v>
      </c>
      <c r="GQ136" s="14">
        <v>10.4855</v>
      </c>
      <c r="GR136" s="175">
        <f t="shared" si="115"/>
        <v>1.3036315939974885</v>
      </c>
      <c r="GS136" s="175">
        <f t="shared" si="116"/>
        <v>0.97412617424061787</v>
      </c>
      <c r="GV136" s="32">
        <f t="shared" si="117"/>
        <v>28265.755659999995</v>
      </c>
      <c r="GW136" s="32">
        <f t="shared" si="118"/>
        <v>0</v>
      </c>
      <c r="GX136" s="180">
        <f t="shared" si="119"/>
        <v>28265.755659999995</v>
      </c>
      <c r="GZ136" s="32">
        <f t="shared" si="120"/>
        <v>10.214199999999998</v>
      </c>
      <c r="HA136" s="32" t="e">
        <f t="shared" si="121"/>
        <v>#DIV/0!</v>
      </c>
      <c r="HB136" s="32">
        <f t="shared" si="122"/>
        <v>10.214199999999998</v>
      </c>
    </row>
    <row r="137" spans="1:210" ht="19.2" customHeight="1" x14ac:dyDescent="0.3">
      <c r="A137" s="50">
        <v>129</v>
      </c>
      <c r="B137" s="51" t="s">
        <v>718</v>
      </c>
      <c r="C137" s="51"/>
      <c r="D137" s="52">
        <v>5</v>
      </c>
      <c r="E137" s="52">
        <v>4</v>
      </c>
      <c r="F137" s="63">
        <v>70</v>
      </c>
      <c r="G137" s="54" t="s">
        <v>116</v>
      </c>
      <c r="H137" s="181" t="s">
        <v>56</v>
      </c>
      <c r="I137" s="55">
        <f t="shared" si="99"/>
        <v>3198.27</v>
      </c>
      <c r="J137" s="55">
        <f t="shared" ref="J137:J200" si="152">T137</f>
        <v>0</v>
      </c>
      <c r="K137" s="55">
        <f t="shared" ref="K137:K200" si="153">O137</f>
        <v>0</v>
      </c>
      <c r="L137" s="56">
        <v>3198.27</v>
      </c>
      <c r="M137" s="56">
        <v>3198.27</v>
      </c>
      <c r="N137" s="56">
        <f t="shared" si="100"/>
        <v>3198.27</v>
      </c>
      <c r="O137" s="56">
        <v>0</v>
      </c>
      <c r="P137" s="56">
        <v>0</v>
      </c>
      <c r="Q137" s="55"/>
      <c r="R137" s="55">
        <v>3198.27</v>
      </c>
      <c r="S137" s="55"/>
      <c r="T137" s="55">
        <v>0</v>
      </c>
      <c r="U137" s="152">
        <v>3198.27</v>
      </c>
      <c r="V137" s="57">
        <v>0.16520000000000001</v>
      </c>
      <c r="W137" s="153">
        <v>0.10639999999999999</v>
      </c>
      <c r="X137" s="57">
        <v>0.32800000000000001</v>
      </c>
      <c r="Y137" s="57">
        <v>7.3300000000000004E-2</v>
      </c>
      <c r="Z137" s="153">
        <v>0</v>
      </c>
      <c r="AA137" s="57">
        <v>0.45689999999999997</v>
      </c>
      <c r="AB137" s="153">
        <v>0</v>
      </c>
      <c r="AC137" s="57">
        <v>0.63149999999999995</v>
      </c>
      <c r="AD137" s="57">
        <v>0.16320000000000001</v>
      </c>
      <c r="AE137" s="57">
        <v>0</v>
      </c>
      <c r="AF137" s="57">
        <v>1.268</v>
      </c>
      <c r="AG137" s="57">
        <v>0.22040000000000001</v>
      </c>
      <c r="AH137" s="57">
        <v>0.37719999999999998</v>
      </c>
      <c r="AI137" s="153">
        <v>9.0700000000000003E-2</v>
      </c>
      <c r="AJ137" s="153">
        <v>0.1041</v>
      </c>
      <c r="AK137" s="153">
        <v>0</v>
      </c>
      <c r="AL137" s="57">
        <v>0.16170000000000001</v>
      </c>
      <c r="AM137" s="153">
        <v>3.27E-2</v>
      </c>
      <c r="AN137" s="57">
        <v>0</v>
      </c>
      <c r="AO137" s="153">
        <v>2.1878000000000002</v>
      </c>
      <c r="AP137" s="57">
        <v>1.1134999999999999</v>
      </c>
      <c r="AQ137" s="57">
        <v>9.4100000000000003E-2</v>
      </c>
      <c r="AR137" s="153">
        <v>0.48359999999999997</v>
      </c>
      <c r="AS137" s="57">
        <v>5.0599999999999999E-2</v>
      </c>
      <c r="AT137" s="57">
        <v>8.2000000000000007E-3</v>
      </c>
      <c r="AU137" s="153">
        <v>0.33979999999999999</v>
      </c>
      <c r="AV137" s="153">
        <v>0</v>
      </c>
      <c r="AW137" s="154">
        <v>8.4568999999999992</v>
      </c>
      <c r="AX137" s="58">
        <v>0.42280000000000001</v>
      </c>
      <c r="AY137" s="155">
        <f t="shared" ref="AY137:AY200" si="154">ROUND((V137+W137+X137+Y137+Z137+AA137+AB137+AC137+AD137+AE137+AF137+AG137+AH137+AI137+AJ137+AK137+AL137+AM137+AN137+AO137+AP137+AR137+AS137+AT137+AU137+AV137)*0.05,4)</f>
        <v>0.41810000000000003</v>
      </c>
      <c r="AZ137" s="155">
        <f t="shared" ref="AZ137:AZ200" si="155">AX137-AY137</f>
        <v>4.699999999999982E-3</v>
      </c>
      <c r="BA137" s="14">
        <v>8.8796999999999997</v>
      </c>
      <c r="BB137" s="59">
        <f>BA137-'[1]Тариф 26 свод без  ПДВ'!AU137</f>
        <v>2.8000000000005798E-3</v>
      </c>
      <c r="BC137" s="57">
        <v>0</v>
      </c>
      <c r="BD137" s="57">
        <v>0</v>
      </c>
      <c r="BE137" s="57">
        <v>0</v>
      </c>
      <c r="BF137" s="156">
        <v>8.4568999999999992</v>
      </c>
      <c r="BG137" s="59">
        <v>0.42280000000000001</v>
      </c>
      <c r="BH137" s="59"/>
      <c r="BI137" s="59"/>
      <c r="BJ137" s="14">
        <v>8.8796999999999997</v>
      </c>
      <c r="BK137" s="60"/>
      <c r="BL137" s="60">
        <v>4.3321999999999985</v>
      </c>
      <c r="BM137" s="60">
        <v>0.21659999999999999</v>
      </c>
      <c r="BN137" s="14">
        <v>4.5487999999999982</v>
      </c>
      <c r="BO137" s="14"/>
      <c r="BP137" s="157"/>
      <c r="BQ137" s="158">
        <f>BJ137-'[1]Тариф 26 свод без  ПДВ'!BG137</f>
        <v>2.8000000000005798E-3</v>
      </c>
      <c r="BR137" s="77">
        <f>'[1]Тариф 26 свод без  ПДВ'!BG137</f>
        <v>8.8768999999999991</v>
      </c>
      <c r="BS137" s="159">
        <f t="shared" ref="BS137:BS200" si="156">BJ137-BR137</f>
        <v>2.8000000000005798E-3</v>
      </c>
      <c r="BU137" s="77">
        <f>'[1]Тариф 26 свод без  ПДВ'!AU137</f>
        <v>8.8768999999999991</v>
      </c>
      <c r="BV137" s="159">
        <f t="shared" ref="BV137:BV200" si="157">BA137-BU137</f>
        <v>2.8000000000005798E-3</v>
      </c>
      <c r="BX137" s="95">
        <v>3.9651999999999998</v>
      </c>
      <c r="BY137" s="95">
        <v>3.9651999999999998</v>
      </c>
      <c r="BZ137" s="95"/>
      <c r="CA137" s="62">
        <f t="shared" ref="CA137:CA200" si="158">BA137/BX137</f>
        <v>2.2394078482800364</v>
      </c>
      <c r="CB137" s="62">
        <f t="shared" ref="CB137:CB200" si="159">BJ137/BY137</f>
        <v>2.2394078482800364</v>
      </c>
      <c r="CI137" s="160">
        <f>'[1]0 СВОД'!AYY152</f>
        <v>28399.551510620935</v>
      </c>
      <c r="CJ137" s="77">
        <f t="shared" ref="CJ137:CJ200" si="160">CI137*12</f>
        <v>340794.61812745122</v>
      </c>
      <c r="CM137" s="161">
        <v>135</v>
      </c>
      <c r="CN137" s="183" t="s">
        <v>719</v>
      </c>
      <c r="CO137" s="163">
        <v>5</v>
      </c>
      <c r="CP137" s="163">
        <v>4</v>
      </c>
      <c r="CQ137" s="164" t="s">
        <v>116</v>
      </c>
      <c r="CR137" s="165" t="s">
        <v>56</v>
      </c>
      <c r="CS137" s="166">
        <v>3196.97</v>
      </c>
      <c r="CT137" s="166">
        <v>0</v>
      </c>
      <c r="CU137" s="167">
        <v>0</v>
      </c>
      <c r="CV137" s="168">
        <v>3196.97</v>
      </c>
      <c r="CW137" s="166">
        <v>3196.97</v>
      </c>
      <c r="CX137" s="167">
        <v>0</v>
      </c>
      <c r="CY137" s="166">
        <v>0</v>
      </c>
      <c r="CZ137" s="166"/>
      <c r="DA137" s="166">
        <v>3196.97</v>
      </c>
      <c r="DB137" s="166"/>
      <c r="DC137" s="166">
        <v>0</v>
      </c>
      <c r="DD137" s="59">
        <v>0.16220000000000001</v>
      </c>
      <c r="DE137" s="59">
        <v>0.1729</v>
      </c>
      <c r="DF137" s="59">
        <v>0.2157</v>
      </c>
      <c r="DG137" s="59">
        <v>4.3099999999999999E-2</v>
      </c>
      <c r="DH137" s="59">
        <v>0</v>
      </c>
      <c r="DI137" s="59">
        <v>0.1993</v>
      </c>
      <c r="DJ137" s="59">
        <v>4.8099999999999997E-2</v>
      </c>
      <c r="DK137" s="59">
        <v>0.3458</v>
      </c>
      <c r="DL137" s="169">
        <v>0</v>
      </c>
      <c r="DM137" s="59">
        <v>9.9299999999999999E-2</v>
      </c>
      <c r="DN137" s="169">
        <v>0</v>
      </c>
      <c r="DO137" s="184">
        <v>0.78480000000000005</v>
      </c>
      <c r="DP137" s="171">
        <f t="shared" ref="DP137:DP200" si="161">AF137</f>
        <v>1.268</v>
      </c>
      <c r="DQ137" s="59">
        <v>0.1062</v>
      </c>
      <c r="DR137" s="59">
        <v>0.2258</v>
      </c>
      <c r="DS137" s="59">
        <v>2.3699999999999999E-2</v>
      </c>
      <c r="DT137" s="59">
        <v>4.9099999999999998E-2</v>
      </c>
      <c r="DU137" s="59">
        <v>0</v>
      </c>
      <c r="DV137" s="59">
        <v>5.6300000000000003E-2</v>
      </c>
      <c r="DW137" s="59">
        <v>8.8000000000000005E-3</v>
      </c>
      <c r="DX137" s="169">
        <v>0</v>
      </c>
      <c r="DY137" s="59">
        <v>1.0716000000000001</v>
      </c>
      <c r="DZ137" s="171">
        <f t="shared" ref="DZ137:DZ200" si="162">AO137/DY137</f>
        <v>2.0416200074654722</v>
      </c>
      <c r="EA137" s="59">
        <v>0.64459999999999995</v>
      </c>
      <c r="EB137" s="171">
        <f t="shared" ref="EB137:EB200" si="163">(AP137+AQ137)/EA137</f>
        <v>1.8734098665839283</v>
      </c>
      <c r="EC137" s="59">
        <v>0.23930000000000001</v>
      </c>
      <c r="ED137" s="171">
        <f t="shared" ref="ED137:ED200" si="164">AR137/EC137</f>
        <v>2.0208942749686583</v>
      </c>
      <c r="EE137" s="59">
        <v>3.8699999999999998E-2</v>
      </c>
      <c r="EF137" s="59">
        <v>5.4000000000000003E-3</v>
      </c>
      <c r="EG137" s="59">
        <v>0.21129999999999999</v>
      </c>
      <c r="EH137" s="59">
        <v>0</v>
      </c>
      <c r="EI137" s="208">
        <v>0.1188</v>
      </c>
      <c r="EJ137" s="172">
        <v>4.8708</v>
      </c>
      <c r="EK137" s="173"/>
      <c r="EL137" s="169">
        <v>0</v>
      </c>
      <c r="EM137" s="169">
        <v>0</v>
      </c>
      <c r="EN137" s="59"/>
      <c r="EO137" s="172"/>
      <c r="ES137" s="57">
        <f t="shared" si="101"/>
        <v>4.8708</v>
      </c>
      <c r="ET137" s="57">
        <f t="shared" si="102"/>
        <v>0</v>
      </c>
      <c r="EU137" s="31"/>
      <c r="EV137" s="61">
        <f t="shared" ref="EV137:EV200" si="165">BA137/ES137</f>
        <v>1.8230475486573048</v>
      </c>
      <c r="EW137" s="62"/>
      <c r="EX137" s="158">
        <f t="shared" si="149"/>
        <v>-2.5233059999999998</v>
      </c>
      <c r="EY137" s="77">
        <f t="shared" si="151"/>
        <v>6.5463552000000007</v>
      </c>
      <c r="EZ137" s="158">
        <f t="shared" ref="EZ137:EZ200" si="166">BA137</f>
        <v>8.8796999999999997</v>
      </c>
      <c r="FA137" s="158">
        <f t="shared" ref="FA137:FA200" si="167">BJ137</f>
        <v>8.8796999999999997</v>
      </c>
      <c r="FH137" s="174">
        <f t="shared" si="103"/>
        <v>28399.678119</v>
      </c>
      <c r="FJ137" s="87">
        <v>1.4078590785907859</v>
      </c>
      <c r="FK137" s="176">
        <f t="shared" si="104"/>
        <v>1.2949076909615891</v>
      </c>
      <c r="FM137" s="87" t="e">
        <f t="shared" si="105"/>
        <v>#DIV/0!</v>
      </c>
      <c r="FO137" s="88">
        <f t="shared" ref="FO137:FO200" si="168">BA137*L137</f>
        <v>28399.678119</v>
      </c>
      <c r="FP137" s="79">
        <f t="shared" ref="FP137:FP200" si="169">T137*BJ137</f>
        <v>0</v>
      </c>
      <c r="FS137" s="79">
        <f t="shared" ref="FS137:FS200" si="170">ES137*L137</f>
        <v>15578.133516</v>
      </c>
      <c r="FT137" s="79">
        <f t="shared" ref="FT137:FT200" si="171">ET137*T137</f>
        <v>0</v>
      </c>
      <c r="FU137" s="79">
        <f t="shared" si="106"/>
        <v>1.8230475486573048</v>
      </c>
      <c r="FV137" s="79" t="e">
        <f t="shared" si="106"/>
        <v>#DIV/0!</v>
      </c>
      <c r="FY137" s="79">
        <f t="shared" si="107"/>
        <v>28399.678119</v>
      </c>
      <c r="FZ137" s="79">
        <f t="shared" si="108"/>
        <v>0</v>
      </c>
      <c r="GB137" s="178">
        <f t="shared" si="109"/>
        <v>3198.27</v>
      </c>
      <c r="GC137" s="178">
        <f t="shared" si="110"/>
        <v>0</v>
      </c>
      <c r="GG137" s="14">
        <v>6.9923000000000011</v>
      </c>
      <c r="GH137" s="175">
        <f t="shared" si="111"/>
        <v>1.2699254894669849</v>
      </c>
      <c r="GI137" s="14">
        <v>6.9923000000000011</v>
      </c>
      <c r="GJ137" s="175">
        <f t="shared" si="112"/>
        <v>1.2699254894669849</v>
      </c>
      <c r="GK137" s="175">
        <f t="shared" si="150"/>
        <v>0</v>
      </c>
      <c r="GN137" s="14">
        <v>8.9326000000000025</v>
      </c>
      <c r="GO137" s="175">
        <f t="shared" si="113"/>
        <v>1.2774909543354835</v>
      </c>
      <c r="GP137" s="179">
        <f t="shared" si="114"/>
        <v>0.99407787206412435</v>
      </c>
      <c r="GQ137" s="14">
        <v>8.9326000000000025</v>
      </c>
      <c r="GR137" s="175">
        <f t="shared" si="115"/>
        <v>1.2774909543354835</v>
      </c>
      <c r="GS137" s="175">
        <f t="shared" si="116"/>
        <v>0.99407787206412435</v>
      </c>
      <c r="GV137" s="32">
        <f t="shared" si="117"/>
        <v>28399.678119</v>
      </c>
      <c r="GW137" s="32">
        <f t="shared" si="118"/>
        <v>0</v>
      </c>
      <c r="GX137" s="180">
        <f t="shared" si="119"/>
        <v>28399.678119</v>
      </c>
      <c r="GZ137" s="32">
        <f t="shared" si="120"/>
        <v>8.8796999999999997</v>
      </c>
      <c r="HA137" s="32" t="e">
        <f t="shared" si="121"/>
        <v>#DIV/0!</v>
      </c>
      <c r="HB137" s="32">
        <f t="shared" si="122"/>
        <v>8.8796999999999997</v>
      </c>
    </row>
    <row r="138" spans="1:210" ht="19.2" customHeight="1" x14ac:dyDescent="0.3">
      <c r="A138" s="50">
        <v>130</v>
      </c>
      <c r="B138" s="51" t="s">
        <v>720</v>
      </c>
      <c r="C138" s="51"/>
      <c r="D138" s="52">
        <v>5</v>
      </c>
      <c r="E138" s="52">
        <v>2</v>
      </c>
      <c r="F138" s="63">
        <v>120</v>
      </c>
      <c r="G138" s="54" t="s">
        <v>117</v>
      </c>
      <c r="H138" s="181" t="s">
        <v>65</v>
      </c>
      <c r="I138" s="55">
        <f t="shared" ref="I138:I201" si="172">L138-J138-K138</f>
        <v>3356.3</v>
      </c>
      <c r="J138" s="55">
        <f t="shared" si="152"/>
        <v>0</v>
      </c>
      <c r="K138" s="55">
        <f t="shared" si="153"/>
        <v>0</v>
      </c>
      <c r="L138" s="56">
        <v>3356.3</v>
      </c>
      <c r="M138" s="56">
        <v>3356.3</v>
      </c>
      <c r="N138" s="56">
        <f t="shared" ref="N138:N201" si="173">L138-O138-T138</f>
        <v>3356.3</v>
      </c>
      <c r="O138" s="56">
        <v>0</v>
      </c>
      <c r="P138" s="56">
        <v>0</v>
      </c>
      <c r="Q138" s="55"/>
      <c r="R138" s="55">
        <v>3356.3</v>
      </c>
      <c r="S138" s="55"/>
      <c r="T138" s="55">
        <v>0</v>
      </c>
      <c r="U138" s="152">
        <v>3356.3</v>
      </c>
      <c r="V138" s="57">
        <v>0.18190000000000001</v>
      </c>
      <c r="W138" s="153">
        <v>0.1168</v>
      </c>
      <c r="X138" s="57">
        <v>0.32790000000000002</v>
      </c>
      <c r="Y138" s="57">
        <v>7.46E-2</v>
      </c>
      <c r="Z138" s="153">
        <v>0</v>
      </c>
      <c r="AA138" s="57">
        <v>0.36509999999999998</v>
      </c>
      <c r="AB138" s="153">
        <v>0</v>
      </c>
      <c r="AC138" s="57">
        <v>0.63149999999999995</v>
      </c>
      <c r="AD138" s="57">
        <v>0.28270000000000001</v>
      </c>
      <c r="AE138" s="57">
        <v>0</v>
      </c>
      <c r="AF138" s="57">
        <v>1.6345000000000001</v>
      </c>
      <c r="AG138" s="57">
        <v>0.2495</v>
      </c>
      <c r="AH138" s="57">
        <v>0.40550000000000003</v>
      </c>
      <c r="AI138" s="153">
        <v>8.5000000000000006E-2</v>
      </c>
      <c r="AJ138" s="153">
        <v>0.1013</v>
      </c>
      <c r="AK138" s="153">
        <v>0</v>
      </c>
      <c r="AL138" s="57">
        <v>0.1288</v>
      </c>
      <c r="AM138" s="153">
        <v>3.1600000000000003E-2</v>
      </c>
      <c r="AN138" s="57">
        <v>0</v>
      </c>
      <c r="AO138" s="153">
        <v>2.2599999999999998</v>
      </c>
      <c r="AP138" s="57">
        <v>0.56340000000000001</v>
      </c>
      <c r="AQ138" s="57">
        <v>9.69E-2</v>
      </c>
      <c r="AR138" s="153">
        <v>0.39050000000000001</v>
      </c>
      <c r="AS138" s="57">
        <v>5.4899999999999997E-2</v>
      </c>
      <c r="AT138" s="57">
        <v>8.8999999999999999E-3</v>
      </c>
      <c r="AU138" s="153">
        <v>0.98229999999999995</v>
      </c>
      <c r="AV138" s="153">
        <v>0</v>
      </c>
      <c r="AW138" s="154">
        <v>8.9735999999999994</v>
      </c>
      <c r="AX138" s="58">
        <v>0.44869999999999999</v>
      </c>
      <c r="AY138" s="155">
        <f t="shared" si="154"/>
        <v>0.44379999999999997</v>
      </c>
      <c r="AZ138" s="155">
        <f t="shared" si="155"/>
        <v>4.9000000000000155E-3</v>
      </c>
      <c r="BA138" s="14">
        <v>9.4222999999999999</v>
      </c>
      <c r="BB138" s="59">
        <f>BA138-'[1]Тариф 26 свод без  ПДВ'!AU138</f>
        <v>4.7999999999994714E-3</v>
      </c>
      <c r="BC138" s="57">
        <v>0</v>
      </c>
      <c r="BD138" s="57">
        <v>0</v>
      </c>
      <c r="BE138" s="57">
        <v>0</v>
      </c>
      <c r="BF138" s="156">
        <v>8.9735999999999994</v>
      </c>
      <c r="BG138" s="59">
        <v>0.44869999999999999</v>
      </c>
      <c r="BH138" s="59"/>
      <c r="BI138" s="59"/>
      <c r="BJ138" s="14">
        <v>9.4222999999999999</v>
      </c>
      <c r="BK138" s="60"/>
      <c r="BL138" s="60">
        <v>4.7773999999999992</v>
      </c>
      <c r="BM138" s="60">
        <v>0.2389</v>
      </c>
      <c r="BN138" s="14">
        <v>5.0162999999999993</v>
      </c>
      <c r="BO138" s="14"/>
      <c r="BP138" s="157"/>
      <c r="BQ138" s="158">
        <f>BJ138-'[1]Тариф 26 свод без  ПДВ'!BG138</f>
        <v>4.7999999999994714E-3</v>
      </c>
      <c r="BR138" s="77">
        <f>'[1]Тариф 26 свод без  ПДВ'!BG138</f>
        <v>9.4175000000000004</v>
      </c>
      <c r="BS138" s="159">
        <f t="shared" si="156"/>
        <v>4.7999999999994714E-3</v>
      </c>
      <c r="BU138" s="77">
        <f>'[1]Тариф 26 свод без  ПДВ'!AU138</f>
        <v>9.4175000000000004</v>
      </c>
      <c r="BV138" s="159">
        <f t="shared" si="157"/>
        <v>4.7999999999994714E-3</v>
      </c>
      <c r="BX138" s="95">
        <v>4.2037000000000004</v>
      </c>
      <c r="BY138" s="95">
        <v>4.2037000000000004</v>
      </c>
      <c r="BZ138" s="95"/>
      <c r="CA138" s="182">
        <f t="shared" si="158"/>
        <v>2.2414301686609415</v>
      </c>
      <c r="CB138" s="182">
        <f t="shared" si="159"/>
        <v>2.2414301686609415</v>
      </c>
      <c r="CI138" s="160">
        <f>'[1]0 СВОД'!AYY153</f>
        <v>31624.275163729624</v>
      </c>
      <c r="CJ138" s="77">
        <f t="shared" si="160"/>
        <v>379491.30196475552</v>
      </c>
      <c r="CM138" s="161">
        <v>136</v>
      </c>
      <c r="CN138" s="183" t="s">
        <v>721</v>
      </c>
      <c r="CO138" s="163">
        <v>5</v>
      </c>
      <c r="CP138" s="163">
        <v>2</v>
      </c>
      <c r="CQ138" s="164" t="s">
        <v>117</v>
      </c>
      <c r="CR138" s="165" t="s">
        <v>65</v>
      </c>
      <c r="CS138" s="166">
        <v>3355.9</v>
      </c>
      <c r="CT138" s="166">
        <v>0</v>
      </c>
      <c r="CU138" s="167">
        <v>0</v>
      </c>
      <c r="CV138" s="168">
        <v>3355.9</v>
      </c>
      <c r="CW138" s="166">
        <v>3355.9</v>
      </c>
      <c r="CX138" s="167">
        <v>0</v>
      </c>
      <c r="CY138" s="166">
        <v>0</v>
      </c>
      <c r="CZ138" s="166"/>
      <c r="DA138" s="166">
        <v>3355.9</v>
      </c>
      <c r="DB138" s="166"/>
      <c r="DC138" s="166">
        <v>0</v>
      </c>
      <c r="DD138" s="59">
        <v>0.17849999999999999</v>
      </c>
      <c r="DE138" s="59">
        <v>0.18970000000000001</v>
      </c>
      <c r="DF138" s="59">
        <v>0.21560000000000001</v>
      </c>
      <c r="DG138" s="59">
        <v>4.3700000000000003E-2</v>
      </c>
      <c r="DH138" s="59">
        <v>0</v>
      </c>
      <c r="DI138" s="59">
        <v>0.1507</v>
      </c>
      <c r="DJ138" s="59">
        <v>4.8099999999999997E-2</v>
      </c>
      <c r="DK138" s="59">
        <v>0.3458</v>
      </c>
      <c r="DL138" s="169">
        <v>0</v>
      </c>
      <c r="DM138" s="59">
        <v>0.1721</v>
      </c>
      <c r="DN138" s="169">
        <v>0</v>
      </c>
      <c r="DO138" s="184">
        <v>0.9798</v>
      </c>
      <c r="DP138" s="171">
        <f t="shared" si="161"/>
        <v>1.6345000000000001</v>
      </c>
      <c r="DQ138" s="59">
        <v>0.12039999999999999</v>
      </c>
      <c r="DR138" s="59">
        <v>0.24779999999999999</v>
      </c>
      <c r="DS138" s="59">
        <v>2.2100000000000002E-2</v>
      </c>
      <c r="DT138" s="59">
        <v>4.7800000000000002E-2</v>
      </c>
      <c r="DU138" s="59">
        <v>0</v>
      </c>
      <c r="DV138" s="59">
        <v>4.3099999999999999E-2</v>
      </c>
      <c r="DW138" s="59">
        <v>8.3000000000000001E-3</v>
      </c>
      <c r="DX138" s="169">
        <v>0</v>
      </c>
      <c r="DY138" s="59">
        <v>1.1060000000000001</v>
      </c>
      <c r="DZ138" s="171">
        <f t="shared" si="162"/>
        <v>2.0433996383363469</v>
      </c>
      <c r="EA138" s="59">
        <v>0.33779999999999999</v>
      </c>
      <c r="EB138" s="171">
        <f t="shared" si="163"/>
        <v>1.9547069271758437</v>
      </c>
      <c r="EC138" s="59">
        <v>0.18990000000000001</v>
      </c>
      <c r="ED138" s="171">
        <f t="shared" si="164"/>
        <v>2.0563454449710372</v>
      </c>
      <c r="EE138" s="59">
        <v>4.2000000000000003E-2</v>
      </c>
      <c r="EF138" s="59">
        <v>5.7999999999999996E-3</v>
      </c>
      <c r="EG138" s="59">
        <v>0.77259999999999995</v>
      </c>
      <c r="EH138" s="59">
        <v>0</v>
      </c>
      <c r="EI138" s="208">
        <v>0.13170000000000001</v>
      </c>
      <c r="EJ138" s="172">
        <v>5.3992999999999993</v>
      </c>
      <c r="EK138" s="173"/>
      <c r="EL138" s="169">
        <v>0</v>
      </c>
      <c r="EM138" s="169">
        <v>0</v>
      </c>
      <c r="EN138" s="59"/>
      <c r="EO138" s="172"/>
      <c r="ES138" s="57">
        <f t="shared" ref="ES138:ES201" si="174">EJ138</f>
        <v>5.3992999999999993</v>
      </c>
      <c r="ET138" s="57">
        <f t="shared" ref="ET138:ET201" si="175">EO138</f>
        <v>0</v>
      </c>
      <c r="EU138" s="31"/>
      <c r="EV138" s="61">
        <f t="shared" si="165"/>
        <v>1.7450965865945587</v>
      </c>
      <c r="EW138" s="62"/>
      <c r="EX138" s="158">
        <f t="shared" si="149"/>
        <v>-2.3762135000000013</v>
      </c>
      <c r="EY138" s="77">
        <f t="shared" si="151"/>
        <v>7.2566591999999996</v>
      </c>
      <c r="EZ138" s="158">
        <f t="shared" si="166"/>
        <v>9.4222999999999999</v>
      </c>
      <c r="FA138" s="158">
        <f t="shared" si="167"/>
        <v>9.4222999999999999</v>
      </c>
      <c r="FH138" s="174">
        <f t="shared" ref="FH138:FH202" si="176">L138*BA138</f>
        <v>31624.065490000001</v>
      </c>
      <c r="FJ138" s="87">
        <v>1.4085529605689626</v>
      </c>
      <c r="FK138" s="176">
        <f t="shared" ref="FK138:FK201" si="177">EV138/FJ138</f>
        <v>1.2389286277809921</v>
      </c>
      <c r="FM138" s="87" t="e">
        <f t="shared" ref="FM138:FM201" si="178">EW138/FL138</f>
        <v>#DIV/0!</v>
      </c>
      <c r="FO138" s="88">
        <f t="shared" si="168"/>
        <v>31624.065490000001</v>
      </c>
      <c r="FP138" s="79">
        <f t="shared" si="169"/>
        <v>0</v>
      </c>
      <c r="FS138" s="79">
        <f t="shared" si="170"/>
        <v>18121.670589999998</v>
      </c>
      <c r="FT138" s="79">
        <f t="shared" si="171"/>
        <v>0</v>
      </c>
      <c r="FU138" s="79">
        <f t="shared" ref="FU138:FV201" si="179">FO138/FS138</f>
        <v>1.7450965865945589</v>
      </c>
      <c r="FV138" s="79" t="e">
        <f t="shared" si="179"/>
        <v>#DIV/0!</v>
      </c>
      <c r="FY138" s="79">
        <f t="shared" ref="FY138:FY201" si="180">(L138-T138)*BA138</f>
        <v>31624.065490000001</v>
      </c>
      <c r="FZ138" s="79">
        <f t="shared" ref="FZ138:FZ201" si="181">T138*BJ138</f>
        <v>0</v>
      </c>
      <c r="GB138" s="178">
        <f t="shared" ref="GB138:GB201" si="182">L138-T138</f>
        <v>3356.3</v>
      </c>
      <c r="GC138" s="178">
        <f t="shared" ref="GC138:GC201" si="183">T138</f>
        <v>0</v>
      </c>
      <c r="GG138" s="14">
        <v>7.7753999999999994</v>
      </c>
      <c r="GH138" s="175">
        <f t="shared" ref="GH138:GH201" si="184">BA138/GG138</f>
        <v>1.2118090387632792</v>
      </c>
      <c r="GI138" s="14">
        <v>7.7753999999999994</v>
      </c>
      <c r="GJ138" s="175">
        <f t="shared" ref="GJ138:GJ201" si="185">BJ138/GI138</f>
        <v>1.2118090387632792</v>
      </c>
      <c r="GK138" s="175">
        <f t="shared" si="150"/>
        <v>0</v>
      </c>
      <c r="GN138" s="14">
        <v>9.2123000000000008</v>
      </c>
      <c r="GO138" s="175">
        <f t="shared" ref="GO138:GO201" si="186">GN138/GG138</f>
        <v>1.1848007819533402</v>
      </c>
      <c r="GP138" s="179">
        <f t="shared" ref="GP138:GP201" si="187">BA138/GN138</f>
        <v>1.0227956102167752</v>
      </c>
      <c r="GQ138" s="14">
        <v>9.2123000000000008</v>
      </c>
      <c r="GR138" s="175">
        <f t="shared" ref="GR138:GR201" si="188">GQ138/GI138</f>
        <v>1.1848007819533402</v>
      </c>
      <c r="GS138" s="175">
        <f t="shared" ref="GS138:GS201" si="189">BJ138/GQ138</f>
        <v>1.0227956102167752</v>
      </c>
      <c r="GV138" s="32">
        <f t="shared" ref="GV138:GV201" si="190">BA138*(L138-T138)</f>
        <v>31624.065490000001</v>
      </c>
      <c r="GW138" s="32">
        <f t="shared" ref="GW138:GW201" si="191">BJ138*T138</f>
        <v>0</v>
      </c>
      <c r="GX138" s="180">
        <f t="shared" ref="GX138:GX201" si="192">GV138+GW138</f>
        <v>31624.065490000001</v>
      </c>
      <c r="GZ138" s="32">
        <f t="shared" ref="GZ138:GZ201" si="193">GV138/(L138-T138)</f>
        <v>9.4222999999999999</v>
      </c>
      <c r="HA138" s="32" t="e">
        <f t="shared" ref="HA138:HA201" si="194">GW138/T138</f>
        <v>#DIV/0!</v>
      </c>
      <c r="HB138" s="32">
        <f t="shared" ref="HB138:HB201" si="195">GX138/L138</f>
        <v>9.4222999999999999</v>
      </c>
    </row>
    <row r="139" spans="1:210" ht="19.2" customHeight="1" x14ac:dyDescent="0.3">
      <c r="A139" s="50">
        <v>131</v>
      </c>
      <c r="B139" s="51" t="s">
        <v>722</v>
      </c>
      <c r="C139" s="51"/>
      <c r="D139" s="52">
        <v>9</v>
      </c>
      <c r="E139" s="52">
        <v>3</v>
      </c>
      <c r="F139" s="63">
        <v>108</v>
      </c>
      <c r="G139" s="54" t="s">
        <v>223</v>
      </c>
      <c r="H139" s="181" t="s">
        <v>179</v>
      </c>
      <c r="I139" s="55">
        <f t="shared" si="172"/>
        <v>513.70000000000005</v>
      </c>
      <c r="J139" s="55">
        <f t="shared" si="152"/>
        <v>5645.6</v>
      </c>
      <c r="K139" s="55">
        <f t="shared" si="153"/>
        <v>67.3</v>
      </c>
      <c r="L139" s="56">
        <v>6226.6</v>
      </c>
      <c r="M139" s="56">
        <v>6159.3</v>
      </c>
      <c r="N139" s="56">
        <f t="shared" si="173"/>
        <v>513.69999999999982</v>
      </c>
      <c r="O139" s="56">
        <v>67.3</v>
      </c>
      <c r="P139" s="56">
        <v>0</v>
      </c>
      <c r="Q139" s="55"/>
      <c r="R139" s="55">
        <v>6226.6</v>
      </c>
      <c r="S139" s="55"/>
      <c r="T139" s="55">
        <v>5645.6</v>
      </c>
      <c r="U139" s="152">
        <v>581</v>
      </c>
      <c r="V139" s="57">
        <v>0.129</v>
      </c>
      <c r="W139" s="57">
        <v>0.10100000000000001</v>
      </c>
      <c r="X139" s="153">
        <v>0.28439999999999999</v>
      </c>
      <c r="Y139" s="153">
        <v>6.5199999999999994E-2</v>
      </c>
      <c r="Z139" s="57">
        <v>2.12E-2</v>
      </c>
      <c r="AA139" s="57">
        <v>0.24959999999999999</v>
      </c>
      <c r="AB139" s="57">
        <v>0</v>
      </c>
      <c r="AC139" s="153">
        <v>0.63149999999999995</v>
      </c>
      <c r="AD139" s="57">
        <v>0.13589999999999999</v>
      </c>
      <c r="AE139" s="57">
        <v>0</v>
      </c>
      <c r="AF139" s="57">
        <v>1.9821</v>
      </c>
      <c r="AG139" s="57">
        <v>0.17030000000000001</v>
      </c>
      <c r="AH139" s="57">
        <v>0.36180000000000001</v>
      </c>
      <c r="AI139" s="57">
        <v>0.1225</v>
      </c>
      <c r="AJ139" s="57">
        <v>9.9000000000000005E-2</v>
      </c>
      <c r="AK139" s="57">
        <v>4.1200000000000001E-2</v>
      </c>
      <c r="AL139" s="57">
        <v>9.8900000000000002E-2</v>
      </c>
      <c r="AM139" s="57">
        <v>2.5600000000000001E-2</v>
      </c>
      <c r="AN139" s="57">
        <v>0</v>
      </c>
      <c r="AO139" s="57">
        <v>1.3734999999999999</v>
      </c>
      <c r="AP139" s="153">
        <v>1.4697</v>
      </c>
      <c r="AQ139" s="153">
        <v>7.9000000000000001E-2</v>
      </c>
      <c r="AR139" s="57">
        <v>0.2802</v>
      </c>
      <c r="AS139" s="57">
        <v>2.8899999999999999E-2</v>
      </c>
      <c r="AT139" s="153">
        <v>4.7000000000000002E-3</v>
      </c>
      <c r="AU139" s="153">
        <v>0.28989999999999999</v>
      </c>
      <c r="AV139" s="153">
        <v>0</v>
      </c>
      <c r="AW139" s="154">
        <v>8.0450999999999979</v>
      </c>
      <c r="AX139" s="58">
        <v>0.40229999999999999</v>
      </c>
      <c r="AY139" s="155">
        <f t="shared" si="154"/>
        <v>0.39829999999999999</v>
      </c>
      <c r="AZ139" s="155">
        <f t="shared" si="155"/>
        <v>4.0000000000000036E-3</v>
      </c>
      <c r="BA139" s="14">
        <v>8.4473999999999982</v>
      </c>
      <c r="BB139" s="59">
        <f>BA139-'[1]Тариф 26 свод без  ПДВ'!AU139</f>
        <v>-5.2000000000020918E-3</v>
      </c>
      <c r="BC139" s="57">
        <v>1.8210999999999999</v>
      </c>
      <c r="BD139" s="57">
        <v>0</v>
      </c>
      <c r="BE139" s="57">
        <v>1.1551</v>
      </c>
      <c r="BF139" s="156">
        <v>11.021299999999997</v>
      </c>
      <c r="BG139" s="59">
        <v>0.55110000000000003</v>
      </c>
      <c r="BH139" s="59"/>
      <c r="BI139" s="59"/>
      <c r="BJ139" s="14">
        <v>11.572399999999996</v>
      </c>
      <c r="BK139" s="60"/>
      <c r="BL139" s="60">
        <v>4.6317999999999984</v>
      </c>
      <c r="BM139" s="60">
        <v>0.2316</v>
      </c>
      <c r="BN139" s="14">
        <v>4.8633999999999986</v>
      </c>
      <c r="BO139" s="14"/>
      <c r="BP139" s="157"/>
      <c r="BQ139" s="158">
        <f>BJ139-'[1]Тариф 26 свод без  ПДВ'!BG139</f>
        <v>-4.0000000000439684E-4</v>
      </c>
      <c r="BR139" s="77">
        <f>'[1]Тариф 26 свод без  ПДВ'!BG139</f>
        <v>11.572800000000001</v>
      </c>
      <c r="BS139" s="159">
        <f t="shared" si="156"/>
        <v>-4.0000000000439684E-4</v>
      </c>
      <c r="BU139" s="77">
        <f>'[1]Тариф 26 свод без  ПДВ'!AU139</f>
        <v>8.4526000000000003</v>
      </c>
      <c r="BV139" s="159">
        <f t="shared" si="157"/>
        <v>-5.2000000000020918E-3</v>
      </c>
      <c r="BX139" s="95">
        <v>4.2858999999999998</v>
      </c>
      <c r="BY139" s="95">
        <v>4.2858999999999998</v>
      </c>
      <c r="BZ139" s="95"/>
      <c r="CA139" s="182">
        <f t="shared" si="158"/>
        <v>1.9709745911010519</v>
      </c>
      <c r="CB139" s="182">
        <f t="shared" si="159"/>
        <v>2.7001096619146496</v>
      </c>
      <c r="CI139" s="160">
        <f>'[1]0 СВОД'!AYY154</f>
        <v>69998.513746697063</v>
      </c>
      <c r="CJ139" s="77">
        <f t="shared" si="160"/>
        <v>839982.16496036481</v>
      </c>
      <c r="CM139" s="161">
        <v>137</v>
      </c>
      <c r="CN139" s="183" t="s">
        <v>723</v>
      </c>
      <c r="CO139" s="163">
        <v>9</v>
      </c>
      <c r="CP139" s="163">
        <v>3</v>
      </c>
      <c r="CQ139" s="164" t="s">
        <v>223</v>
      </c>
      <c r="CR139" s="165" t="s">
        <v>179</v>
      </c>
      <c r="CS139" s="166">
        <v>513.70000000000005</v>
      </c>
      <c r="CT139" s="166">
        <v>5640.3</v>
      </c>
      <c r="CU139" s="167">
        <v>67.3</v>
      </c>
      <c r="CV139" s="168">
        <v>6221.3</v>
      </c>
      <c r="CW139" s="166">
        <v>6154</v>
      </c>
      <c r="CX139" s="167">
        <v>67.3</v>
      </c>
      <c r="CY139" s="166">
        <v>1.8474111129762605E-13</v>
      </c>
      <c r="CZ139" s="166"/>
      <c r="DA139" s="166">
        <v>6221.3</v>
      </c>
      <c r="DB139" s="166"/>
      <c r="DC139" s="166">
        <v>5640.3</v>
      </c>
      <c r="DD139" s="59">
        <v>0.1268</v>
      </c>
      <c r="DE139" s="59">
        <v>0.16420000000000001</v>
      </c>
      <c r="DF139" s="59">
        <v>0.18709999999999999</v>
      </c>
      <c r="DG139" s="59">
        <v>3.8399999999999997E-2</v>
      </c>
      <c r="DH139" s="59">
        <v>8.0000000000000002E-3</v>
      </c>
      <c r="DI139" s="59">
        <v>0.10929999999999999</v>
      </c>
      <c r="DJ139" s="59">
        <v>4.8099999999999997E-2</v>
      </c>
      <c r="DK139" s="59">
        <v>0.3458</v>
      </c>
      <c r="DL139" s="169">
        <v>0</v>
      </c>
      <c r="DM139" s="59">
        <v>8.2799999999999999E-2</v>
      </c>
      <c r="DN139" s="169">
        <v>0</v>
      </c>
      <c r="DO139" s="184">
        <v>1.2492999999999999</v>
      </c>
      <c r="DP139" s="171">
        <f t="shared" si="161"/>
        <v>1.9821</v>
      </c>
      <c r="DQ139" s="59">
        <v>8.2100000000000006E-2</v>
      </c>
      <c r="DR139" s="59">
        <v>0.217</v>
      </c>
      <c r="DS139" s="59">
        <v>3.1600000000000003E-2</v>
      </c>
      <c r="DT139" s="59">
        <v>4.7100000000000003E-2</v>
      </c>
      <c r="DU139" s="59">
        <v>1.7399999999999999E-2</v>
      </c>
      <c r="DV139" s="59">
        <v>3.44E-2</v>
      </c>
      <c r="DW139" s="59">
        <v>5.4000000000000003E-3</v>
      </c>
      <c r="DX139" s="169">
        <v>0</v>
      </c>
      <c r="DY139" s="59">
        <v>0.6573</v>
      </c>
      <c r="DZ139" s="171">
        <f t="shared" si="162"/>
        <v>2.0896090065419139</v>
      </c>
      <c r="EA139" s="59">
        <v>0.86850000000000005</v>
      </c>
      <c r="EB139" s="171">
        <f t="shared" si="163"/>
        <v>1.7831894070236038</v>
      </c>
      <c r="EC139" s="59">
        <v>9.6100000000000005E-2</v>
      </c>
      <c r="ED139" s="171">
        <f t="shared" si="164"/>
        <v>2.9157127991675336</v>
      </c>
      <c r="EE139" s="59">
        <v>2.2100000000000002E-2</v>
      </c>
      <c r="EF139" s="59">
        <v>3.0999999999999999E-3</v>
      </c>
      <c r="EG139" s="59">
        <v>0.20519999999999999</v>
      </c>
      <c r="EH139" s="59">
        <v>0</v>
      </c>
      <c r="EI139" s="155">
        <v>0.1162</v>
      </c>
      <c r="EJ139" s="172">
        <v>4.7632999999999992</v>
      </c>
      <c r="EK139" s="173"/>
      <c r="EL139" s="59">
        <v>1.5754999999999999</v>
      </c>
      <c r="EM139" s="59">
        <v>0.6583</v>
      </c>
      <c r="EN139" s="59">
        <v>0.17199999999999999</v>
      </c>
      <c r="EO139" s="172">
        <v>7.0528999999999984</v>
      </c>
      <c r="ES139" s="57">
        <f t="shared" si="174"/>
        <v>4.7632999999999992</v>
      </c>
      <c r="ET139" s="57">
        <f t="shared" si="175"/>
        <v>7.0528999999999984</v>
      </c>
      <c r="EU139" s="31"/>
      <c r="EV139" s="61">
        <f t="shared" si="165"/>
        <v>1.7734343837255684</v>
      </c>
      <c r="EW139" s="61">
        <f>BJ139/ET139</f>
        <v>1.6408002381998892</v>
      </c>
      <c r="EX139" s="185">
        <v>6.3815</v>
      </c>
      <c r="EY139" s="174">
        <v>9.6796000000000006</v>
      </c>
      <c r="EZ139" s="158">
        <f t="shared" si="166"/>
        <v>8.4473999999999982</v>
      </c>
      <c r="FA139" s="158">
        <f t="shared" si="167"/>
        <v>11.572399999999996</v>
      </c>
      <c r="FB139" s="158">
        <f>BA139-EX139</f>
        <v>2.0658999999999983</v>
      </c>
      <c r="FC139" s="158">
        <f>BJ139-EY139</f>
        <v>1.8927999999999958</v>
      </c>
      <c r="FD139" s="175">
        <f t="shared" ref="FD139:FD140" si="196">FB139/EX139</f>
        <v>0.32373266473399642</v>
      </c>
      <c r="FE139" s="175">
        <f t="shared" ref="FE139:FE140" si="197">FC139/FA139</f>
        <v>0.16356157754657602</v>
      </c>
      <c r="FH139" s="174">
        <f t="shared" si="176"/>
        <v>52598.580839999995</v>
      </c>
      <c r="FJ139" s="176">
        <v>1.3396999999999999</v>
      </c>
      <c r="FK139" s="176">
        <f t="shared" si="177"/>
        <v>1.3237548583455763</v>
      </c>
      <c r="FL139" s="87">
        <v>1.3724000000000001</v>
      </c>
      <c r="FM139" s="177">
        <f t="shared" si="178"/>
        <v>1.1955699782861331</v>
      </c>
      <c r="FO139" s="88">
        <f t="shared" si="168"/>
        <v>52598.580839999995</v>
      </c>
      <c r="FP139" s="79">
        <f t="shared" si="169"/>
        <v>65333.141439999985</v>
      </c>
      <c r="FS139" s="79">
        <f t="shared" si="170"/>
        <v>29659.163779999995</v>
      </c>
      <c r="FT139" s="79">
        <f t="shared" si="171"/>
        <v>39817.852239999993</v>
      </c>
      <c r="FU139" s="79">
        <f t="shared" si="179"/>
        <v>1.7734343837255686</v>
      </c>
      <c r="FV139" s="79">
        <f t="shared" si="179"/>
        <v>1.6408002381998894</v>
      </c>
      <c r="FY139" s="79">
        <f t="shared" si="180"/>
        <v>4907.9393999999993</v>
      </c>
      <c r="FZ139" s="79">
        <f t="shared" si="181"/>
        <v>65333.141439999985</v>
      </c>
      <c r="GB139" s="178">
        <f t="shared" si="182"/>
        <v>581</v>
      </c>
      <c r="GC139" s="178">
        <f t="shared" si="183"/>
        <v>5645.6</v>
      </c>
      <c r="GG139" s="14">
        <v>6.6519999999999984</v>
      </c>
      <c r="GH139" s="175">
        <f t="shared" si="184"/>
        <v>1.2699037883343356</v>
      </c>
      <c r="GI139" s="14">
        <v>10.101899999999999</v>
      </c>
      <c r="GJ139" s="175">
        <f t="shared" si="185"/>
        <v>1.1455666755758815</v>
      </c>
      <c r="GK139" s="175">
        <f t="shared" si="150"/>
        <v>0.12433711275845405</v>
      </c>
      <c r="GN139" s="14">
        <v>8.35</v>
      </c>
      <c r="GO139" s="175">
        <f t="shared" si="186"/>
        <v>1.2552615754660255</v>
      </c>
      <c r="GP139" s="179">
        <f t="shared" si="187"/>
        <v>1.0116646706586825</v>
      </c>
      <c r="GQ139" s="14">
        <v>11.091000000000001</v>
      </c>
      <c r="GR139" s="175">
        <f t="shared" si="188"/>
        <v>1.0979122739286671</v>
      </c>
      <c r="GS139" s="175">
        <f t="shared" si="189"/>
        <v>1.043404562257686</v>
      </c>
      <c r="GV139" s="32">
        <f t="shared" si="190"/>
        <v>4907.9393999999993</v>
      </c>
      <c r="GW139" s="32">
        <f t="shared" si="191"/>
        <v>65333.141439999985</v>
      </c>
      <c r="GX139" s="180">
        <f t="shared" si="192"/>
        <v>70241.080839999981</v>
      </c>
      <c r="GZ139" s="32">
        <f t="shared" si="193"/>
        <v>8.4473999999999982</v>
      </c>
      <c r="HA139" s="32">
        <f t="shared" si="194"/>
        <v>11.572399999999996</v>
      </c>
      <c r="HB139" s="32">
        <f t="shared" si="195"/>
        <v>11.280808280602573</v>
      </c>
    </row>
    <row r="140" spans="1:210" ht="19.2" customHeight="1" x14ac:dyDescent="0.3">
      <c r="A140" s="50">
        <v>132</v>
      </c>
      <c r="B140" s="51" t="s">
        <v>724</v>
      </c>
      <c r="C140" s="51"/>
      <c r="D140" s="52">
        <v>9</v>
      </c>
      <c r="E140" s="52">
        <v>3</v>
      </c>
      <c r="F140" s="63">
        <v>104</v>
      </c>
      <c r="G140" s="54" t="s">
        <v>224</v>
      </c>
      <c r="H140" s="181" t="s">
        <v>179</v>
      </c>
      <c r="I140" s="55">
        <f t="shared" si="172"/>
        <v>422.36000000000058</v>
      </c>
      <c r="J140" s="55">
        <f t="shared" si="152"/>
        <v>5518.19</v>
      </c>
      <c r="K140" s="55">
        <f t="shared" si="153"/>
        <v>0</v>
      </c>
      <c r="L140" s="56">
        <v>5940.55</v>
      </c>
      <c r="M140" s="56">
        <v>5940.55</v>
      </c>
      <c r="N140" s="56">
        <f t="shared" si="173"/>
        <v>422.36000000000058</v>
      </c>
      <c r="O140" s="56">
        <v>0</v>
      </c>
      <c r="P140" s="56">
        <v>0</v>
      </c>
      <c r="Q140" s="55"/>
      <c r="R140" s="55">
        <v>5940.55</v>
      </c>
      <c r="S140" s="55"/>
      <c r="T140" s="55">
        <v>5518.19</v>
      </c>
      <c r="U140" s="152">
        <v>422.36000000000058</v>
      </c>
      <c r="V140" s="57">
        <v>0.13220000000000001</v>
      </c>
      <c r="W140" s="57">
        <v>9.7299999999999998E-2</v>
      </c>
      <c r="X140" s="153">
        <v>0.29299999999999998</v>
      </c>
      <c r="Y140" s="153">
        <v>6.5199999999999994E-2</v>
      </c>
      <c r="Z140" s="57">
        <v>2.2200000000000001E-2</v>
      </c>
      <c r="AA140" s="57">
        <v>0.27400000000000002</v>
      </c>
      <c r="AB140" s="57">
        <v>0</v>
      </c>
      <c r="AC140" s="153">
        <v>0.63149999999999995</v>
      </c>
      <c r="AD140" s="57">
        <v>0.1384</v>
      </c>
      <c r="AE140" s="57">
        <v>0</v>
      </c>
      <c r="AF140" s="57">
        <v>2.1616</v>
      </c>
      <c r="AG140" s="57">
        <v>0.17469999999999999</v>
      </c>
      <c r="AH140" s="57">
        <v>0.34899999999999998</v>
      </c>
      <c r="AI140" s="57">
        <v>0.1237</v>
      </c>
      <c r="AJ140" s="57">
        <v>6.0999999999999999E-2</v>
      </c>
      <c r="AK140" s="57">
        <v>4.3200000000000002E-2</v>
      </c>
      <c r="AL140" s="57">
        <v>0.11119999999999999</v>
      </c>
      <c r="AM140" s="57">
        <v>2.75E-2</v>
      </c>
      <c r="AN140" s="57">
        <v>0</v>
      </c>
      <c r="AO140" s="57">
        <v>1.1494</v>
      </c>
      <c r="AP140" s="153">
        <v>1.4412</v>
      </c>
      <c r="AQ140" s="153">
        <v>7.7600000000000002E-2</v>
      </c>
      <c r="AR140" s="57">
        <v>0.27139999999999997</v>
      </c>
      <c r="AS140" s="57">
        <v>3.0200000000000001E-2</v>
      </c>
      <c r="AT140" s="153">
        <v>4.8999999999999998E-3</v>
      </c>
      <c r="AU140" s="153">
        <v>0.52969999999999995</v>
      </c>
      <c r="AV140" s="153">
        <v>0</v>
      </c>
      <c r="AW140" s="154">
        <v>8.2101000000000006</v>
      </c>
      <c r="AX140" s="58">
        <v>0.41049999999999998</v>
      </c>
      <c r="AY140" s="155">
        <f t="shared" si="154"/>
        <v>0.40660000000000002</v>
      </c>
      <c r="AZ140" s="155">
        <f t="shared" si="155"/>
        <v>3.8999999999999591E-3</v>
      </c>
      <c r="BA140" s="14">
        <v>8.6206000000000014</v>
      </c>
      <c r="BB140" s="59">
        <f>BA140-'[1]Тариф 26 свод без  ПДВ'!AU140</f>
        <v>2.7000000000008129E-3</v>
      </c>
      <c r="BC140" s="57">
        <v>1.8632</v>
      </c>
      <c r="BD140" s="57">
        <v>0</v>
      </c>
      <c r="BE140" s="57">
        <v>0.61899999999999999</v>
      </c>
      <c r="BF140" s="156">
        <v>10.692299999999999</v>
      </c>
      <c r="BG140" s="59">
        <v>0.53459999999999996</v>
      </c>
      <c r="BH140" s="59"/>
      <c r="BI140" s="59"/>
      <c r="BJ140" s="14">
        <v>11.226899999999999</v>
      </c>
      <c r="BK140" s="60"/>
      <c r="BL140" s="60">
        <v>4.8184000000000005</v>
      </c>
      <c r="BM140" s="60">
        <v>0.2409</v>
      </c>
      <c r="BN140" s="14">
        <v>5.0593000000000004</v>
      </c>
      <c r="BO140" s="14"/>
      <c r="BP140" s="157"/>
      <c r="BQ140" s="158">
        <f>BJ140-'[1]Тариф 26 свод без  ПДВ'!BG140</f>
        <v>-5.2000000000020918E-3</v>
      </c>
      <c r="BR140" s="77">
        <f>'[1]Тариф 26 свод без  ПДВ'!BG140</f>
        <v>11.232100000000001</v>
      </c>
      <c r="BS140" s="159">
        <f t="shared" si="156"/>
        <v>-5.2000000000020918E-3</v>
      </c>
      <c r="BU140" s="77">
        <f>'[1]Тариф 26 свод без  ПДВ'!AU140</f>
        <v>8.6179000000000006</v>
      </c>
      <c r="BV140" s="159">
        <f t="shared" si="157"/>
        <v>2.7000000000008129E-3</v>
      </c>
      <c r="BX140" s="95">
        <v>4.4188000000000001</v>
      </c>
      <c r="BY140" s="221">
        <v>4.4188000000000001</v>
      </c>
      <c r="BZ140" s="95"/>
      <c r="CA140" s="62">
        <f t="shared" si="158"/>
        <v>1.9508916447904412</v>
      </c>
      <c r="CB140" s="62">
        <f t="shared" si="159"/>
        <v>2.5407124106092147</v>
      </c>
      <c r="CI140" s="160">
        <f>'[1]0 СВОД'!AYY155</f>
        <v>65593.37085235324</v>
      </c>
      <c r="CJ140" s="77">
        <f t="shared" si="160"/>
        <v>787120.45022823894</v>
      </c>
      <c r="CM140" s="161">
        <v>138</v>
      </c>
      <c r="CN140" s="183" t="s">
        <v>725</v>
      </c>
      <c r="CO140" s="163">
        <v>9</v>
      </c>
      <c r="CP140" s="163">
        <v>3</v>
      </c>
      <c r="CQ140" s="164" t="s">
        <v>224</v>
      </c>
      <c r="CR140" s="165" t="s">
        <v>179</v>
      </c>
      <c r="CS140" s="166">
        <v>422.35999999999967</v>
      </c>
      <c r="CT140" s="166">
        <v>5517.42</v>
      </c>
      <c r="CU140" s="167">
        <v>0</v>
      </c>
      <c r="CV140" s="168">
        <v>5939.78</v>
      </c>
      <c r="CW140" s="166">
        <v>5939.78</v>
      </c>
      <c r="CX140" s="167">
        <v>0</v>
      </c>
      <c r="CY140" s="166">
        <v>0</v>
      </c>
      <c r="CZ140" s="166"/>
      <c r="DA140" s="166">
        <v>5939.78</v>
      </c>
      <c r="DB140" s="166"/>
      <c r="DC140" s="166">
        <v>5517.42</v>
      </c>
      <c r="DD140" s="59">
        <v>0.1298</v>
      </c>
      <c r="DE140" s="59">
        <v>0.15809999999999999</v>
      </c>
      <c r="DF140" s="59">
        <v>0.19270000000000001</v>
      </c>
      <c r="DG140" s="59">
        <v>3.8399999999999997E-2</v>
      </c>
      <c r="DH140" s="59">
        <v>8.3000000000000001E-3</v>
      </c>
      <c r="DI140" s="59">
        <v>0.1201</v>
      </c>
      <c r="DJ140" s="59">
        <v>4.8099999999999997E-2</v>
      </c>
      <c r="DK140" s="59">
        <v>0.3458</v>
      </c>
      <c r="DL140" s="169">
        <v>0</v>
      </c>
      <c r="DM140" s="59">
        <v>8.43E-2</v>
      </c>
      <c r="DN140" s="169">
        <v>0</v>
      </c>
      <c r="DO140" s="184">
        <v>1.3553999999999999</v>
      </c>
      <c r="DP140" s="171">
        <f t="shared" si="161"/>
        <v>2.1616</v>
      </c>
      <c r="DQ140" s="59">
        <v>8.4099999999999994E-2</v>
      </c>
      <c r="DR140" s="59">
        <v>0.2092</v>
      </c>
      <c r="DS140" s="59">
        <v>3.2199999999999999E-2</v>
      </c>
      <c r="DT140" s="59">
        <v>2.8899999999999999E-2</v>
      </c>
      <c r="DU140" s="59">
        <v>1.8200000000000001E-2</v>
      </c>
      <c r="DV140" s="59">
        <v>3.8699999999999998E-2</v>
      </c>
      <c r="DW140" s="59">
        <v>6.3E-3</v>
      </c>
      <c r="DX140" s="169">
        <v>0</v>
      </c>
      <c r="DY140" s="59">
        <v>0.53969999999999996</v>
      </c>
      <c r="DZ140" s="171">
        <f t="shared" si="162"/>
        <v>2.1297016861219196</v>
      </c>
      <c r="EA140" s="59">
        <v>0.85160000000000002</v>
      </c>
      <c r="EB140" s="171">
        <f t="shared" si="163"/>
        <v>1.7834664161578206</v>
      </c>
      <c r="EC140" s="59">
        <v>9.1800000000000007E-2</v>
      </c>
      <c r="ED140" s="171">
        <f t="shared" si="164"/>
        <v>2.9564270152505441</v>
      </c>
      <c r="EE140" s="59">
        <v>2.3099999999999999E-2</v>
      </c>
      <c r="EF140" s="59">
        <v>3.2000000000000002E-3</v>
      </c>
      <c r="EG140" s="59">
        <v>0.55579999999999996</v>
      </c>
      <c r="EH140" s="59">
        <v>0</v>
      </c>
      <c r="EI140" s="155">
        <v>0.1241</v>
      </c>
      <c r="EJ140" s="172">
        <v>5.0879000000000003</v>
      </c>
      <c r="EK140" s="173"/>
      <c r="EL140" s="59">
        <v>1.6106</v>
      </c>
      <c r="EM140" s="59">
        <v>0.30349999999999999</v>
      </c>
      <c r="EN140" s="59">
        <v>0.1719</v>
      </c>
      <c r="EO140" s="172">
        <v>7.0497999999999994</v>
      </c>
      <c r="ES140" s="57">
        <f t="shared" si="174"/>
        <v>5.0879000000000003</v>
      </c>
      <c r="ET140" s="57">
        <f t="shared" si="175"/>
        <v>7.0497999999999994</v>
      </c>
      <c r="EU140" s="31"/>
      <c r="EV140" s="61">
        <f t="shared" si="165"/>
        <v>1.6943336150474657</v>
      </c>
      <c r="EW140" s="61">
        <f>BJ140/ET140</f>
        <v>1.5925132627875969</v>
      </c>
      <c r="EX140" s="185">
        <v>6.7798999999999996</v>
      </c>
      <c r="EY140" s="174">
        <v>9.5337999999999994</v>
      </c>
      <c r="EZ140" s="158">
        <f t="shared" si="166"/>
        <v>8.6206000000000014</v>
      </c>
      <c r="FA140" s="158">
        <f t="shared" si="167"/>
        <v>11.226899999999999</v>
      </c>
      <c r="FB140" s="158">
        <f>BA140-EX140</f>
        <v>1.8407000000000018</v>
      </c>
      <c r="FC140" s="158">
        <f>BJ140-EY140</f>
        <v>1.6930999999999994</v>
      </c>
      <c r="FD140" s="175">
        <f t="shared" si="196"/>
        <v>0.27149367984778566</v>
      </c>
      <c r="FE140" s="175">
        <f t="shared" si="197"/>
        <v>0.15080743571244062</v>
      </c>
      <c r="FH140" s="174">
        <f t="shared" si="176"/>
        <v>51211.105330000013</v>
      </c>
      <c r="FJ140" s="176">
        <v>1.3431999999999999</v>
      </c>
      <c r="FK140" s="176">
        <f t="shared" si="177"/>
        <v>1.2614157348477262</v>
      </c>
      <c r="FL140" s="87">
        <v>1.3601000000000001</v>
      </c>
      <c r="FM140" s="177">
        <f t="shared" si="178"/>
        <v>1.1708795403187977</v>
      </c>
      <c r="FO140" s="88">
        <f t="shared" si="168"/>
        <v>51211.105330000013</v>
      </c>
      <c r="FP140" s="79">
        <f t="shared" si="169"/>
        <v>61952.16731099999</v>
      </c>
      <c r="FS140" s="79">
        <f t="shared" si="170"/>
        <v>30224.924345000003</v>
      </c>
      <c r="FT140" s="79">
        <f t="shared" si="171"/>
        <v>38902.135861999996</v>
      </c>
      <c r="FU140" s="79">
        <f t="shared" si="179"/>
        <v>1.6943336150474657</v>
      </c>
      <c r="FV140" s="79">
        <f t="shared" si="179"/>
        <v>1.5925132627875966</v>
      </c>
      <c r="FY140" s="79">
        <f t="shared" si="180"/>
        <v>3640.9966160000058</v>
      </c>
      <c r="FZ140" s="79">
        <f t="shared" si="181"/>
        <v>61952.16731099999</v>
      </c>
      <c r="GB140" s="178">
        <f t="shared" si="182"/>
        <v>422.36000000000058</v>
      </c>
      <c r="GC140" s="178">
        <f t="shared" si="183"/>
        <v>5518.19</v>
      </c>
      <c r="GG140" s="14">
        <v>6.9833000000000016</v>
      </c>
      <c r="GH140" s="175">
        <f t="shared" si="184"/>
        <v>1.234459353027938</v>
      </c>
      <c r="GI140" s="14">
        <v>9.8840000000000003</v>
      </c>
      <c r="GJ140" s="175">
        <f t="shared" si="185"/>
        <v>1.1358660461351677</v>
      </c>
      <c r="GK140" s="175">
        <f t="shared" si="150"/>
        <v>9.8593306892770238E-2</v>
      </c>
      <c r="GN140" s="14">
        <v>8.4389000000000003</v>
      </c>
      <c r="GO140" s="175">
        <f t="shared" si="186"/>
        <v>1.2084401357524377</v>
      </c>
      <c r="GP140" s="179">
        <f t="shared" si="187"/>
        <v>1.0215312422235128</v>
      </c>
      <c r="GQ140" s="14">
        <v>10.7539</v>
      </c>
      <c r="GR140" s="175">
        <f t="shared" si="188"/>
        <v>1.0880109267503035</v>
      </c>
      <c r="GS140" s="175">
        <f t="shared" si="189"/>
        <v>1.043984042998354</v>
      </c>
      <c r="GV140" s="32">
        <f t="shared" si="190"/>
        <v>3640.9966160000058</v>
      </c>
      <c r="GW140" s="32">
        <f t="shared" si="191"/>
        <v>61952.16731099999</v>
      </c>
      <c r="GX140" s="180">
        <f t="shared" si="192"/>
        <v>65593.163927000001</v>
      </c>
      <c r="GZ140" s="32">
        <f t="shared" si="193"/>
        <v>8.6206000000000014</v>
      </c>
      <c r="HA140" s="32">
        <f t="shared" si="194"/>
        <v>11.226899999999999</v>
      </c>
      <c r="HB140" s="32">
        <f t="shared" si="195"/>
        <v>11.041597819562162</v>
      </c>
    </row>
    <row r="141" spans="1:210" ht="19.2" customHeight="1" x14ac:dyDescent="0.3">
      <c r="A141" s="50">
        <v>133</v>
      </c>
      <c r="B141" s="51" t="s">
        <v>726</v>
      </c>
      <c r="C141" s="51"/>
      <c r="D141" s="52">
        <v>5</v>
      </c>
      <c r="E141" s="52">
        <v>4</v>
      </c>
      <c r="F141" s="63">
        <v>60</v>
      </c>
      <c r="G141" s="54" t="s">
        <v>118</v>
      </c>
      <c r="H141" s="181" t="s">
        <v>49</v>
      </c>
      <c r="I141" s="55">
        <f t="shared" si="172"/>
        <v>2743.8</v>
      </c>
      <c r="J141" s="55">
        <f t="shared" si="152"/>
        <v>0</v>
      </c>
      <c r="K141" s="55">
        <f t="shared" si="153"/>
        <v>0</v>
      </c>
      <c r="L141" s="56">
        <v>2743.8</v>
      </c>
      <c r="M141" s="56">
        <v>2743.8</v>
      </c>
      <c r="N141" s="56">
        <f t="shared" si="173"/>
        <v>2743.8</v>
      </c>
      <c r="O141" s="56">
        <v>0</v>
      </c>
      <c r="P141" s="56">
        <v>0</v>
      </c>
      <c r="Q141" s="55"/>
      <c r="R141" s="55">
        <v>2743.8</v>
      </c>
      <c r="S141" s="55"/>
      <c r="T141" s="55">
        <v>0</v>
      </c>
      <c r="U141" s="152">
        <v>2743.8</v>
      </c>
      <c r="V141" s="57">
        <v>0.1673</v>
      </c>
      <c r="W141" s="153">
        <v>9.2799999999999994E-2</v>
      </c>
      <c r="X141" s="57">
        <v>0.32440000000000002</v>
      </c>
      <c r="Y141" s="57">
        <v>7.3999999999999996E-2</v>
      </c>
      <c r="Z141" s="153">
        <v>3.1300000000000001E-2</v>
      </c>
      <c r="AA141" s="57">
        <v>0.50129999999999997</v>
      </c>
      <c r="AB141" s="153">
        <v>0</v>
      </c>
      <c r="AC141" s="57">
        <v>0.63149999999999995</v>
      </c>
      <c r="AD141" s="57">
        <v>0.1729</v>
      </c>
      <c r="AE141" s="57">
        <v>0</v>
      </c>
      <c r="AF141" s="57">
        <v>1.8543000000000001</v>
      </c>
      <c r="AG141" s="57">
        <v>0.2218</v>
      </c>
      <c r="AH141" s="57">
        <v>0.3291</v>
      </c>
      <c r="AI141" s="153">
        <v>8.7599999999999997E-2</v>
      </c>
      <c r="AJ141" s="153">
        <v>0.1013</v>
      </c>
      <c r="AK141" s="153">
        <v>6.0900000000000003E-2</v>
      </c>
      <c r="AL141" s="57">
        <v>0.17280000000000001</v>
      </c>
      <c r="AM141" s="153">
        <v>3.3700000000000001E-2</v>
      </c>
      <c r="AN141" s="57">
        <v>0</v>
      </c>
      <c r="AO141" s="153">
        <v>3.125</v>
      </c>
      <c r="AP141" s="57">
        <v>1.1395999999999999</v>
      </c>
      <c r="AQ141" s="57">
        <v>8.7499999999999994E-2</v>
      </c>
      <c r="AR141" s="153">
        <v>0.35539999999999999</v>
      </c>
      <c r="AS141" s="57">
        <v>5.1499999999999997E-2</v>
      </c>
      <c r="AT141" s="57">
        <v>8.3999999999999995E-3</v>
      </c>
      <c r="AU141" s="153">
        <v>0.4037</v>
      </c>
      <c r="AV141" s="153">
        <v>0</v>
      </c>
      <c r="AW141" s="154">
        <v>10.028100000000002</v>
      </c>
      <c r="AX141" s="58">
        <v>0.50139999999999996</v>
      </c>
      <c r="AY141" s="155">
        <f t="shared" si="154"/>
        <v>0.497</v>
      </c>
      <c r="AZ141" s="155">
        <f t="shared" si="155"/>
        <v>4.3999999999999595E-3</v>
      </c>
      <c r="BA141" s="14">
        <v>10.529500000000002</v>
      </c>
      <c r="BB141" s="59">
        <f>BA141-'[1]Тариф 26 свод без  ПДВ'!AU141</f>
        <v>-2.7999999999970271E-3</v>
      </c>
      <c r="BC141" s="57">
        <v>0</v>
      </c>
      <c r="BD141" s="57">
        <v>0</v>
      </c>
      <c r="BE141" s="57">
        <v>0</v>
      </c>
      <c r="BF141" s="156">
        <v>10.028100000000002</v>
      </c>
      <c r="BG141" s="59">
        <v>0.50139999999999996</v>
      </c>
      <c r="BH141" s="59"/>
      <c r="BI141" s="59"/>
      <c r="BJ141" s="14">
        <v>10.529500000000002</v>
      </c>
      <c r="BK141" s="60"/>
      <c r="BL141" s="60">
        <v>5.0044000000000022</v>
      </c>
      <c r="BM141" s="60">
        <v>0.25019999999999998</v>
      </c>
      <c r="BN141" s="14">
        <v>5.2546000000000017</v>
      </c>
      <c r="BO141" s="14"/>
      <c r="BP141" s="157"/>
      <c r="BQ141" s="158">
        <f>BJ141-'[1]Тариф 26 свод без  ПДВ'!BG141</f>
        <v>-2.7999999999970271E-3</v>
      </c>
      <c r="BR141" s="77">
        <f>'[1]Тариф 26 свод без  ПДВ'!BG141</f>
        <v>10.532299999999999</v>
      </c>
      <c r="BS141" s="159">
        <f t="shared" si="156"/>
        <v>-2.7999999999970271E-3</v>
      </c>
      <c r="BU141" s="77">
        <f>'[1]Тариф 26 свод без  ПДВ'!AU141</f>
        <v>10.532299999999999</v>
      </c>
      <c r="BV141" s="159">
        <f t="shared" si="157"/>
        <v>-2.7999999999970271E-3</v>
      </c>
      <c r="BX141" s="95">
        <v>4.2452000000000005</v>
      </c>
      <c r="BY141" s="95">
        <v>4.2452000000000005</v>
      </c>
      <c r="BZ141" s="95"/>
      <c r="CA141" s="62">
        <f t="shared" si="158"/>
        <v>2.4803307264675398</v>
      </c>
      <c r="CB141" s="62">
        <f t="shared" si="159"/>
        <v>2.4803307264675398</v>
      </c>
      <c r="CI141" s="160">
        <f>'[1]0 СВОД'!AYY156</f>
        <v>28891.334122287502</v>
      </c>
      <c r="CJ141" s="77">
        <f t="shared" si="160"/>
        <v>346696.00946745003</v>
      </c>
      <c r="CM141" s="161">
        <v>139</v>
      </c>
      <c r="CN141" s="162" t="s">
        <v>727</v>
      </c>
      <c r="CO141" s="163">
        <v>5</v>
      </c>
      <c r="CP141" s="163">
        <v>4</v>
      </c>
      <c r="CQ141" s="164" t="s">
        <v>118</v>
      </c>
      <c r="CR141" s="165" t="s">
        <v>49</v>
      </c>
      <c r="CS141" s="166">
        <v>2742.3</v>
      </c>
      <c r="CT141" s="166">
        <v>0</v>
      </c>
      <c r="CU141" s="167">
        <v>0</v>
      </c>
      <c r="CV141" s="168">
        <v>2742.3</v>
      </c>
      <c r="CW141" s="166">
        <v>2742.3</v>
      </c>
      <c r="CX141" s="167">
        <v>0</v>
      </c>
      <c r="CY141" s="166">
        <v>0</v>
      </c>
      <c r="CZ141" s="166"/>
      <c r="DA141" s="166">
        <v>2742.3</v>
      </c>
      <c r="DB141" s="166"/>
      <c r="DC141" s="166">
        <v>0</v>
      </c>
      <c r="DD141" s="59">
        <v>0.1643</v>
      </c>
      <c r="DE141" s="59">
        <v>0.15090000000000001</v>
      </c>
      <c r="DF141" s="59">
        <v>0.21340000000000001</v>
      </c>
      <c r="DG141" s="59">
        <v>4.36E-2</v>
      </c>
      <c r="DH141" s="59">
        <v>1.18E-2</v>
      </c>
      <c r="DI141" s="59">
        <v>0.21820000000000001</v>
      </c>
      <c r="DJ141" s="59">
        <v>4.8099999999999997E-2</v>
      </c>
      <c r="DK141" s="59">
        <v>0.3458</v>
      </c>
      <c r="DL141" s="169">
        <v>0</v>
      </c>
      <c r="DM141" s="59">
        <v>0.1053</v>
      </c>
      <c r="DN141" s="169">
        <v>0</v>
      </c>
      <c r="DO141" s="170">
        <v>1.2826</v>
      </c>
      <c r="DP141" s="171">
        <f t="shared" si="161"/>
        <v>1.8543000000000001</v>
      </c>
      <c r="DQ141" s="59">
        <v>0.1069</v>
      </c>
      <c r="DR141" s="59">
        <v>0.19700000000000001</v>
      </c>
      <c r="DS141" s="59">
        <v>2.2800000000000001E-2</v>
      </c>
      <c r="DT141" s="59">
        <v>4.7699999999999999E-2</v>
      </c>
      <c r="DU141" s="59">
        <v>2.5700000000000001E-2</v>
      </c>
      <c r="DV141" s="59">
        <v>6.0199999999999997E-2</v>
      </c>
      <c r="DW141" s="59">
        <v>9.1999999999999998E-3</v>
      </c>
      <c r="DX141" s="169">
        <v>0</v>
      </c>
      <c r="DY141" s="59">
        <v>1.5509999999999999</v>
      </c>
      <c r="DZ141" s="171">
        <f t="shared" si="162"/>
        <v>2.014829142488717</v>
      </c>
      <c r="EA141" s="59">
        <v>0.68579999999999997</v>
      </c>
      <c r="EB141" s="171">
        <f t="shared" si="163"/>
        <v>1.7892971711869348</v>
      </c>
      <c r="EC141" s="59">
        <v>0.187</v>
      </c>
      <c r="ED141" s="171">
        <f t="shared" si="164"/>
        <v>1.9005347593582886</v>
      </c>
      <c r="EE141" s="59">
        <v>3.9399999999999998E-2</v>
      </c>
      <c r="EF141" s="59">
        <v>5.4999999999999997E-3</v>
      </c>
      <c r="EG141" s="59">
        <v>0.1804</v>
      </c>
      <c r="EH141" s="59">
        <v>0</v>
      </c>
      <c r="EI141" s="208">
        <v>0.1426</v>
      </c>
      <c r="EJ141" s="172">
        <v>5.8451999999999993</v>
      </c>
      <c r="EK141" s="173"/>
      <c r="EL141" s="169">
        <v>0</v>
      </c>
      <c r="EM141" s="169">
        <v>0</v>
      </c>
      <c r="EN141" s="59"/>
      <c r="EO141" s="172"/>
      <c r="ES141" s="57">
        <f t="shared" si="174"/>
        <v>5.8451999999999993</v>
      </c>
      <c r="ET141" s="57">
        <f t="shared" si="175"/>
        <v>0</v>
      </c>
      <c r="EU141" s="31"/>
      <c r="EV141" s="61">
        <f t="shared" si="165"/>
        <v>1.8013925956340251</v>
      </c>
      <c r="EW141" s="182"/>
      <c r="EX141" s="158">
        <f t="shared" ref="EX141:EX146" si="198">ES141*1.305-BA141</f>
        <v>-2.9015140000000033</v>
      </c>
      <c r="EY141" s="77">
        <f t="shared" ref="EY141:EY143" si="199">ES141*1.344</f>
        <v>7.8559487999999993</v>
      </c>
      <c r="EZ141" s="158">
        <f t="shared" si="166"/>
        <v>10.529500000000002</v>
      </c>
      <c r="FA141" s="158">
        <f t="shared" si="167"/>
        <v>10.529500000000002</v>
      </c>
      <c r="FH141" s="174">
        <f t="shared" si="176"/>
        <v>28890.842100000009</v>
      </c>
      <c r="FJ141" s="87">
        <v>1.3882501881885994</v>
      </c>
      <c r="FK141" s="176">
        <f t="shared" si="177"/>
        <v>1.2975993887560695</v>
      </c>
      <c r="FM141" s="87" t="e">
        <f t="shared" si="178"/>
        <v>#DIV/0!</v>
      </c>
      <c r="FO141" s="88">
        <f t="shared" si="168"/>
        <v>28890.842100000009</v>
      </c>
      <c r="FP141" s="79">
        <f t="shared" si="169"/>
        <v>0</v>
      </c>
      <c r="FS141" s="79">
        <f t="shared" si="170"/>
        <v>16038.059759999998</v>
      </c>
      <c r="FT141" s="79">
        <f t="shared" si="171"/>
        <v>0</v>
      </c>
      <c r="FU141" s="79">
        <f t="shared" si="179"/>
        <v>1.8013925956340253</v>
      </c>
      <c r="FV141" s="79" t="e">
        <f t="shared" si="179"/>
        <v>#DIV/0!</v>
      </c>
      <c r="FY141" s="79">
        <f t="shared" si="180"/>
        <v>28890.842100000009</v>
      </c>
      <c r="FZ141" s="79">
        <f t="shared" si="181"/>
        <v>0</v>
      </c>
      <c r="GB141" s="178">
        <f t="shared" si="182"/>
        <v>2743.8</v>
      </c>
      <c r="GC141" s="178">
        <f t="shared" si="183"/>
        <v>0</v>
      </c>
      <c r="GG141" s="14">
        <v>8.2914999999999992</v>
      </c>
      <c r="GH141" s="175">
        <f t="shared" si="184"/>
        <v>1.2699149731652901</v>
      </c>
      <c r="GI141" s="14">
        <v>8.2914999999999992</v>
      </c>
      <c r="GJ141" s="175">
        <f t="shared" si="185"/>
        <v>1.2699149731652901</v>
      </c>
      <c r="GK141" s="175">
        <f t="shared" si="150"/>
        <v>0</v>
      </c>
      <c r="GN141" s="14">
        <v>10.824299999999997</v>
      </c>
      <c r="GO141" s="175">
        <f t="shared" si="186"/>
        <v>1.3054694566724958</v>
      </c>
      <c r="GP141" s="179">
        <f t="shared" si="187"/>
        <v>0.97276498249309473</v>
      </c>
      <c r="GQ141" s="14">
        <v>10.824299999999997</v>
      </c>
      <c r="GR141" s="175">
        <f t="shared" si="188"/>
        <v>1.3054694566724958</v>
      </c>
      <c r="GS141" s="175">
        <f t="shared" si="189"/>
        <v>0.97276498249309473</v>
      </c>
      <c r="GV141" s="32">
        <f t="shared" si="190"/>
        <v>28890.842100000009</v>
      </c>
      <c r="GW141" s="32">
        <f t="shared" si="191"/>
        <v>0</v>
      </c>
      <c r="GX141" s="180">
        <f t="shared" si="192"/>
        <v>28890.842100000009</v>
      </c>
      <c r="GZ141" s="32">
        <f t="shared" si="193"/>
        <v>10.529500000000002</v>
      </c>
      <c r="HA141" s="32" t="e">
        <f t="shared" si="194"/>
        <v>#DIV/0!</v>
      </c>
      <c r="HB141" s="32">
        <f t="shared" si="195"/>
        <v>10.529500000000002</v>
      </c>
    </row>
    <row r="142" spans="1:210" ht="19.2" customHeight="1" x14ac:dyDescent="0.3">
      <c r="A142" s="50">
        <v>134</v>
      </c>
      <c r="B142" s="51" t="s">
        <v>728</v>
      </c>
      <c r="C142" s="51"/>
      <c r="D142" s="52">
        <v>5</v>
      </c>
      <c r="E142" s="52">
        <v>4</v>
      </c>
      <c r="F142" s="63">
        <v>60</v>
      </c>
      <c r="G142" s="54" t="s">
        <v>119</v>
      </c>
      <c r="H142" s="181" t="s">
        <v>49</v>
      </c>
      <c r="I142" s="55">
        <f t="shared" si="172"/>
        <v>2758.8</v>
      </c>
      <c r="J142" s="55">
        <f t="shared" si="152"/>
        <v>0</v>
      </c>
      <c r="K142" s="55">
        <f t="shared" si="153"/>
        <v>0</v>
      </c>
      <c r="L142" s="56">
        <v>2758.8</v>
      </c>
      <c r="M142" s="56">
        <v>2758.8</v>
      </c>
      <c r="N142" s="56">
        <f t="shared" si="173"/>
        <v>2758.8</v>
      </c>
      <c r="O142" s="56">
        <v>0</v>
      </c>
      <c r="P142" s="56">
        <v>0</v>
      </c>
      <c r="Q142" s="55"/>
      <c r="R142" s="55">
        <v>2758.8</v>
      </c>
      <c r="S142" s="55"/>
      <c r="T142" s="55">
        <v>0</v>
      </c>
      <c r="U142" s="152">
        <v>2758.8</v>
      </c>
      <c r="V142" s="57">
        <v>0.16650000000000001</v>
      </c>
      <c r="W142" s="153">
        <v>9.2299999999999993E-2</v>
      </c>
      <c r="X142" s="57">
        <v>0.32469999999999999</v>
      </c>
      <c r="Y142" s="57">
        <v>7.4300000000000005E-2</v>
      </c>
      <c r="Z142" s="153">
        <v>2.9000000000000001E-2</v>
      </c>
      <c r="AA142" s="57">
        <v>0.49859999999999999</v>
      </c>
      <c r="AB142" s="153">
        <v>0</v>
      </c>
      <c r="AC142" s="57">
        <v>0.63149999999999995</v>
      </c>
      <c r="AD142" s="57">
        <v>0.17199999999999999</v>
      </c>
      <c r="AE142" s="57">
        <v>0</v>
      </c>
      <c r="AF142" s="57">
        <v>1.3815</v>
      </c>
      <c r="AG142" s="57">
        <v>0.2208</v>
      </c>
      <c r="AH142" s="57">
        <v>0.32740000000000002</v>
      </c>
      <c r="AI142" s="153">
        <v>8.8099999999999998E-2</v>
      </c>
      <c r="AJ142" s="153">
        <v>0.1037</v>
      </c>
      <c r="AK142" s="153">
        <v>5.6300000000000003E-2</v>
      </c>
      <c r="AL142" s="57">
        <v>0.1719</v>
      </c>
      <c r="AM142" s="153">
        <v>3.3599999999999998E-2</v>
      </c>
      <c r="AN142" s="57">
        <v>0</v>
      </c>
      <c r="AO142" s="153">
        <v>3.2749999999999999</v>
      </c>
      <c r="AP142" s="57">
        <v>1.1584000000000001</v>
      </c>
      <c r="AQ142" s="57">
        <v>8.8499999999999995E-2</v>
      </c>
      <c r="AR142" s="153">
        <v>0.63580000000000003</v>
      </c>
      <c r="AS142" s="57">
        <v>5.1499999999999997E-2</v>
      </c>
      <c r="AT142" s="57">
        <v>8.3999999999999995E-3</v>
      </c>
      <c r="AU142" s="153">
        <v>0.439</v>
      </c>
      <c r="AV142" s="153">
        <v>0</v>
      </c>
      <c r="AW142" s="154">
        <v>10.0288</v>
      </c>
      <c r="AX142" s="58">
        <v>0.50139999999999996</v>
      </c>
      <c r="AY142" s="155">
        <f t="shared" si="154"/>
        <v>0.497</v>
      </c>
      <c r="AZ142" s="155">
        <f t="shared" si="155"/>
        <v>4.3999999999999595E-3</v>
      </c>
      <c r="BA142" s="14">
        <v>10.530200000000001</v>
      </c>
      <c r="BB142" s="59">
        <f>BA142-'[1]Тариф 26 свод без  ПДВ'!AU142</f>
        <v>-2.5999999999992696E-3</v>
      </c>
      <c r="BC142" s="57">
        <v>0</v>
      </c>
      <c r="BD142" s="57">
        <v>0</v>
      </c>
      <c r="BE142" s="57">
        <v>0</v>
      </c>
      <c r="BF142" s="156">
        <v>10.0288</v>
      </c>
      <c r="BG142" s="59">
        <v>0.50139999999999996</v>
      </c>
      <c r="BH142" s="59"/>
      <c r="BI142" s="59"/>
      <c r="BJ142" s="14">
        <v>10.530200000000001</v>
      </c>
      <c r="BK142" s="60"/>
      <c r="BL142" s="60">
        <v>4.5206</v>
      </c>
      <c r="BM142" s="60">
        <v>0.22600000000000001</v>
      </c>
      <c r="BN142" s="14">
        <v>4.7465999999999999</v>
      </c>
      <c r="BO142" s="14"/>
      <c r="BP142" s="157"/>
      <c r="BQ142" s="158">
        <f>BJ142-'[1]Тариф 26 свод без  ПДВ'!BG142</f>
        <v>-2.5999999999992696E-3</v>
      </c>
      <c r="BR142" s="77">
        <f>'[1]Тариф 26 свод без  ПДВ'!BG142</f>
        <v>10.5328</v>
      </c>
      <c r="BS142" s="159">
        <f t="shared" si="156"/>
        <v>-2.5999999999992696E-3</v>
      </c>
      <c r="BU142" s="77">
        <f>'[1]Тариф 26 свод без  ПДВ'!AU142</f>
        <v>10.5328</v>
      </c>
      <c r="BV142" s="159">
        <f t="shared" si="157"/>
        <v>-2.5999999999992696E-3</v>
      </c>
      <c r="BX142" s="95">
        <v>4.5830000000000002</v>
      </c>
      <c r="BY142" s="95">
        <v>4.5830000000000002</v>
      </c>
      <c r="BZ142" s="95"/>
      <c r="CA142" s="62">
        <f t="shared" si="158"/>
        <v>2.2976652847479819</v>
      </c>
      <c r="CB142" s="62">
        <f t="shared" si="159"/>
        <v>2.2976652847479819</v>
      </c>
      <c r="CI142" s="160">
        <f>'[1]0 СВОД'!AYY157</f>
        <v>29051.043009086734</v>
      </c>
      <c r="CJ142" s="77">
        <f t="shared" si="160"/>
        <v>348612.51610904082</v>
      </c>
      <c r="CM142" s="161">
        <v>140</v>
      </c>
      <c r="CN142" s="162" t="s">
        <v>729</v>
      </c>
      <c r="CO142" s="163">
        <v>5</v>
      </c>
      <c r="CP142" s="163">
        <v>4</v>
      </c>
      <c r="CQ142" s="164" t="s">
        <v>119</v>
      </c>
      <c r="CR142" s="165" t="s">
        <v>49</v>
      </c>
      <c r="CS142" s="166">
        <v>2757.7</v>
      </c>
      <c r="CT142" s="166">
        <v>0</v>
      </c>
      <c r="CU142" s="167">
        <v>0</v>
      </c>
      <c r="CV142" s="168">
        <v>2757.7</v>
      </c>
      <c r="CW142" s="166">
        <v>2757.7</v>
      </c>
      <c r="CX142" s="167">
        <v>0</v>
      </c>
      <c r="CY142" s="166">
        <v>0</v>
      </c>
      <c r="CZ142" s="166"/>
      <c r="DA142" s="166">
        <v>2757.7</v>
      </c>
      <c r="DB142" s="166"/>
      <c r="DC142" s="166">
        <v>0</v>
      </c>
      <c r="DD142" s="59">
        <v>0.16350000000000001</v>
      </c>
      <c r="DE142" s="59">
        <v>0.15010000000000001</v>
      </c>
      <c r="DF142" s="59">
        <v>0.2135</v>
      </c>
      <c r="DG142" s="59">
        <v>4.3700000000000003E-2</v>
      </c>
      <c r="DH142" s="59">
        <v>1.09E-2</v>
      </c>
      <c r="DI142" s="59">
        <v>0.217</v>
      </c>
      <c r="DJ142" s="59">
        <v>4.8099999999999997E-2</v>
      </c>
      <c r="DK142" s="59">
        <v>0.3458</v>
      </c>
      <c r="DL142" s="169">
        <v>0</v>
      </c>
      <c r="DM142" s="59">
        <v>0.1047</v>
      </c>
      <c r="DN142" s="169">
        <v>0</v>
      </c>
      <c r="DO142" s="59">
        <v>0.91169999999999995</v>
      </c>
      <c r="DP142" s="171">
        <f t="shared" si="161"/>
        <v>1.3815</v>
      </c>
      <c r="DQ142" s="59">
        <v>0.10639999999999999</v>
      </c>
      <c r="DR142" s="59">
        <v>0.19600000000000001</v>
      </c>
      <c r="DS142" s="59">
        <v>2.29E-2</v>
      </c>
      <c r="DT142" s="59">
        <v>4.8800000000000003E-2</v>
      </c>
      <c r="DU142" s="59">
        <v>2.3800000000000002E-2</v>
      </c>
      <c r="DV142" s="59">
        <v>5.9900000000000002E-2</v>
      </c>
      <c r="DW142" s="59">
        <v>9.1999999999999998E-3</v>
      </c>
      <c r="DX142" s="169">
        <v>0</v>
      </c>
      <c r="DY142" s="170">
        <v>1.7145999999999999</v>
      </c>
      <c r="DZ142" s="171">
        <f t="shared" si="162"/>
        <v>1.9100664878105682</v>
      </c>
      <c r="EA142" s="59">
        <v>0.69620000000000004</v>
      </c>
      <c r="EB142" s="171">
        <f t="shared" si="163"/>
        <v>1.7910083309393854</v>
      </c>
      <c r="EC142" s="59">
        <v>0.33329999999999999</v>
      </c>
      <c r="ED142" s="171">
        <f t="shared" si="164"/>
        <v>1.9075907590759078</v>
      </c>
      <c r="EE142" s="59">
        <v>3.9399999999999998E-2</v>
      </c>
      <c r="EF142" s="59">
        <v>5.4999999999999997E-3</v>
      </c>
      <c r="EG142" s="59">
        <v>0.28129999999999999</v>
      </c>
      <c r="EH142" s="59">
        <v>0</v>
      </c>
      <c r="EI142" s="208">
        <v>0.14369999999999999</v>
      </c>
      <c r="EJ142" s="172">
        <v>5.89</v>
      </c>
      <c r="EK142" s="173"/>
      <c r="EL142" s="169">
        <v>0</v>
      </c>
      <c r="EM142" s="169">
        <v>0</v>
      </c>
      <c r="EN142" s="59"/>
      <c r="EO142" s="172"/>
      <c r="ES142" s="57">
        <f t="shared" si="174"/>
        <v>5.89</v>
      </c>
      <c r="ET142" s="57">
        <f t="shared" si="175"/>
        <v>0</v>
      </c>
      <c r="EU142" s="31"/>
      <c r="EV142" s="61">
        <f t="shared" si="165"/>
        <v>1.7878098471986419</v>
      </c>
      <c r="EW142" s="62"/>
      <c r="EX142" s="158">
        <f t="shared" si="198"/>
        <v>-2.8437500000000018</v>
      </c>
      <c r="EY142" s="77">
        <f t="shared" si="199"/>
        <v>7.9161599999999996</v>
      </c>
      <c r="EZ142" s="158">
        <f t="shared" si="166"/>
        <v>10.530200000000001</v>
      </c>
      <c r="FA142" s="158">
        <f t="shared" si="167"/>
        <v>10.530200000000001</v>
      </c>
      <c r="FH142" s="174">
        <f t="shared" si="176"/>
        <v>29050.715760000003</v>
      </c>
      <c r="FJ142" s="87">
        <v>1.3841935483870971</v>
      </c>
      <c r="FK142" s="176">
        <f t="shared" si="177"/>
        <v>1.291589495762244</v>
      </c>
      <c r="FM142" s="87" t="e">
        <f t="shared" si="178"/>
        <v>#DIV/0!</v>
      </c>
      <c r="FO142" s="88">
        <f t="shared" si="168"/>
        <v>29050.715760000003</v>
      </c>
      <c r="FP142" s="79">
        <f t="shared" si="169"/>
        <v>0</v>
      </c>
      <c r="FS142" s="79">
        <f t="shared" si="170"/>
        <v>16249.332</v>
      </c>
      <c r="FT142" s="79">
        <f t="shared" si="171"/>
        <v>0</v>
      </c>
      <c r="FU142" s="79">
        <f t="shared" si="179"/>
        <v>1.7878098471986419</v>
      </c>
      <c r="FV142" s="79" t="e">
        <f t="shared" si="179"/>
        <v>#DIV/0!</v>
      </c>
      <c r="FY142" s="79">
        <f t="shared" si="180"/>
        <v>29050.715760000003</v>
      </c>
      <c r="FZ142" s="79">
        <f t="shared" si="181"/>
        <v>0</v>
      </c>
      <c r="GB142" s="178">
        <f t="shared" si="182"/>
        <v>2758.8</v>
      </c>
      <c r="GC142" s="178">
        <f t="shared" si="183"/>
        <v>0</v>
      </c>
      <c r="GG142" s="14">
        <v>8.2920000000000016</v>
      </c>
      <c r="GH142" s="175">
        <f t="shared" si="184"/>
        <v>1.2699228171731789</v>
      </c>
      <c r="GI142" s="14">
        <v>8.2920000000000016</v>
      </c>
      <c r="GJ142" s="175">
        <f t="shared" si="185"/>
        <v>1.2699228171731789</v>
      </c>
      <c r="GK142" s="175">
        <f t="shared" si="150"/>
        <v>0</v>
      </c>
      <c r="GN142" s="14">
        <v>10.681800000000003</v>
      </c>
      <c r="GO142" s="175">
        <f t="shared" si="186"/>
        <v>1.2882054992764111</v>
      </c>
      <c r="GP142" s="179">
        <f t="shared" si="187"/>
        <v>0.98580763541725158</v>
      </c>
      <c r="GQ142" s="14">
        <v>10.681800000000003</v>
      </c>
      <c r="GR142" s="175">
        <f t="shared" si="188"/>
        <v>1.2882054992764111</v>
      </c>
      <c r="GS142" s="175">
        <f t="shared" si="189"/>
        <v>0.98580763541725158</v>
      </c>
      <c r="GV142" s="32">
        <f t="shared" si="190"/>
        <v>29050.715760000003</v>
      </c>
      <c r="GW142" s="32">
        <f t="shared" si="191"/>
        <v>0</v>
      </c>
      <c r="GX142" s="180">
        <f t="shared" si="192"/>
        <v>29050.715760000003</v>
      </c>
      <c r="GZ142" s="32">
        <f t="shared" si="193"/>
        <v>10.530200000000001</v>
      </c>
      <c r="HA142" s="32" t="e">
        <f t="shared" si="194"/>
        <v>#DIV/0!</v>
      </c>
      <c r="HB142" s="32">
        <f t="shared" si="195"/>
        <v>10.530200000000001</v>
      </c>
    </row>
    <row r="143" spans="1:210" ht="19.2" customHeight="1" x14ac:dyDescent="0.3">
      <c r="A143" s="50">
        <v>135</v>
      </c>
      <c r="B143" s="51" t="s">
        <v>730</v>
      </c>
      <c r="C143" s="51"/>
      <c r="D143" s="52">
        <v>5</v>
      </c>
      <c r="E143" s="52">
        <v>8</v>
      </c>
      <c r="F143" s="63">
        <v>120</v>
      </c>
      <c r="G143" s="54" t="s">
        <v>120</v>
      </c>
      <c r="H143" s="181" t="s">
        <v>49</v>
      </c>
      <c r="I143" s="55">
        <f t="shared" si="172"/>
        <v>5841.86</v>
      </c>
      <c r="J143" s="55">
        <f t="shared" si="152"/>
        <v>0</v>
      </c>
      <c r="K143" s="55">
        <f t="shared" si="153"/>
        <v>15.14</v>
      </c>
      <c r="L143" s="56">
        <v>5857</v>
      </c>
      <c r="M143" s="56">
        <v>5841.86</v>
      </c>
      <c r="N143" s="56">
        <f t="shared" si="173"/>
        <v>5841.86</v>
      </c>
      <c r="O143" s="56">
        <v>15.14</v>
      </c>
      <c r="P143" s="56">
        <v>0</v>
      </c>
      <c r="Q143" s="55"/>
      <c r="R143" s="55">
        <v>5857</v>
      </c>
      <c r="S143" s="55"/>
      <c r="T143" s="55">
        <v>0</v>
      </c>
      <c r="U143" s="152">
        <v>5857</v>
      </c>
      <c r="V143" s="57">
        <v>0.15310000000000001</v>
      </c>
      <c r="W143" s="153">
        <v>9.2899999999999996E-2</v>
      </c>
      <c r="X143" s="57">
        <v>0.33289999999999997</v>
      </c>
      <c r="Y143" s="57">
        <v>7.4499999999999997E-2</v>
      </c>
      <c r="Z143" s="153">
        <v>3.7499999999999999E-2</v>
      </c>
      <c r="AA143" s="57">
        <v>0.7127</v>
      </c>
      <c r="AB143" s="153">
        <v>0</v>
      </c>
      <c r="AC143" s="57">
        <v>0.63149999999999995</v>
      </c>
      <c r="AD143" s="57">
        <v>0.16070000000000001</v>
      </c>
      <c r="AE143" s="57">
        <v>0</v>
      </c>
      <c r="AF143" s="57">
        <v>2.23</v>
      </c>
      <c r="AG143" s="57">
        <v>0.20319999999999999</v>
      </c>
      <c r="AH143" s="57">
        <v>0.30969999999999998</v>
      </c>
      <c r="AI143" s="153">
        <v>9.11E-2</v>
      </c>
      <c r="AJ143" s="153">
        <v>9.6299999999999997E-2</v>
      </c>
      <c r="AK143" s="153">
        <v>7.2999999999999995E-2</v>
      </c>
      <c r="AL143" s="57">
        <v>0.27389999999999998</v>
      </c>
      <c r="AM143" s="153">
        <v>3.2599999999999997E-2</v>
      </c>
      <c r="AN143" s="57">
        <v>0</v>
      </c>
      <c r="AO143" s="153">
        <v>2.1309</v>
      </c>
      <c r="AP143" s="57">
        <v>1.0883</v>
      </c>
      <c r="AQ143" s="57">
        <v>9.1200000000000003E-2</v>
      </c>
      <c r="AR143" s="153">
        <v>0.35460000000000003</v>
      </c>
      <c r="AS143" s="57">
        <v>5.16E-2</v>
      </c>
      <c r="AT143" s="57">
        <v>8.3999999999999995E-3</v>
      </c>
      <c r="AU143" s="153">
        <v>0.28170000000000001</v>
      </c>
      <c r="AV143" s="153">
        <v>0</v>
      </c>
      <c r="AW143" s="154">
        <v>9.5123000000000033</v>
      </c>
      <c r="AX143" s="58">
        <v>0.47560000000000002</v>
      </c>
      <c r="AY143" s="155">
        <f t="shared" si="154"/>
        <v>0.47110000000000002</v>
      </c>
      <c r="AZ143" s="155">
        <f t="shared" si="155"/>
        <v>4.500000000000004E-3</v>
      </c>
      <c r="BA143" s="14">
        <v>9.9879000000000033</v>
      </c>
      <c r="BB143" s="59">
        <f>BA143-'[1]Тариф 26 свод без  ПДВ'!AU143</f>
        <v>-4.3999999999968509E-3</v>
      </c>
      <c r="BC143" s="57">
        <v>0</v>
      </c>
      <c r="BD143" s="57">
        <v>0</v>
      </c>
      <c r="BE143" s="57">
        <v>0</v>
      </c>
      <c r="BF143" s="156">
        <v>9.5123000000000033</v>
      </c>
      <c r="BG143" s="59">
        <v>0.47560000000000002</v>
      </c>
      <c r="BH143" s="59"/>
      <c r="BI143" s="59"/>
      <c r="BJ143" s="14">
        <v>9.9879000000000033</v>
      </c>
      <c r="BK143" s="60"/>
      <c r="BL143" s="60">
        <v>5.6568000000000023</v>
      </c>
      <c r="BM143" s="60">
        <v>0.2828</v>
      </c>
      <c r="BN143" s="14">
        <v>5.9396000000000022</v>
      </c>
      <c r="BO143" s="14"/>
      <c r="BP143" s="157"/>
      <c r="BQ143" s="158">
        <f>BJ143-'[1]Тариф 26 свод без  ПДВ'!BG143</f>
        <v>-4.3999999999968509E-3</v>
      </c>
      <c r="BR143" s="77">
        <f>'[1]Тариф 26 свод без  ПДВ'!BG143</f>
        <v>9.9923000000000002</v>
      </c>
      <c r="BS143" s="159">
        <f t="shared" si="156"/>
        <v>-4.3999999999968509E-3</v>
      </c>
      <c r="BU143" s="77">
        <f>'[1]Тариф 26 свод без  ПДВ'!AU143</f>
        <v>9.9923000000000002</v>
      </c>
      <c r="BV143" s="159">
        <f t="shared" si="157"/>
        <v>-4.3999999999968509E-3</v>
      </c>
      <c r="BX143" s="95">
        <v>3.8964000000000008</v>
      </c>
      <c r="BY143" s="95">
        <v>3.8964000000000008</v>
      </c>
      <c r="BZ143" s="95"/>
      <c r="CA143" s="182">
        <f t="shared" si="158"/>
        <v>2.5633661841700035</v>
      </c>
      <c r="CB143" s="182">
        <f t="shared" si="159"/>
        <v>2.5633661841700035</v>
      </c>
      <c r="CI143" s="160">
        <f>'[1]0 СВОД'!AYY158</f>
        <v>58438.710178733112</v>
      </c>
      <c r="CJ143" s="77">
        <f t="shared" si="160"/>
        <v>701264.52214479737</v>
      </c>
      <c r="CM143" s="161">
        <v>141</v>
      </c>
      <c r="CN143" s="183" t="s">
        <v>731</v>
      </c>
      <c r="CO143" s="163">
        <v>5</v>
      </c>
      <c r="CP143" s="163">
        <v>8</v>
      </c>
      <c r="CQ143" s="164" t="s">
        <v>120</v>
      </c>
      <c r="CR143" s="165" t="s">
        <v>49</v>
      </c>
      <c r="CS143" s="166">
        <v>5844.1</v>
      </c>
      <c r="CT143" s="166">
        <v>0</v>
      </c>
      <c r="CU143" s="167">
        <v>12.96</v>
      </c>
      <c r="CV143" s="168">
        <v>5857.06</v>
      </c>
      <c r="CW143" s="166">
        <v>5844.1</v>
      </c>
      <c r="CX143" s="167">
        <v>12.96</v>
      </c>
      <c r="CY143" s="166">
        <v>3.5527136788005009E-14</v>
      </c>
      <c r="CZ143" s="166"/>
      <c r="DA143" s="166">
        <v>5857.06</v>
      </c>
      <c r="DB143" s="166"/>
      <c r="DC143" s="166">
        <v>0</v>
      </c>
      <c r="DD143" s="59">
        <v>0.15049999999999999</v>
      </c>
      <c r="DE143" s="59">
        <v>0.15090000000000001</v>
      </c>
      <c r="DF143" s="59">
        <v>0.21890000000000001</v>
      </c>
      <c r="DG143" s="59">
        <v>4.3900000000000002E-2</v>
      </c>
      <c r="DH143" s="59">
        <v>1.41E-2</v>
      </c>
      <c r="DI143" s="59">
        <v>0.31330000000000002</v>
      </c>
      <c r="DJ143" s="59">
        <v>4.8099999999999997E-2</v>
      </c>
      <c r="DK143" s="59">
        <v>0.3458</v>
      </c>
      <c r="DL143" s="169">
        <v>0</v>
      </c>
      <c r="DM143" s="59">
        <v>9.7799999999999998E-2</v>
      </c>
      <c r="DN143" s="169">
        <v>0</v>
      </c>
      <c r="DO143" s="184">
        <v>1.4098999999999999</v>
      </c>
      <c r="DP143" s="171">
        <f t="shared" si="161"/>
        <v>2.23</v>
      </c>
      <c r="DQ143" s="59">
        <v>9.7799999999999998E-2</v>
      </c>
      <c r="DR143" s="59">
        <v>0.1971</v>
      </c>
      <c r="DS143" s="59">
        <v>2.3800000000000002E-2</v>
      </c>
      <c r="DT143" s="59">
        <v>4.53E-2</v>
      </c>
      <c r="DU143" s="59">
        <v>3.0800000000000001E-2</v>
      </c>
      <c r="DV143" s="59">
        <v>9.5600000000000004E-2</v>
      </c>
      <c r="DW143" s="59">
        <v>8.6999999999999994E-3</v>
      </c>
      <c r="DX143" s="169">
        <v>0</v>
      </c>
      <c r="DY143" s="59">
        <v>1.0683</v>
      </c>
      <c r="DZ143" s="171">
        <f t="shared" si="162"/>
        <v>1.9946644201067116</v>
      </c>
      <c r="EA143" s="59">
        <v>0.65629999999999999</v>
      </c>
      <c r="EB143" s="171">
        <f t="shared" si="163"/>
        <v>1.7971964040834985</v>
      </c>
      <c r="EC143" s="59">
        <v>0.18479999999999999</v>
      </c>
      <c r="ED143" s="171">
        <f t="shared" si="164"/>
        <v>1.918831168831169</v>
      </c>
      <c r="EE143" s="59">
        <v>3.95E-2</v>
      </c>
      <c r="EF143" s="59">
        <v>5.4999999999999997E-3</v>
      </c>
      <c r="EG143" s="59">
        <v>0.18770000000000001</v>
      </c>
      <c r="EH143" s="59">
        <v>0</v>
      </c>
      <c r="EI143" s="208">
        <v>0.13589999999999999</v>
      </c>
      <c r="EJ143" s="172">
        <v>5.5703000000000014</v>
      </c>
      <c r="EK143" s="173"/>
      <c r="EL143" s="169">
        <v>0</v>
      </c>
      <c r="EM143" s="169">
        <v>0</v>
      </c>
      <c r="EN143" s="59"/>
      <c r="EO143" s="172"/>
      <c r="ES143" s="57">
        <f t="shared" si="174"/>
        <v>5.5703000000000014</v>
      </c>
      <c r="ET143" s="57">
        <f t="shared" si="175"/>
        <v>0</v>
      </c>
      <c r="EU143" s="31"/>
      <c r="EV143" s="61">
        <f t="shared" si="165"/>
        <v>1.7930632102400232</v>
      </c>
      <c r="EW143" s="62"/>
      <c r="EX143" s="158">
        <f t="shared" si="198"/>
        <v>-2.7186585000000019</v>
      </c>
      <c r="EY143" s="77">
        <f t="shared" si="199"/>
        <v>7.4864832000000021</v>
      </c>
      <c r="EZ143" s="158">
        <f t="shared" si="166"/>
        <v>9.9879000000000033</v>
      </c>
      <c r="FA143" s="158">
        <f t="shared" si="167"/>
        <v>9.9879000000000033</v>
      </c>
      <c r="FH143" s="174">
        <f t="shared" si="176"/>
        <v>58499.130300000019</v>
      </c>
      <c r="FJ143" s="87">
        <v>1.3530689549934469</v>
      </c>
      <c r="FK143" s="176">
        <f t="shared" si="177"/>
        <v>1.3251824333289113</v>
      </c>
      <c r="FM143" s="87" t="e">
        <f t="shared" si="178"/>
        <v>#DIV/0!</v>
      </c>
      <c r="FO143" s="88">
        <f t="shared" si="168"/>
        <v>58499.130300000019</v>
      </c>
      <c r="FP143" s="79">
        <f t="shared" si="169"/>
        <v>0</v>
      </c>
      <c r="FS143" s="79">
        <f t="shared" si="170"/>
        <v>32625.247100000008</v>
      </c>
      <c r="FT143" s="79">
        <f t="shared" si="171"/>
        <v>0</v>
      </c>
      <c r="FU143" s="79">
        <f t="shared" si="179"/>
        <v>1.7930632102400232</v>
      </c>
      <c r="FV143" s="79" t="e">
        <f t="shared" si="179"/>
        <v>#DIV/0!</v>
      </c>
      <c r="FY143" s="79">
        <f t="shared" si="180"/>
        <v>58499.130300000019</v>
      </c>
      <c r="FZ143" s="79">
        <f t="shared" si="181"/>
        <v>0</v>
      </c>
      <c r="GB143" s="178">
        <f t="shared" si="182"/>
        <v>5857</v>
      </c>
      <c r="GC143" s="178">
        <f t="shared" si="183"/>
        <v>0</v>
      </c>
      <c r="GG143" s="14">
        <v>7.8648999999999996</v>
      </c>
      <c r="GH143" s="175">
        <f t="shared" si="184"/>
        <v>1.2699335020152835</v>
      </c>
      <c r="GI143" s="14">
        <v>7.8648999999999996</v>
      </c>
      <c r="GJ143" s="175">
        <f t="shared" si="185"/>
        <v>1.2699335020152835</v>
      </c>
      <c r="GK143" s="175">
        <f t="shared" si="150"/>
        <v>0</v>
      </c>
      <c r="GN143" s="14">
        <v>10.2369</v>
      </c>
      <c r="GO143" s="175">
        <f t="shared" si="186"/>
        <v>1.3015931543948431</v>
      </c>
      <c r="GP143" s="179">
        <f t="shared" si="187"/>
        <v>0.97567623010872462</v>
      </c>
      <c r="GQ143" s="14">
        <v>10.2369</v>
      </c>
      <c r="GR143" s="175">
        <f t="shared" si="188"/>
        <v>1.3015931543948431</v>
      </c>
      <c r="GS143" s="175">
        <f t="shared" si="189"/>
        <v>0.97567623010872462</v>
      </c>
      <c r="GV143" s="32">
        <f t="shared" si="190"/>
        <v>58499.130300000019</v>
      </c>
      <c r="GW143" s="32">
        <f t="shared" si="191"/>
        <v>0</v>
      </c>
      <c r="GX143" s="180">
        <f t="shared" si="192"/>
        <v>58499.130300000019</v>
      </c>
      <c r="GZ143" s="32">
        <f t="shared" si="193"/>
        <v>9.9879000000000033</v>
      </c>
      <c r="HA143" s="32" t="e">
        <f t="shared" si="194"/>
        <v>#DIV/0!</v>
      </c>
      <c r="HB143" s="32">
        <f t="shared" si="195"/>
        <v>9.9879000000000033</v>
      </c>
    </row>
    <row r="144" spans="1:210" ht="19.2" customHeight="1" x14ac:dyDescent="0.3">
      <c r="A144" s="50">
        <v>136</v>
      </c>
      <c r="B144" s="51" t="s">
        <v>732</v>
      </c>
      <c r="C144" s="51"/>
      <c r="D144" s="52">
        <v>5</v>
      </c>
      <c r="E144" s="52">
        <v>6</v>
      </c>
      <c r="F144" s="63">
        <v>96</v>
      </c>
      <c r="G144" s="54" t="s">
        <v>121</v>
      </c>
      <c r="H144" s="181" t="s">
        <v>56</v>
      </c>
      <c r="I144" s="55">
        <f t="shared" si="172"/>
        <v>4448.3</v>
      </c>
      <c r="J144" s="55">
        <f t="shared" si="152"/>
        <v>0</v>
      </c>
      <c r="K144" s="55">
        <f t="shared" si="153"/>
        <v>61.5</v>
      </c>
      <c r="L144" s="56">
        <v>4509.8</v>
      </c>
      <c r="M144" s="56">
        <v>4448.3</v>
      </c>
      <c r="N144" s="56">
        <f t="shared" si="173"/>
        <v>4448.3</v>
      </c>
      <c r="O144" s="56">
        <v>61.5</v>
      </c>
      <c r="P144" s="56">
        <v>0</v>
      </c>
      <c r="Q144" s="55"/>
      <c r="R144" s="55">
        <v>4509.8</v>
      </c>
      <c r="S144" s="55"/>
      <c r="T144" s="55">
        <v>0</v>
      </c>
      <c r="U144" s="152">
        <v>4509.8</v>
      </c>
      <c r="V144" s="57">
        <v>0.15390000000000001</v>
      </c>
      <c r="W144" s="153">
        <v>0.1021</v>
      </c>
      <c r="X144" s="57">
        <v>0.3337</v>
      </c>
      <c r="Y144" s="57">
        <v>7.4700000000000003E-2</v>
      </c>
      <c r="Z144" s="153">
        <v>0</v>
      </c>
      <c r="AA144" s="57">
        <v>0.59399999999999997</v>
      </c>
      <c r="AB144" s="153">
        <v>0</v>
      </c>
      <c r="AC144" s="57">
        <v>0.63149999999999995</v>
      </c>
      <c r="AD144" s="57">
        <v>0.16830000000000001</v>
      </c>
      <c r="AE144" s="57">
        <v>0</v>
      </c>
      <c r="AF144" s="57">
        <v>1.0736000000000001</v>
      </c>
      <c r="AG144" s="57">
        <v>0.2051</v>
      </c>
      <c r="AH144" s="57">
        <v>0.36199999999999999</v>
      </c>
      <c r="AI144" s="153">
        <v>9.0499999999999997E-2</v>
      </c>
      <c r="AJ144" s="153">
        <v>9.9599999999999994E-2</v>
      </c>
      <c r="AK144" s="153">
        <v>0</v>
      </c>
      <c r="AL144" s="57">
        <v>0.2157</v>
      </c>
      <c r="AM144" s="153">
        <v>3.3300000000000003E-2</v>
      </c>
      <c r="AN144" s="57">
        <v>0</v>
      </c>
      <c r="AO144" s="153">
        <v>2.6497999999999999</v>
      </c>
      <c r="AP144" s="57">
        <v>1.1890000000000001</v>
      </c>
      <c r="AQ144" s="57">
        <v>0.104</v>
      </c>
      <c r="AR144" s="153">
        <v>0.47799999999999998</v>
      </c>
      <c r="AS144" s="57">
        <v>5.0799999999999998E-2</v>
      </c>
      <c r="AT144" s="57">
        <v>8.2000000000000007E-3</v>
      </c>
      <c r="AU144" s="153">
        <v>0.37</v>
      </c>
      <c r="AV144" s="153">
        <v>0</v>
      </c>
      <c r="AW144" s="154">
        <v>8.9878</v>
      </c>
      <c r="AX144" s="58">
        <v>0.44940000000000002</v>
      </c>
      <c r="AY144" s="155">
        <f t="shared" si="154"/>
        <v>0.44419999999999998</v>
      </c>
      <c r="AZ144" s="155">
        <f t="shared" si="155"/>
        <v>5.2000000000000379E-3</v>
      </c>
      <c r="BA144" s="14">
        <v>9.4372000000000007</v>
      </c>
      <c r="BB144" s="59">
        <f>BA144-'[1]Тариф 26 свод без  ПДВ'!AU144</f>
        <v>5.2000000000003155E-3</v>
      </c>
      <c r="BC144" s="57">
        <v>0</v>
      </c>
      <c r="BD144" s="57">
        <v>0</v>
      </c>
      <c r="BE144" s="57">
        <v>0</v>
      </c>
      <c r="BF144" s="156">
        <v>8.9878</v>
      </c>
      <c r="BG144" s="59">
        <v>0.44940000000000002</v>
      </c>
      <c r="BH144" s="59"/>
      <c r="BI144" s="59"/>
      <c r="BJ144" s="14">
        <v>9.4372000000000007</v>
      </c>
      <c r="BK144" s="60"/>
      <c r="BL144" s="60">
        <v>4.301000000000001</v>
      </c>
      <c r="BM144" s="60">
        <v>0.21510000000000001</v>
      </c>
      <c r="BN144" s="14">
        <v>4.5161000000000007</v>
      </c>
      <c r="BO144" s="14"/>
      <c r="BP144" s="157"/>
      <c r="BQ144" s="158">
        <f>BJ144-'[1]Тариф 26 свод без  ПДВ'!BG144</f>
        <v>5.2000000000003155E-3</v>
      </c>
      <c r="BR144" s="77">
        <f>'[1]Тариф 26 свод без  ПДВ'!BG144</f>
        <v>9.4320000000000004</v>
      </c>
      <c r="BS144" s="159">
        <f t="shared" si="156"/>
        <v>5.2000000000003155E-3</v>
      </c>
      <c r="BU144" s="77">
        <f>'[1]Тариф 26 свод без  ПДВ'!AU144</f>
        <v>9.4320000000000004</v>
      </c>
      <c r="BV144" s="159">
        <f t="shared" si="157"/>
        <v>5.2000000000003155E-3</v>
      </c>
      <c r="BX144" s="95">
        <v>4.3191000000000006</v>
      </c>
      <c r="BY144" s="95">
        <v>4.3191000000000006</v>
      </c>
      <c r="BZ144" s="95"/>
      <c r="CA144" s="182">
        <f t="shared" si="158"/>
        <v>2.1849922437544858</v>
      </c>
      <c r="CB144" s="182">
        <f t="shared" si="159"/>
        <v>2.1849922437544858</v>
      </c>
      <c r="CI144" s="160">
        <f>'[1]0 СВОД'!AYY159</f>
        <v>42257.773160456854</v>
      </c>
      <c r="CJ144" s="77">
        <f t="shared" si="160"/>
        <v>507093.27792548225</v>
      </c>
      <c r="CM144" s="161">
        <v>142</v>
      </c>
      <c r="CN144" s="162" t="s">
        <v>733</v>
      </c>
      <c r="CO144" s="163">
        <v>5</v>
      </c>
      <c r="CP144" s="163">
        <v>6</v>
      </c>
      <c r="CQ144" s="164" t="s">
        <v>121</v>
      </c>
      <c r="CR144" s="165" t="s">
        <v>56</v>
      </c>
      <c r="CS144" s="166">
        <v>4448.8999999999996</v>
      </c>
      <c r="CT144" s="166">
        <v>0</v>
      </c>
      <c r="CU144" s="167">
        <v>61.5</v>
      </c>
      <c r="CV144" s="168">
        <v>4510.3999999999996</v>
      </c>
      <c r="CW144" s="166">
        <v>4448.8999999999996</v>
      </c>
      <c r="CX144" s="167">
        <v>61.5</v>
      </c>
      <c r="CY144" s="166">
        <v>0</v>
      </c>
      <c r="CZ144" s="166"/>
      <c r="DA144" s="166">
        <v>4510.3999999999996</v>
      </c>
      <c r="DB144" s="166"/>
      <c r="DC144" s="166">
        <v>0</v>
      </c>
      <c r="DD144" s="59">
        <v>0.151</v>
      </c>
      <c r="DE144" s="59">
        <v>0.1658</v>
      </c>
      <c r="DF144" s="59">
        <v>0.21940000000000001</v>
      </c>
      <c r="DG144" s="59">
        <v>4.3900000000000002E-2</v>
      </c>
      <c r="DH144" s="59">
        <v>0</v>
      </c>
      <c r="DI144" s="59">
        <v>0.2611</v>
      </c>
      <c r="DJ144" s="59">
        <v>4.8099999999999997E-2</v>
      </c>
      <c r="DK144" s="59">
        <v>0.3458</v>
      </c>
      <c r="DL144" s="169">
        <v>0</v>
      </c>
      <c r="DM144" s="59">
        <v>0.1024</v>
      </c>
      <c r="DN144" s="169">
        <v>0</v>
      </c>
      <c r="DO144" s="59">
        <v>0.72650000000000003</v>
      </c>
      <c r="DP144" s="171">
        <f t="shared" si="161"/>
        <v>1.0736000000000001</v>
      </c>
      <c r="DQ144" s="59">
        <v>9.8799999999999999E-2</v>
      </c>
      <c r="DR144" s="59">
        <v>0.2165</v>
      </c>
      <c r="DS144" s="59">
        <v>2.3599999999999999E-2</v>
      </c>
      <c r="DT144" s="59">
        <v>4.6899999999999997E-2</v>
      </c>
      <c r="DU144" s="59">
        <v>0</v>
      </c>
      <c r="DV144" s="59">
        <v>7.5300000000000006E-2</v>
      </c>
      <c r="DW144" s="59">
        <v>9.1000000000000004E-3</v>
      </c>
      <c r="DX144" s="169">
        <v>0</v>
      </c>
      <c r="DY144" s="170">
        <v>1.2744</v>
      </c>
      <c r="DZ144" s="171">
        <f t="shared" si="162"/>
        <v>2.0792529817953547</v>
      </c>
      <c r="EA144" s="59">
        <v>0.68689999999999996</v>
      </c>
      <c r="EB144" s="171">
        <f t="shared" si="163"/>
        <v>1.8823700684233515</v>
      </c>
      <c r="EC144" s="59">
        <v>0.23569999999999999</v>
      </c>
      <c r="ED144" s="171">
        <f t="shared" si="164"/>
        <v>2.0280016970725496</v>
      </c>
      <c r="EE144" s="59">
        <v>3.8800000000000001E-2</v>
      </c>
      <c r="EF144" s="59">
        <v>5.4000000000000003E-3</v>
      </c>
      <c r="EG144" s="59">
        <v>0.30199999999999999</v>
      </c>
      <c r="EH144" s="59">
        <v>0</v>
      </c>
      <c r="EI144" s="208">
        <v>0.12690000000000001</v>
      </c>
      <c r="EJ144" s="172">
        <v>5.204299999999999</v>
      </c>
      <c r="EK144" s="173"/>
      <c r="EL144" s="169">
        <v>0</v>
      </c>
      <c r="EM144" s="169">
        <v>0</v>
      </c>
      <c r="EN144" s="59"/>
      <c r="EO144" s="172"/>
      <c r="ES144" s="57">
        <f t="shared" si="174"/>
        <v>5.204299999999999</v>
      </c>
      <c r="ET144" s="57">
        <f t="shared" si="175"/>
        <v>0</v>
      </c>
      <c r="EU144" s="31"/>
      <c r="EV144" s="61">
        <f t="shared" si="165"/>
        <v>1.8133466556501359</v>
      </c>
      <c r="EW144" s="62"/>
      <c r="EX144" s="158">
        <f t="shared" si="198"/>
        <v>-2.6455885000000023</v>
      </c>
      <c r="EY144" s="77">
        <f>ES144*1.344</f>
        <v>6.9945791999999996</v>
      </c>
      <c r="EZ144" s="158">
        <f t="shared" si="166"/>
        <v>9.4372000000000007</v>
      </c>
      <c r="FA144" s="158">
        <f t="shared" si="167"/>
        <v>9.4372000000000007</v>
      </c>
      <c r="FH144" s="174">
        <f t="shared" si="176"/>
        <v>42559.884560000006</v>
      </c>
      <c r="FJ144" s="87">
        <v>1.4194992602271201</v>
      </c>
      <c r="FK144" s="176">
        <f t="shared" si="177"/>
        <v>1.2774551607445008</v>
      </c>
      <c r="FM144" s="87" t="e">
        <f t="shared" si="178"/>
        <v>#DIV/0!</v>
      </c>
      <c r="FO144" s="88">
        <f t="shared" si="168"/>
        <v>42559.884560000006</v>
      </c>
      <c r="FP144" s="79">
        <f t="shared" si="169"/>
        <v>0</v>
      </c>
      <c r="FS144" s="79">
        <f t="shared" si="170"/>
        <v>23470.352139999995</v>
      </c>
      <c r="FT144" s="79">
        <f t="shared" si="171"/>
        <v>0</v>
      </c>
      <c r="FU144" s="79">
        <f t="shared" si="179"/>
        <v>1.8133466556501361</v>
      </c>
      <c r="FV144" s="79" t="e">
        <f t="shared" si="179"/>
        <v>#DIV/0!</v>
      </c>
      <c r="FY144" s="79">
        <f t="shared" si="180"/>
        <v>42559.884560000006</v>
      </c>
      <c r="FZ144" s="79">
        <f t="shared" si="181"/>
        <v>0</v>
      </c>
      <c r="GB144" s="178">
        <f t="shared" si="182"/>
        <v>4509.8</v>
      </c>
      <c r="GC144" s="178">
        <f t="shared" si="183"/>
        <v>0</v>
      </c>
      <c r="GG144" s="14">
        <v>7.4313000000000011</v>
      </c>
      <c r="GH144" s="175">
        <f t="shared" si="184"/>
        <v>1.2699258541574152</v>
      </c>
      <c r="GI144" s="14">
        <v>7.4313000000000011</v>
      </c>
      <c r="GJ144" s="175">
        <f t="shared" si="185"/>
        <v>1.2699258541574152</v>
      </c>
      <c r="GK144" s="175">
        <f t="shared" si="150"/>
        <v>0</v>
      </c>
      <c r="GN144" s="14">
        <v>9.5589999999999993</v>
      </c>
      <c r="GO144" s="175">
        <f t="shared" si="186"/>
        <v>1.2863159877814108</v>
      </c>
      <c r="GP144" s="179">
        <f t="shared" si="187"/>
        <v>0.98725808138926685</v>
      </c>
      <c r="GQ144" s="14">
        <v>9.5589999999999993</v>
      </c>
      <c r="GR144" s="175">
        <f t="shared" si="188"/>
        <v>1.2863159877814108</v>
      </c>
      <c r="GS144" s="175">
        <f t="shared" si="189"/>
        <v>0.98725808138926685</v>
      </c>
      <c r="GV144" s="32">
        <f t="shared" si="190"/>
        <v>42559.884560000006</v>
      </c>
      <c r="GW144" s="32">
        <f t="shared" si="191"/>
        <v>0</v>
      </c>
      <c r="GX144" s="180">
        <f t="shared" si="192"/>
        <v>42559.884560000006</v>
      </c>
      <c r="GZ144" s="32">
        <f t="shared" si="193"/>
        <v>9.4372000000000007</v>
      </c>
      <c r="HA144" s="32" t="e">
        <f t="shared" si="194"/>
        <v>#DIV/0!</v>
      </c>
      <c r="HB144" s="32">
        <f t="shared" si="195"/>
        <v>9.4372000000000007</v>
      </c>
    </row>
    <row r="145" spans="1:210" ht="19.2" customHeight="1" x14ac:dyDescent="0.3">
      <c r="A145" s="50">
        <v>137</v>
      </c>
      <c r="B145" s="51" t="s">
        <v>734</v>
      </c>
      <c r="C145" s="51"/>
      <c r="D145" s="52">
        <v>5</v>
      </c>
      <c r="E145" s="52">
        <v>4</v>
      </c>
      <c r="F145" s="63">
        <v>60</v>
      </c>
      <c r="G145" s="54" t="s">
        <v>122</v>
      </c>
      <c r="H145" s="181" t="s">
        <v>49</v>
      </c>
      <c r="I145" s="55">
        <f t="shared" si="172"/>
        <v>2756.7</v>
      </c>
      <c r="J145" s="55">
        <f t="shared" si="152"/>
        <v>0</v>
      </c>
      <c r="K145" s="55">
        <f t="shared" si="153"/>
        <v>0</v>
      </c>
      <c r="L145" s="56">
        <v>2756.7</v>
      </c>
      <c r="M145" s="56">
        <v>2756.7</v>
      </c>
      <c r="N145" s="56">
        <f t="shared" si="173"/>
        <v>2756.7</v>
      </c>
      <c r="O145" s="56">
        <v>0</v>
      </c>
      <c r="P145" s="56">
        <v>0</v>
      </c>
      <c r="Q145" s="55"/>
      <c r="R145" s="55">
        <v>2756.7</v>
      </c>
      <c r="S145" s="55"/>
      <c r="T145" s="55">
        <v>0</v>
      </c>
      <c r="U145" s="152">
        <v>2756.7</v>
      </c>
      <c r="V145" s="57">
        <v>0.16669999999999999</v>
      </c>
      <c r="W145" s="153">
        <v>9.2399999999999996E-2</v>
      </c>
      <c r="X145" s="57">
        <v>0.32450000000000001</v>
      </c>
      <c r="Y145" s="57">
        <v>7.4200000000000002E-2</v>
      </c>
      <c r="Z145" s="153">
        <v>2.9000000000000001E-2</v>
      </c>
      <c r="AA145" s="57">
        <v>0.499</v>
      </c>
      <c r="AB145" s="153">
        <v>0</v>
      </c>
      <c r="AC145" s="57">
        <v>0.63149999999999995</v>
      </c>
      <c r="AD145" s="57">
        <v>0.1721</v>
      </c>
      <c r="AE145" s="57">
        <v>0</v>
      </c>
      <c r="AF145" s="57">
        <v>1.6919999999999999</v>
      </c>
      <c r="AG145" s="57">
        <v>0.221</v>
      </c>
      <c r="AH145" s="57">
        <v>0.32769999999999999</v>
      </c>
      <c r="AI145" s="153">
        <v>8.7999999999999995E-2</v>
      </c>
      <c r="AJ145" s="153">
        <v>0.1032</v>
      </c>
      <c r="AK145" s="153">
        <v>5.6399999999999999E-2</v>
      </c>
      <c r="AL145" s="57">
        <v>0.17199999999999999</v>
      </c>
      <c r="AM145" s="153">
        <v>3.3599999999999998E-2</v>
      </c>
      <c r="AN145" s="57">
        <v>0</v>
      </c>
      <c r="AO145" s="153">
        <v>2.5146000000000002</v>
      </c>
      <c r="AP145" s="57">
        <v>1.1267</v>
      </c>
      <c r="AQ145" s="57">
        <v>8.8300000000000003E-2</v>
      </c>
      <c r="AR145" s="153">
        <v>0.88390000000000002</v>
      </c>
      <c r="AS145" s="57">
        <v>5.11E-2</v>
      </c>
      <c r="AT145" s="57">
        <v>8.3000000000000001E-3</v>
      </c>
      <c r="AU145" s="153">
        <v>0.25530000000000003</v>
      </c>
      <c r="AV145" s="153">
        <v>0</v>
      </c>
      <c r="AW145" s="154">
        <v>9.6115000000000013</v>
      </c>
      <c r="AX145" s="58">
        <v>0.48060000000000003</v>
      </c>
      <c r="AY145" s="155">
        <f t="shared" si="154"/>
        <v>0.47620000000000001</v>
      </c>
      <c r="AZ145" s="155">
        <f t="shared" si="155"/>
        <v>4.400000000000015E-3</v>
      </c>
      <c r="BA145" s="14">
        <v>10.092100000000002</v>
      </c>
      <c r="BB145" s="59">
        <f>BA145-'[1]Тариф 26 свод без  ПДВ'!AU145</f>
        <v>6.0000000000215437E-4</v>
      </c>
      <c r="BC145" s="57">
        <v>0</v>
      </c>
      <c r="BD145" s="57">
        <v>0</v>
      </c>
      <c r="BE145" s="57">
        <v>0</v>
      </c>
      <c r="BF145" s="156">
        <v>9.6115000000000013</v>
      </c>
      <c r="BG145" s="59">
        <v>0.48060000000000003</v>
      </c>
      <c r="BH145" s="59"/>
      <c r="BI145" s="59"/>
      <c r="BJ145" s="14">
        <v>10.092100000000002</v>
      </c>
      <c r="BK145" s="60"/>
      <c r="BL145" s="60">
        <v>4.8310000000000013</v>
      </c>
      <c r="BM145" s="60">
        <v>0.24160000000000001</v>
      </c>
      <c r="BN145" s="14">
        <v>5.0726000000000013</v>
      </c>
      <c r="BO145" s="14"/>
      <c r="BP145" s="157"/>
      <c r="BQ145" s="158">
        <f>BJ145-'[1]Тариф 26 свод без  ПДВ'!BG145</f>
        <v>6.0000000000215437E-4</v>
      </c>
      <c r="BR145" s="77">
        <f>'[1]Тариф 26 свод без  ПДВ'!BG145</f>
        <v>10.0915</v>
      </c>
      <c r="BS145" s="159">
        <f t="shared" si="156"/>
        <v>6.0000000000215437E-4</v>
      </c>
      <c r="BU145" s="77">
        <f>'[1]Тариф 26 свод без  ПДВ'!AU145</f>
        <v>10.0915</v>
      </c>
      <c r="BV145" s="159">
        <f t="shared" si="157"/>
        <v>6.0000000000215437E-4</v>
      </c>
      <c r="BX145" s="95">
        <v>4.0053000000000001</v>
      </c>
      <c r="BY145" s="95">
        <v>5.6333000000000002</v>
      </c>
      <c r="BZ145" s="95"/>
      <c r="CA145" s="182">
        <f t="shared" si="158"/>
        <v>2.5196864154994638</v>
      </c>
      <c r="CB145" s="182">
        <f t="shared" si="159"/>
        <v>1.7915076420570539</v>
      </c>
      <c r="CD145" s="160">
        <f>L145-CE145</f>
        <v>2756.7</v>
      </c>
      <c r="CE145" s="160">
        <f>T145</f>
        <v>0</v>
      </c>
      <c r="CF145" s="77">
        <f>CD145*BA145</f>
        <v>27820.892070000005</v>
      </c>
      <c r="CG145" s="77">
        <f>BJ145*CE145</f>
        <v>0</v>
      </c>
      <c r="CI145" s="160">
        <f>'[1]0 СВОД'!AYY160</f>
        <v>27820.846155547373</v>
      </c>
      <c r="CJ145" s="77">
        <f t="shared" si="160"/>
        <v>333850.15386656846</v>
      </c>
      <c r="CM145" s="161">
        <v>143</v>
      </c>
      <c r="CN145" s="162" t="s">
        <v>735</v>
      </c>
      <c r="CO145" s="163">
        <v>5</v>
      </c>
      <c r="CP145" s="163">
        <v>4</v>
      </c>
      <c r="CQ145" s="164" t="s">
        <v>122</v>
      </c>
      <c r="CR145" s="165" t="s">
        <v>49</v>
      </c>
      <c r="CS145" s="166">
        <v>2755.7</v>
      </c>
      <c r="CT145" s="166">
        <v>0</v>
      </c>
      <c r="CU145" s="167">
        <v>0</v>
      </c>
      <c r="CV145" s="168">
        <v>2755.7</v>
      </c>
      <c r="CW145" s="166">
        <v>2755.7</v>
      </c>
      <c r="CX145" s="167">
        <v>0</v>
      </c>
      <c r="CY145" s="166">
        <v>0</v>
      </c>
      <c r="CZ145" s="166"/>
      <c r="DA145" s="166">
        <v>2755.7</v>
      </c>
      <c r="DB145" s="166"/>
      <c r="DC145" s="166">
        <v>0</v>
      </c>
      <c r="DD145" s="59">
        <v>0.1636</v>
      </c>
      <c r="DE145" s="59">
        <v>0.1502</v>
      </c>
      <c r="DF145" s="59">
        <v>0.21340000000000001</v>
      </c>
      <c r="DG145" s="59">
        <v>4.3700000000000003E-2</v>
      </c>
      <c r="DH145" s="59">
        <v>1.09E-2</v>
      </c>
      <c r="DI145" s="59">
        <v>0.2172</v>
      </c>
      <c r="DJ145" s="59">
        <v>4.8099999999999997E-2</v>
      </c>
      <c r="DK145" s="59">
        <v>0.3458</v>
      </c>
      <c r="DL145" s="169">
        <v>0</v>
      </c>
      <c r="DM145" s="59">
        <v>0.1048</v>
      </c>
      <c r="DN145" s="169">
        <v>0</v>
      </c>
      <c r="DO145" s="170">
        <v>1.0491999999999999</v>
      </c>
      <c r="DP145" s="171">
        <f t="shared" si="161"/>
        <v>1.6919999999999999</v>
      </c>
      <c r="DQ145" s="59">
        <v>0.10639999999999999</v>
      </c>
      <c r="DR145" s="59">
        <v>0.1961</v>
      </c>
      <c r="DS145" s="59">
        <v>2.29E-2</v>
      </c>
      <c r="DT145" s="59">
        <v>4.8599999999999997E-2</v>
      </c>
      <c r="DU145" s="59">
        <v>2.3800000000000002E-2</v>
      </c>
      <c r="DV145" s="59">
        <v>5.9900000000000002E-2</v>
      </c>
      <c r="DW145" s="59">
        <v>9.1999999999999998E-3</v>
      </c>
      <c r="DX145" s="169">
        <v>0</v>
      </c>
      <c r="DY145" s="59">
        <v>1.2791999999999999</v>
      </c>
      <c r="DZ145" s="171">
        <f t="shared" si="162"/>
        <v>1.9657598499061917</v>
      </c>
      <c r="EA145" s="59">
        <v>0.67830000000000001</v>
      </c>
      <c r="EB145" s="171">
        <f t="shared" si="163"/>
        <v>1.7912428129146396</v>
      </c>
      <c r="EC145" s="59">
        <v>0.46279999999999999</v>
      </c>
      <c r="ED145" s="171">
        <f t="shared" si="164"/>
        <v>1.9098962834917892</v>
      </c>
      <c r="EE145" s="59">
        <v>3.9100000000000003E-2</v>
      </c>
      <c r="EF145" s="59">
        <v>5.4000000000000003E-3</v>
      </c>
      <c r="EG145" s="59">
        <v>0.22140000000000001</v>
      </c>
      <c r="EH145" s="59">
        <v>0</v>
      </c>
      <c r="EI145" s="208">
        <v>0.13750000000000001</v>
      </c>
      <c r="EJ145" s="172">
        <v>5.6374999999999993</v>
      </c>
      <c r="EK145" s="173"/>
      <c r="EL145" s="169">
        <v>0</v>
      </c>
      <c r="EM145" s="169">
        <v>0</v>
      </c>
      <c r="EN145" s="59"/>
      <c r="EO145" s="172"/>
      <c r="ES145" s="57">
        <f t="shared" si="174"/>
        <v>5.6374999999999993</v>
      </c>
      <c r="ET145" s="57">
        <f t="shared" si="175"/>
        <v>0</v>
      </c>
      <c r="EU145" s="31"/>
      <c r="EV145" s="61">
        <f t="shared" si="165"/>
        <v>1.7901729490022178</v>
      </c>
      <c r="EW145" s="62"/>
      <c r="EX145" s="158">
        <f t="shared" si="198"/>
        <v>-2.735162500000003</v>
      </c>
      <c r="EY145" s="77">
        <f>ES145*1.344</f>
        <v>7.5767999999999995</v>
      </c>
      <c r="EZ145" s="158">
        <f t="shared" si="166"/>
        <v>10.092100000000002</v>
      </c>
      <c r="FA145" s="158">
        <f t="shared" si="167"/>
        <v>10.092100000000002</v>
      </c>
      <c r="FH145" s="174">
        <f t="shared" si="176"/>
        <v>27820.892070000005</v>
      </c>
      <c r="FJ145" s="87">
        <v>1.3954767184035481</v>
      </c>
      <c r="FK145" s="176">
        <f t="shared" si="177"/>
        <v>1.2828397101817719</v>
      </c>
      <c r="FM145" s="87" t="e">
        <f t="shared" si="178"/>
        <v>#DIV/0!</v>
      </c>
      <c r="FO145" s="88">
        <f t="shared" si="168"/>
        <v>27820.892070000005</v>
      </c>
      <c r="FP145" s="79">
        <f t="shared" si="169"/>
        <v>0</v>
      </c>
      <c r="FS145" s="79">
        <f t="shared" si="170"/>
        <v>15540.896249999996</v>
      </c>
      <c r="FT145" s="79">
        <f t="shared" si="171"/>
        <v>0</v>
      </c>
      <c r="FU145" s="79">
        <f t="shared" si="179"/>
        <v>1.790172949002218</v>
      </c>
      <c r="FV145" s="79" t="e">
        <f t="shared" si="179"/>
        <v>#DIV/0!</v>
      </c>
      <c r="FY145" s="79">
        <f t="shared" si="180"/>
        <v>27820.892070000005</v>
      </c>
      <c r="FZ145" s="79">
        <f t="shared" si="181"/>
        <v>0</v>
      </c>
      <c r="GB145" s="178">
        <f t="shared" si="182"/>
        <v>2756.7</v>
      </c>
      <c r="GC145" s="178">
        <f t="shared" si="183"/>
        <v>0</v>
      </c>
      <c r="GG145" s="14">
        <v>7.9469000000000003</v>
      </c>
      <c r="GH145" s="175">
        <f t="shared" si="184"/>
        <v>1.2699417382878861</v>
      </c>
      <c r="GI145" s="14">
        <v>7.9469000000000003</v>
      </c>
      <c r="GJ145" s="175">
        <f t="shared" si="185"/>
        <v>1.2699417382878861</v>
      </c>
      <c r="GK145" s="175">
        <f t="shared" si="150"/>
        <v>0</v>
      </c>
      <c r="GN145" s="14">
        <v>10.2864</v>
      </c>
      <c r="GO145" s="175">
        <f t="shared" si="186"/>
        <v>1.2943915237388164</v>
      </c>
      <c r="GP145" s="179">
        <f t="shared" si="187"/>
        <v>0.98111098149012299</v>
      </c>
      <c r="GQ145" s="14">
        <v>10.2864</v>
      </c>
      <c r="GR145" s="175">
        <f t="shared" si="188"/>
        <v>1.2943915237388164</v>
      </c>
      <c r="GS145" s="175">
        <f t="shared" si="189"/>
        <v>0.98111098149012299</v>
      </c>
      <c r="GV145" s="32">
        <f t="shared" si="190"/>
        <v>27820.892070000005</v>
      </c>
      <c r="GW145" s="32">
        <f t="shared" si="191"/>
        <v>0</v>
      </c>
      <c r="GX145" s="180">
        <f t="shared" si="192"/>
        <v>27820.892070000005</v>
      </c>
      <c r="GZ145" s="32">
        <f t="shared" si="193"/>
        <v>10.092100000000002</v>
      </c>
      <c r="HA145" s="32" t="e">
        <f t="shared" si="194"/>
        <v>#DIV/0!</v>
      </c>
      <c r="HB145" s="32">
        <f t="shared" si="195"/>
        <v>10.092100000000002</v>
      </c>
    </row>
    <row r="146" spans="1:210" ht="19.2" customHeight="1" x14ac:dyDescent="0.3">
      <c r="A146" s="50">
        <v>138</v>
      </c>
      <c r="B146" s="51" t="s">
        <v>736</v>
      </c>
      <c r="C146" s="51"/>
      <c r="D146" s="52">
        <v>5</v>
      </c>
      <c r="E146" s="52">
        <v>2</v>
      </c>
      <c r="F146" s="63">
        <v>80</v>
      </c>
      <c r="G146" s="54" t="s">
        <v>123</v>
      </c>
      <c r="H146" s="181" t="s">
        <v>65</v>
      </c>
      <c r="I146" s="55">
        <f t="shared" si="172"/>
        <v>3206.5</v>
      </c>
      <c r="J146" s="55">
        <f t="shared" si="152"/>
        <v>0</v>
      </c>
      <c r="K146" s="55">
        <f t="shared" si="153"/>
        <v>0</v>
      </c>
      <c r="L146" s="56">
        <v>3206.5</v>
      </c>
      <c r="M146" s="56">
        <v>3206.5</v>
      </c>
      <c r="N146" s="56">
        <f t="shared" si="173"/>
        <v>3206.5</v>
      </c>
      <c r="O146" s="56">
        <v>0</v>
      </c>
      <c r="P146" s="56">
        <v>0</v>
      </c>
      <c r="Q146" s="55"/>
      <c r="R146" s="55">
        <v>3206.5</v>
      </c>
      <c r="S146" s="55"/>
      <c r="T146" s="55">
        <v>0</v>
      </c>
      <c r="U146" s="152">
        <v>3206.5</v>
      </c>
      <c r="V146" s="57">
        <v>0.14330000000000001</v>
      </c>
      <c r="W146" s="153">
        <v>0.1051</v>
      </c>
      <c r="X146" s="57">
        <v>0.3281</v>
      </c>
      <c r="Y146" s="57">
        <v>7.3200000000000001E-2</v>
      </c>
      <c r="Z146" s="153">
        <v>1.2500000000000001E-2</v>
      </c>
      <c r="AA146" s="57">
        <v>0.17050000000000001</v>
      </c>
      <c r="AB146" s="153">
        <v>0</v>
      </c>
      <c r="AC146" s="57">
        <v>0.63149999999999995</v>
      </c>
      <c r="AD146" s="57">
        <v>0.1973</v>
      </c>
      <c r="AE146" s="57">
        <v>0</v>
      </c>
      <c r="AF146" s="57">
        <v>1.4831000000000001</v>
      </c>
      <c r="AG146" s="57">
        <v>0.2419</v>
      </c>
      <c r="AH146" s="57">
        <v>0.33350000000000002</v>
      </c>
      <c r="AI146" s="153">
        <v>8.6499999999999994E-2</v>
      </c>
      <c r="AJ146" s="153">
        <v>9.0399999999999994E-2</v>
      </c>
      <c r="AK146" s="153">
        <v>2.4199999999999999E-2</v>
      </c>
      <c r="AL146" s="57">
        <v>9.7000000000000003E-2</v>
      </c>
      <c r="AM146" s="153">
        <v>3.2199999999999999E-2</v>
      </c>
      <c r="AN146" s="57">
        <v>0</v>
      </c>
      <c r="AO146" s="153">
        <v>3.5874000000000001</v>
      </c>
      <c r="AP146" s="57">
        <v>1.3654999999999999</v>
      </c>
      <c r="AQ146" s="57">
        <v>0.107</v>
      </c>
      <c r="AR146" s="153">
        <v>0.37509999999999999</v>
      </c>
      <c r="AS146" s="57">
        <v>5.9200000000000003E-2</v>
      </c>
      <c r="AT146" s="57">
        <v>9.5999999999999992E-3</v>
      </c>
      <c r="AU146" s="153">
        <v>1.2105999999999999</v>
      </c>
      <c r="AV146" s="153">
        <v>0</v>
      </c>
      <c r="AW146" s="154">
        <v>10.764699999999999</v>
      </c>
      <c r="AX146" s="58">
        <v>0.53820000000000001</v>
      </c>
      <c r="AY146" s="155">
        <f t="shared" si="154"/>
        <v>0.53290000000000004</v>
      </c>
      <c r="AZ146" s="155">
        <f t="shared" si="155"/>
        <v>5.2999999999999714E-3</v>
      </c>
      <c r="BA146" s="14">
        <v>11.302899999999999</v>
      </c>
      <c r="BB146" s="59">
        <f>BA146-'[1]Тариф 26 свод без  ПДВ'!AU146</f>
        <v>-1.800000000001134E-3</v>
      </c>
      <c r="BC146" s="57">
        <v>0</v>
      </c>
      <c r="BD146" s="57">
        <v>0</v>
      </c>
      <c r="BE146" s="57">
        <v>0</v>
      </c>
      <c r="BF146" s="156">
        <v>10.764699999999999</v>
      </c>
      <c r="BG146" s="59">
        <v>0.53820000000000001</v>
      </c>
      <c r="BH146" s="59"/>
      <c r="BI146" s="59"/>
      <c r="BJ146" s="14">
        <v>11.302899999999999</v>
      </c>
      <c r="BK146" s="60"/>
      <c r="BL146" s="60">
        <v>4.2261000000000006</v>
      </c>
      <c r="BM146" s="60">
        <v>0.21129999999999999</v>
      </c>
      <c r="BN146" s="14">
        <v>4.4374000000000002</v>
      </c>
      <c r="BO146" s="14"/>
      <c r="BP146" s="157"/>
      <c r="BQ146" s="158">
        <f>BJ146-'[1]Тариф 26 свод без  ПДВ'!BG146</f>
        <v>-1.800000000001134E-3</v>
      </c>
      <c r="BR146" s="77">
        <f>'[1]Тариф 26 свод без  ПДВ'!BG146</f>
        <v>11.3047</v>
      </c>
      <c r="BS146" s="159">
        <f t="shared" si="156"/>
        <v>-1.800000000001134E-3</v>
      </c>
      <c r="BU146" s="77">
        <f>'[1]Тариф 26 свод без  ПДВ'!AU146</f>
        <v>11.3047</v>
      </c>
      <c r="BV146" s="159">
        <f t="shared" si="157"/>
        <v>-1.800000000001134E-3</v>
      </c>
      <c r="BX146" s="95">
        <v>4.3633999999999995</v>
      </c>
      <c r="BY146" s="95">
        <v>5.6310000000000002</v>
      </c>
      <c r="BZ146" s="95"/>
      <c r="CA146" s="182">
        <f t="shared" si="158"/>
        <v>2.5903882293624241</v>
      </c>
      <c r="CB146" s="182">
        <f t="shared" si="159"/>
        <v>2.0072633635233528</v>
      </c>
      <c r="CD146" s="160">
        <f>L146-CE146</f>
        <v>3206.5</v>
      </c>
      <c r="CE146" s="160">
        <f>T146</f>
        <v>0</v>
      </c>
      <c r="CF146" s="77">
        <f>CD146*BA146</f>
        <v>36242.748849999996</v>
      </c>
      <c r="CG146" s="77">
        <f>BJ146*CE146</f>
        <v>0</v>
      </c>
      <c r="CI146" s="160">
        <f>'[1]0 СВОД'!AYY161</f>
        <v>36243.077354809757</v>
      </c>
      <c r="CJ146" s="77">
        <f t="shared" si="160"/>
        <v>434916.92825771705</v>
      </c>
      <c r="CM146" s="161">
        <v>144</v>
      </c>
      <c r="CN146" s="183" t="s">
        <v>737</v>
      </c>
      <c r="CO146" s="163">
        <v>5</v>
      </c>
      <c r="CP146" s="163">
        <v>2</v>
      </c>
      <c r="CQ146" s="164" t="s">
        <v>123</v>
      </c>
      <c r="CR146" s="165" t="s">
        <v>65</v>
      </c>
      <c r="CS146" s="166">
        <v>3204.9</v>
      </c>
      <c r="CT146" s="166">
        <v>0</v>
      </c>
      <c r="CU146" s="167">
        <v>0</v>
      </c>
      <c r="CV146" s="168">
        <v>3204.9</v>
      </c>
      <c r="CW146" s="166">
        <v>3204.9</v>
      </c>
      <c r="CX146" s="167">
        <v>0</v>
      </c>
      <c r="CY146" s="166">
        <v>0</v>
      </c>
      <c r="CZ146" s="166"/>
      <c r="DA146" s="166">
        <v>3204.9</v>
      </c>
      <c r="DB146" s="166"/>
      <c r="DC146" s="166">
        <v>0</v>
      </c>
      <c r="DD146" s="59">
        <v>0.1792</v>
      </c>
      <c r="DE146" s="59">
        <v>0.1709</v>
      </c>
      <c r="DF146" s="59">
        <v>0.21579999999999999</v>
      </c>
      <c r="DG146" s="59">
        <v>4.2999999999999997E-2</v>
      </c>
      <c r="DH146" s="59">
        <v>0</v>
      </c>
      <c r="DI146" s="59">
        <v>0.1454</v>
      </c>
      <c r="DJ146" s="59">
        <v>4.8099999999999997E-2</v>
      </c>
      <c r="DK146" s="59">
        <v>0.3458</v>
      </c>
      <c r="DL146" s="169">
        <v>0</v>
      </c>
      <c r="DM146" s="59">
        <v>0.1201</v>
      </c>
      <c r="DN146" s="169">
        <v>0</v>
      </c>
      <c r="DO146" s="184">
        <v>0.83799999999999997</v>
      </c>
      <c r="DP146" s="171">
        <f t="shared" si="161"/>
        <v>1.4831000000000001</v>
      </c>
      <c r="DQ146" s="59">
        <v>0.1166</v>
      </c>
      <c r="DR146" s="59">
        <v>0.22309999999999999</v>
      </c>
      <c r="DS146" s="59">
        <v>2.2499999999999999E-2</v>
      </c>
      <c r="DT146" s="59">
        <v>4.2599999999999999E-2</v>
      </c>
      <c r="DU146" s="59">
        <v>0</v>
      </c>
      <c r="DV146" s="59">
        <v>3.3500000000000002E-2</v>
      </c>
      <c r="DW146" s="59">
        <v>8.5000000000000006E-3</v>
      </c>
      <c r="DX146" s="169">
        <v>0</v>
      </c>
      <c r="DY146" s="59">
        <v>1.8929</v>
      </c>
      <c r="DZ146" s="171">
        <f t="shared" si="162"/>
        <v>1.8951872787785937</v>
      </c>
      <c r="EA146" s="59">
        <v>0.78849999999999998</v>
      </c>
      <c r="EB146" s="171">
        <f t="shared" si="163"/>
        <v>1.8674698795180722</v>
      </c>
      <c r="EC146" s="59">
        <v>0.1817</v>
      </c>
      <c r="ED146" s="171">
        <f t="shared" si="164"/>
        <v>2.0643918547055584</v>
      </c>
      <c r="EE146" s="59">
        <v>4.53E-2</v>
      </c>
      <c r="EF146" s="59">
        <v>6.3E-3</v>
      </c>
      <c r="EG146" s="59">
        <v>0.83420000000000005</v>
      </c>
      <c r="EH146" s="59">
        <v>0</v>
      </c>
      <c r="EI146" s="208">
        <v>0.15759999999999999</v>
      </c>
      <c r="EJ146" s="172">
        <v>6.4596000000000018</v>
      </c>
      <c r="EK146" s="173"/>
      <c r="EL146" s="169">
        <v>0</v>
      </c>
      <c r="EM146" s="169">
        <v>0</v>
      </c>
      <c r="EN146" s="59"/>
      <c r="EO146" s="172"/>
      <c r="ES146" s="57">
        <f t="shared" si="174"/>
        <v>6.4596000000000018</v>
      </c>
      <c r="ET146" s="57">
        <f t="shared" si="175"/>
        <v>0</v>
      </c>
      <c r="EU146" s="31"/>
      <c r="EV146" s="61">
        <f t="shared" si="165"/>
        <v>1.7497832683138268</v>
      </c>
      <c r="EW146" s="62"/>
      <c r="EX146" s="158">
        <f t="shared" si="198"/>
        <v>-2.8731219999999968</v>
      </c>
      <c r="EY146" s="77">
        <f>ES146*1.344</f>
        <v>8.6817024000000025</v>
      </c>
      <c r="EZ146" s="214">
        <f t="shared" si="166"/>
        <v>11.302899999999999</v>
      </c>
      <c r="FA146" s="158">
        <f t="shared" si="167"/>
        <v>11.302899999999999</v>
      </c>
      <c r="FH146" s="174">
        <f t="shared" si="176"/>
        <v>36242.748849999996</v>
      </c>
      <c r="FJ146" s="87">
        <v>1.4064957582512845</v>
      </c>
      <c r="FK146" s="176">
        <f t="shared" si="177"/>
        <v>1.2440729081823585</v>
      </c>
      <c r="FM146" s="87" t="e">
        <f t="shared" si="178"/>
        <v>#DIV/0!</v>
      </c>
      <c r="FO146" s="88">
        <f t="shared" si="168"/>
        <v>36242.748849999996</v>
      </c>
      <c r="FP146" s="79">
        <f t="shared" si="169"/>
        <v>0</v>
      </c>
      <c r="FS146" s="79">
        <f t="shared" si="170"/>
        <v>20712.707400000007</v>
      </c>
      <c r="FT146" s="79">
        <f t="shared" si="171"/>
        <v>0</v>
      </c>
      <c r="FU146" s="79">
        <f t="shared" si="179"/>
        <v>1.7497832683138268</v>
      </c>
      <c r="FV146" s="79" t="e">
        <f t="shared" si="179"/>
        <v>#DIV/0!</v>
      </c>
      <c r="FY146" s="79">
        <f t="shared" si="180"/>
        <v>36242.748849999996</v>
      </c>
      <c r="FZ146" s="79">
        <f t="shared" si="181"/>
        <v>0</v>
      </c>
      <c r="GB146" s="178">
        <f t="shared" si="182"/>
        <v>3206.5</v>
      </c>
      <c r="GC146" s="178">
        <f t="shared" si="183"/>
        <v>0</v>
      </c>
      <c r="GG146" s="14">
        <v>8.900500000000001</v>
      </c>
      <c r="GH146" s="175">
        <f t="shared" si="184"/>
        <v>1.2699174203696419</v>
      </c>
      <c r="GI146" s="14">
        <v>8.900500000000001</v>
      </c>
      <c r="GJ146" s="175">
        <f t="shared" si="185"/>
        <v>1.2699174203696419</v>
      </c>
      <c r="GK146" s="175">
        <f t="shared" si="150"/>
        <v>0</v>
      </c>
      <c r="GN146" s="14">
        <v>10.865500000000003</v>
      </c>
      <c r="GO146" s="175">
        <f t="shared" si="186"/>
        <v>1.2207741138138308</v>
      </c>
      <c r="GP146" s="179">
        <f t="shared" si="187"/>
        <v>1.0402558556900277</v>
      </c>
      <c r="GQ146" s="14">
        <v>10.865500000000003</v>
      </c>
      <c r="GR146" s="175">
        <f t="shared" si="188"/>
        <v>1.2207741138138308</v>
      </c>
      <c r="GS146" s="175">
        <f t="shared" si="189"/>
        <v>1.0402558556900277</v>
      </c>
      <c r="GV146" s="32">
        <f t="shared" si="190"/>
        <v>36242.748849999996</v>
      </c>
      <c r="GW146" s="32">
        <f t="shared" si="191"/>
        <v>0</v>
      </c>
      <c r="GX146" s="180">
        <f t="shared" si="192"/>
        <v>36242.748849999996</v>
      </c>
      <c r="GZ146" s="32">
        <f t="shared" si="193"/>
        <v>11.302899999999999</v>
      </c>
      <c r="HA146" s="32" t="e">
        <f t="shared" si="194"/>
        <v>#DIV/0!</v>
      </c>
      <c r="HB146" s="32">
        <f t="shared" si="195"/>
        <v>11.302899999999999</v>
      </c>
    </row>
    <row r="147" spans="1:210" ht="19.2" customHeight="1" x14ac:dyDescent="0.3">
      <c r="A147" s="50">
        <v>139</v>
      </c>
      <c r="B147" s="51" t="s">
        <v>738</v>
      </c>
      <c r="C147" s="51"/>
      <c r="D147" s="52">
        <v>9</v>
      </c>
      <c r="E147" s="52">
        <v>6</v>
      </c>
      <c r="F147" s="63">
        <v>215</v>
      </c>
      <c r="G147" s="54" t="s">
        <v>225</v>
      </c>
      <c r="H147" s="181" t="s">
        <v>173</v>
      </c>
      <c r="I147" s="55">
        <f t="shared" si="172"/>
        <v>1169.5</v>
      </c>
      <c r="J147" s="55">
        <f t="shared" si="152"/>
        <v>9918.7000000000007</v>
      </c>
      <c r="K147" s="55">
        <f t="shared" si="153"/>
        <v>0</v>
      </c>
      <c r="L147" s="56">
        <v>11088.2</v>
      </c>
      <c r="M147" s="56">
        <v>11088.2</v>
      </c>
      <c r="N147" s="56">
        <f t="shared" si="173"/>
        <v>1169.5</v>
      </c>
      <c r="O147" s="56">
        <v>0</v>
      </c>
      <c r="P147" s="56">
        <v>0</v>
      </c>
      <c r="Q147" s="55"/>
      <c r="R147" s="55">
        <v>11088.2</v>
      </c>
      <c r="S147" s="55"/>
      <c r="T147" s="55">
        <v>9918.7000000000007</v>
      </c>
      <c r="U147" s="152">
        <v>1169.5</v>
      </c>
      <c r="V147" s="57">
        <v>0.17280000000000001</v>
      </c>
      <c r="W147" s="57">
        <v>9.7900000000000001E-2</v>
      </c>
      <c r="X147" s="153">
        <v>0.29330000000000001</v>
      </c>
      <c r="Y147" s="153">
        <v>6.6799999999999998E-2</v>
      </c>
      <c r="Z147" s="57">
        <v>1.8700000000000001E-2</v>
      </c>
      <c r="AA147" s="57">
        <v>0.36299999999999999</v>
      </c>
      <c r="AB147" s="57">
        <v>0</v>
      </c>
      <c r="AC147" s="153">
        <v>0.63149999999999995</v>
      </c>
      <c r="AD147" s="57">
        <v>0.15190000000000001</v>
      </c>
      <c r="AE147" s="57">
        <v>0</v>
      </c>
      <c r="AF147" s="57">
        <v>2.2715000000000001</v>
      </c>
      <c r="AG147" s="57">
        <v>0.22439999999999999</v>
      </c>
      <c r="AH147" s="57">
        <v>0.35120000000000001</v>
      </c>
      <c r="AI147" s="57">
        <v>0.13400000000000001</v>
      </c>
      <c r="AJ147" s="57">
        <v>8.6900000000000005E-2</v>
      </c>
      <c r="AK147" s="57">
        <v>3.6400000000000002E-2</v>
      </c>
      <c r="AL147" s="57">
        <v>0.16070000000000001</v>
      </c>
      <c r="AM147" s="57">
        <v>2.98E-2</v>
      </c>
      <c r="AN147" s="57">
        <v>0</v>
      </c>
      <c r="AO147" s="57">
        <v>1.6336999999999999</v>
      </c>
      <c r="AP147" s="153">
        <v>1.6485000000000001</v>
      </c>
      <c r="AQ147" s="153">
        <v>7.51E-2</v>
      </c>
      <c r="AR147" s="57">
        <v>0.2833</v>
      </c>
      <c r="AS147" s="57">
        <v>3.04E-2</v>
      </c>
      <c r="AT147" s="153">
        <v>4.8999999999999998E-3</v>
      </c>
      <c r="AU147" s="153">
        <v>0.23810000000000001</v>
      </c>
      <c r="AV147" s="153">
        <v>0</v>
      </c>
      <c r="AW147" s="154">
        <v>9.0048000000000012</v>
      </c>
      <c r="AX147" s="58">
        <v>0.45019999999999999</v>
      </c>
      <c r="AY147" s="155">
        <f t="shared" si="154"/>
        <v>0.44650000000000001</v>
      </c>
      <c r="AZ147" s="155">
        <f t="shared" si="155"/>
        <v>3.6999999999999811E-3</v>
      </c>
      <c r="BA147" s="14">
        <v>9.4550000000000018</v>
      </c>
      <c r="BB147" s="59">
        <f>BA147-'[1]Тариф 26 свод без  ПДВ'!AU147</f>
        <v>-6.1999999999979849E-3</v>
      </c>
      <c r="BC147" s="57">
        <v>1.8783000000000001</v>
      </c>
      <c r="BD147" s="57">
        <v>3.6200000000000003E-2</v>
      </c>
      <c r="BE147" s="57">
        <v>0.37569999999999998</v>
      </c>
      <c r="BF147" s="156">
        <v>11.295</v>
      </c>
      <c r="BG147" s="59">
        <v>0.56479999999999997</v>
      </c>
      <c r="BH147" s="59"/>
      <c r="BI147" s="59"/>
      <c r="BJ147" s="14">
        <v>11.8598</v>
      </c>
      <c r="BK147" s="60"/>
      <c r="BL147" s="60">
        <v>5.2012000000000009</v>
      </c>
      <c r="BM147" s="60">
        <v>0.2601</v>
      </c>
      <c r="BN147" s="14">
        <v>5.4613000000000014</v>
      </c>
      <c r="BO147" s="14"/>
      <c r="BP147" s="157"/>
      <c r="BQ147" s="158">
        <f>BJ147-'[1]Тариф 26 свод без  ПДВ'!BG147</f>
        <v>2.9999999999930083E-4</v>
      </c>
      <c r="BR147" s="77">
        <f>'[1]Тариф 26 свод без  ПДВ'!BG147</f>
        <v>11.859500000000001</v>
      </c>
      <c r="BS147" s="159">
        <f t="shared" si="156"/>
        <v>2.9999999999930083E-4</v>
      </c>
      <c r="BU147" s="77">
        <f>'[1]Тариф 26 свод без  ПДВ'!AU147</f>
        <v>9.4611999999999998</v>
      </c>
      <c r="BV147" s="159">
        <f t="shared" si="157"/>
        <v>-6.1999999999979849E-3</v>
      </c>
      <c r="BX147" s="95">
        <v>4.6750999999999996</v>
      </c>
      <c r="BY147" s="95">
        <v>4.6750999999999996</v>
      </c>
      <c r="BZ147" s="95"/>
      <c r="CA147" s="62">
        <f t="shared" si="158"/>
        <v>2.022416632799299</v>
      </c>
      <c r="CB147" s="62">
        <f t="shared" si="159"/>
        <v>2.5368013518427417</v>
      </c>
      <c r="CI147" s="160">
        <f>'[1]0 СВОД'!AYY162</f>
        <v>128694.40369339351</v>
      </c>
      <c r="CJ147" s="77">
        <f t="shared" si="160"/>
        <v>1544332.8443207222</v>
      </c>
      <c r="CM147" s="161">
        <v>145</v>
      </c>
      <c r="CN147" s="183" t="s">
        <v>739</v>
      </c>
      <c r="CO147" s="163">
        <v>9</v>
      </c>
      <c r="CP147" s="163">
        <v>6</v>
      </c>
      <c r="CQ147" s="164" t="s">
        <v>225</v>
      </c>
      <c r="CR147" s="165" t="s">
        <v>173</v>
      </c>
      <c r="CS147" s="166">
        <v>1169.5</v>
      </c>
      <c r="CT147" s="166">
        <v>9914.9</v>
      </c>
      <c r="CU147" s="167">
        <v>0</v>
      </c>
      <c r="CV147" s="168">
        <v>11084.4</v>
      </c>
      <c r="CW147" s="166">
        <v>11084.4</v>
      </c>
      <c r="CX147" s="167">
        <v>0</v>
      </c>
      <c r="CY147" s="166">
        <v>0</v>
      </c>
      <c r="CZ147" s="166"/>
      <c r="DA147" s="166">
        <v>11084.4</v>
      </c>
      <c r="DB147" s="166"/>
      <c r="DC147" s="166">
        <v>9914.9</v>
      </c>
      <c r="DD147" s="59">
        <v>0.17</v>
      </c>
      <c r="DE147" s="59">
        <v>0.15909999999999999</v>
      </c>
      <c r="DF147" s="59">
        <v>0.193</v>
      </c>
      <c r="DG147" s="59">
        <v>3.9300000000000002E-2</v>
      </c>
      <c r="DH147" s="59">
        <v>7.0000000000000001E-3</v>
      </c>
      <c r="DI147" s="59">
        <v>0.16009999999999999</v>
      </c>
      <c r="DJ147" s="59">
        <v>4.8099999999999997E-2</v>
      </c>
      <c r="DK147" s="59">
        <v>0.3458</v>
      </c>
      <c r="DL147" s="59">
        <v>5.8599999999999999E-2</v>
      </c>
      <c r="DM147" s="59">
        <v>9.2499999999999999E-2</v>
      </c>
      <c r="DN147" s="169">
        <v>0</v>
      </c>
      <c r="DO147" s="184">
        <v>1.6068</v>
      </c>
      <c r="DP147" s="171">
        <f t="shared" si="161"/>
        <v>2.2715000000000001</v>
      </c>
      <c r="DQ147" s="59">
        <v>0.108</v>
      </c>
      <c r="DR147" s="59">
        <v>0.21060000000000001</v>
      </c>
      <c r="DS147" s="59">
        <v>3.5000000000000003E-2</v>
      </c>
      <c r="DT147" s="59">
        <v>4.1200000000000001E-2</v>
      </c>
      <c r="DU147" s="59">
        <v>1.54E-2</v>
      </c>
      <c r="DV147" s="59">
        <v>5.6000000000000001E-2</v>
      </c>
      <c r="DW147" s="59">
        <v>7.4000000000000003E-3</v>
      </c>
      <c r="DX147" s="169">
        <v>0</v>
      </c>
      <c r="DY147" s="59">
        <v>0.81669999999999998</v>
      </c>
      <c r="DZ147" s="171">
        <f t="shared" si="162"/>
        <v>2.0003673319456348</v>
      </c>
      <c r="EA147" s="59">
        <v>0.96819999999999995</v>
      </c>
      <c r="EB147" s="171">
        <f t="shared" si="163"/>
        <v>1.7802107002685397</v>
      </c>
      <c r="EC147" s="59">
        <v>0.15590000000000001</v>
      </c>
      <c r="ED147" s="171">
        <f t="shared" si="164"/>
        <v>1.8171905067350864</v>
      </c>
      <c r="EE147" s="59">
        <v>2.3300000000000001E-2</v>
      </c>
      <c r="EF147" s="59">
        <v>3.2000000000000002E-3</v>
      </c>
      <c r="EG147" s="59">
        <v>0.1724</v>
      </c>
      <c r="EH147" s="59">
        <v>0</v>
      </c>
      <c r="EI147" s="155">
        <v>0.13730000000000001</v>
      </c>
      <c r="EJ147" s="172">
        <v>5.6308999999999987</v>
      </c>
      <c r="EK147" s="173"/>
      <c r="EL147" s="59">
        <v>1.4104000000000001</v>
      </c>
      <c r="EM147" s="59">
        <v>0.23530000000000001</v>
      </c>
      <c r="EN147" s="59">
        <v>0.17849999999999999</v>
      </c>
      <c r="EO147" s="172">
        <v>7.3177999999999983</v>
      </c>
      <c r="ES147" s="57">
        <f t="shared" si="174"/>
        <v>5.6308999999999987</v>
      </c>
      <c r="ET147" s="57">
        <f t="shared" si="175"/>
        <v>7.3177999999999983</v>
      </c>
      <c r="EU147" s="31"/>
      <c r="EV147" s="61">
        <f t="shared" si="165"/>
        <v>1.6791276705322424</v>
      </c>
      <c r="EW147" s="61">
        <f>BJ147/ET147</f>
        <v>1.6206783459509693</v>
      </c>
      <c r="EX147" s="185">
        <v>7.0856000000000003</v>
      </c>
      <c r="EY147" s="174">
        <v>9.7551000000000005</v>
      </c>
      <c r="EZ147" s="158">
        <f t="shared" si="166"/>
        <v>9.4550000000000018</v>
      </c>
      <c r="FA147" s="158">
        <f t="shared" si="167"/>
        <v>11.8598</v>
      </c>
      <c r="FB147" s="158">
        <f>BA147-EX147</f>
        <v>2.3694000000000015</v>
      </c>
      <c r="FC147" s="158">
        <f>BJ147-EY147</f>
        <v>2.1046999999999993</v>
      </c>
      <c r="FD147" s="175">
        <f t="shared" ref="FD147:FD148" si="200">FB147/EX147</f>
        <v>0.33439652252455704</v>
      </c>
      <c r="FE147" s="175">
        <f t="shared" ref="FE147:FE148" si="201">FC147/FA147</f>
        <v>0.17746505000084314</v>
      </c>
      <c r="FF147" s="158"/>
      <c r="FG147" s="174"/>
      <c r="FH147" s="174">
        <f t="shared" si="176"/>
        <v>104838.93100000003</v>
      </c>
      <c r="FI147" s="174"/>
      <c r="FJ147" s="176">
        <v>1.2584</v>
      </c>
      <c r="FK147" s="176">
        <f t="shared" si="177"/>
        <v>1.3343354025208538</v>
      </c>
      <c r="FL147" s="87">
        <v>1.3331</v>
      </c>
      <c r="FM147" s="177">
        <f t="shared" si="178"/>
        <v>1.2157215107276043</v>
      </c>
      <c r="FO147" s="88">
        <f t="shared" si="168"/>
        <v>104838.93100000003</v>
      </c>
      <c r="FP147" s="79">
        <f t="shared" si="169"/>
        <v>117633.79826000001</v>
      </c>
      <c r="FS147" s="79">
        <f t="shared" si="170"/>
        <v>62436.545379999989</v>
      </c>
      <c r="FT147" s="79">
        <f t="shared" si="171"/>
        <v>72583.062859999991</v>
      </c>
      <c r="FU147" s="79">
        <f t="shared" si="179"/>
        <v>1.6791276705322424</v>
      </c>
      <c r="FV147" s="79">
        <f t="shared" si="179"/>
        <v>1.6206783459509693</v>
      </c>
      <c r="FY147" s="79">
        <f t="shared" si="180"/>
        <v>11057.622500000001</v>
      </c>
      <c r="FZ147" s="79">
        <f t="shared" si="181"/>
        <v>117633.79826000001</v>
      </c>
      <c r="GB147" s="178">
        <f t="shared" si="182"/>
        <v>1169.5</v>
      </c>
      <c r="GC147" s="178">
        <f t="shared" si="183"/>
        <v>9918.7000000000007</v>
      </c>
      <c r="GG147" s="14">
        <v>7.4452999999999996</v>
      </c>
      <c r="GH147" s="175">
        <f t="shared" si="184"/>
        <v>1.2699286798382876</v>
      </c>
      <c r="GI147" s="14">
        <v>10.218399999999999</v>
      </c>
      <c r="GJ147" s="175">
        <f t="shared" si="185"/>
        <v>1.1606318014561967</v>
      </c>
      <c r="GK147" s="175">
        <f t="shared" si="150"/>
        <v>0.1092968783820909</v>
      </c>
      <c r="GN147" s="14">
        <v>9.4533999999999985</v>
      </c>
      <c r="GO147" s="175">
        <f t="shared" si="186"/>
        <v>1.2697137791626931</v>
      </c>
      <c r="GP147" s="179">
        <f t="shared" si="187"/>
        <v>1.000169251274674</v>
      </c>
      <c r="GQ147" s="14">
        <v>11.680599999999997</v>
      </c>
      <c r="GR147" s="175">
        <f t="shared" si="188"/>
        <v>1.1430948093635009</v>
      </c>
      <c r="GS147" s="175">
        <f t="shared" si="189"/>
        <v>1.0153416776535455</v>
      </c>
      <c r="GV147" s="32">
        <f t="shared" si="190"/>
        <v>11057.622500000001</v>
      </c>
      <c r="GW147" s="32">
        <f t="shared" si="191"/>
        <v>117633.79826000001</v>
      </c>
      <c r="GX147" s="180">
        <f t="shared" si="192"/>
        <v>128691.42076000001</v>
      </c>
      <c r="GZ147" s="32">
        <f t="shared" si="193"/>
        <v>9.4550000000000018</v>
      </c>
      <c r="HA147" s="32">
        <f t="shared" si="194"/>
        <v>11.8598</v>
      </c>
      <c r="HB147" s="32">
        <f t="shared" si="195"/>
        <v>11.606159769845421</v>
      </c>
    </row>
    <row r="148" spans="1:210" ht="19.2" customHeight="1" x14ac:dyDescent="0.3">
      <c r="A148" s="50">
        <v>140</v>
      </c>
      <c r="B148" s="51" t="s">
        <v>740</v>
      </c>
      <c r="C148" s="51"/>
      <c r="D148" s="52">
        <v>9</v>
      </c>
      <c r="E148" s="52">
        <v>1</v>
      </c>
      <c r="F148" s="63">
        <v>272</v>
      </c>
      <c r="G148" s="54" t="s">
        <v>226</v>
      </c>
      <c r="H148" s="181" t="s">
        <v>185</v>
      </c>
      <c r="I148" s="55">
        <f t="shared" si="172"/>
        <v>437.40000000000055</v>
      </c>
      <c r="J148" s="55">
        <f t="shared" si="152"/>
        <v>5911.4</v>
      </c>
      <c r="K148" s="55">
        <f t="shared" si="153"/>
        <v>0</v>
      </c>
      <c r="L148" s="56">
        <v>6348.8</v>
      </c>
      <c r="M148" s="56">
        <v>6156.2</v>
      </c>
      <c r="N148" s="56">
        <f t="shared" si="173"/>
        <v>437.40000000000055</v>
      </c>
      <c r="O148" s="56">
        <v>0</v>
      </c>
      <c r="P148" s="56">
        <v>192.6</v>
      </c>
      <c r="Q148" s="55"/>
      <c r="R148" s="55">
        <v>6348.8</v>
      </c>
      <c r="S148" s="55"/>
      <c r="T148" s="55">
        <v>5911.4</v>
      </c>
      <c r="U148" s="152">
        <v>437.40000000000055</v>
      </c>
      <c r="V148" s="57">
        <v>9.06E-2</v>
      </c>
      <c r="W148" s="57">
        <v>4.1200000000000001E-2</v>
      </c>
      <c r="X148" s="153">
        <v>0.29239999999999999</v>
      </c>
      <c r="Y148" s="153">
        <v>6.6900000000000001E-2</v>
      </c>
      <c r="Z148" s="57">
        <v>2.2700000000000001E-2</v>
      </c>
      <c r="AA148" s="57">
        <v>0.20119999999999999</v>
      </c>
      <c r="AB148" s="57">
        <v>0</v>
      </c>
      <c r="AC148" s="153">
        <v>0.63149999999999995</v>
      </c>
      <c r="AD148" s="57">
        <v>0.1196</v>
      </c>
      <c r="AE148" s="57">
        <v>0</v>
      </c>
      <c r="AF148" s="57">
        <v>1.9736</v>
      </c>
      <c r="AG148" s="57">
        <v>0.13009999999999999</v>
      </c>
      <c r="AH148" s="57">
        <v>0.14849999999999999</v>
      </c>
      <c r="AI148" s="57">
        <v>0.129</v>
      </c>
      <c r="AJ148" s="57">
        <v>7.7100000000000002E-2</v>
      </c>
      <c r="AK148" s="57">
        <v>4.41E-2</v>
      </c>
      <c r="AL148" s="57">
        <v>4.3299999999999998E-2</v>
      </c>
      <c r="AM148" s="57">
        <v>0</v>
      </c>
      <c r="AN148" s="57">
        <v>0</v>
      </c>
      <c r="AO148" s="57">
        <v>1.865</v>
      </c>
      <c r="AP148" s="153">
        <v>1.2023999999999999</v>
      </c>
      <c r="AQ148" s="153">
        <v>9.1600000000000001E-2</v>
      </c>
      <c r="AR148" s="57">
        <v>0.3543</v>
      </c>
      <c r="AS148" s="57">
        <v>3.9600000000000003E-2</v>
      </c>
      <c r="AT148" s="153">
        <v>6.4000000000000003E-3</v>
      </c>
      <c r="AU148" s="153">
        <v>0.128</v>
      </c>
      <c r="AV148" s="153">
        <v>0</v>
      </c>
      <c r="AW148" s="154">
        <v>7.6991000000000005</v>
      </c>
      <c r="AX148" s="58">
        <v>0.38500000000000001</v>
      </c>
      <c r="AY148" s="155">
        <f t="shared" si="154"/>
        <v>0.38040000000000002</v>
      </c>
      <c r="AZ148" s="155">
        <f t="shared" si="155"/>
        <v>4.599999999999993E-3</v>
      </c>
      <c r="BA148" s="14">
        <v>8.0841000000000012</v>
      </c>
      <c r="BB148" s="59">
        <f>BA148-'[1]Тариф 26 свод без  ПДВ'!AU148</f>
        <v>9.0000000000145519E-4</v>
      </c>
      <c r="BC148" s="57">
        <v>1.1595</v>
      </c>
      <c r="BD148" s="57">
        <v>0</v>
      </c>
      <c r="BE148" s="57">
        <v>0.63039999999999996</v>
      </c>
      <c r="BF148" s="156">
        <v>9.4890000000000008</v>
      </c>
      <c r="BG148" s="59">
        <v>0.47449999999999998</v>
      </c>
      <c r="BH148" s="59"/>
      <c r="BI148" s="59"/>
      <c r="BJ148" s="14">
        <v>9.9635000000000016</v>
      </c>
      <c r="BK148" s="60"/>
      <c r="BL148" s="60">
        <v>4.1494</v>
      </c>
      <c r="BM148" s="60">
        <v>0.20749999999999999</v>
      </c>
      <c r="BN148" s="14">
        <v>4.3568999999999996</v>
      </c>
      <c r="BO148" s="14"/>
      <c r="BP148" s="157"/>
      <c r="BQ148" s="158">
        <f>BJ148-'[1]Тариф 26 свод без  ПДВ'!BG148</f>
        <v>-5.49999999999784E-3</v>
      </c>
      <c r="BR148" s="77">
        <f>'[1]Тариф 26 свод без  ПДВ'!BG148</f>
        <v>9.9689999999999994</v>
      </c>
      <c r="BS148" s="159">
        <f t="shared" si="156"/>
        <v>-5.49999999999784E-3</v>
      </c>
      <c r="BU148" s="77">
        <f>'[1]Тариф 26 свод без  ПДВ'!AU148</f>
        <v>8.0831999999999997</v>
      </c>
      <c r="BV148" s="159">
        <f t="shared" si="157"/>
        <v>9.0000000000145519E-4</v>
      </c>
      <c r="BX148" s="95">
        <v>4.7109000000000005</v>
      </c>
      <c r="BY148" s="95">
        <v>4.7109000000000005</v>
      </c>
      <c r="BZ148" s="95"/>
      <c r="CA148" s="62">
        <f t="shared" si="158"/>
        <v>1.7160415207285233</v>
      </c>
      <c r="CB148" s="62">
        <f t="shared" si="159"/>
        <v>2.1149886433590184</v>
      </c>
      <c r="CI148" s="160">
        <f>'[1]0 СВОД'!AYY163</f>
        <v>62433.691157231486</v>
      </c>
      <c r="CJ148" s="77">
        <f t="shared" si="160"/>
        <v>749204.29388677783</v>
      </c>
      <c r="CM148" s="161">
        <v>146</v>
      </c>
      <c r="CN148" s="183" t="s">
        <v>741</v>
      </c>
      <c r="CO148" s="222">
        <v>9</v>
      </c>
      <c r="CP148" s="222">
        <v>1</v>
      </c>
      <c r="CQ148" s="223" t="s">
        <v>226</v>
      </c>
      <c r="CR148" s="224" t="s">
        <v>185</v>
      </c>
      <c r="CS148" s="166">
        <v>489.30000000000018</v>
      </c>
      <c r="CT148" s="166">
        <v>5865.8</v>
      </c>
      <c r="CU148" s="167">
        <v>0</v>
      </c>
      <c r="CV148" s="168">
        <v>6355.1</v>
      </c>
      <c r="CW148" s="166">
        <v>6162.5</v>
      </c>
      <c r="CX148" s="167">
        <v>0</v>
      </c>
      <c r="CY148" s="166">
        <v>192.60000000000036</v>
      </c>
      <c r="CZ148" s="166"/>
      <c r="DA148" s="166">
        <v>6355.1</v>
      </c>
      <c r="DB148" s="166"/>
      <c r="DC148" s="166">
        <v>5865.8</v>
      </c>
      <c r="DD148" s="59">
        <v>8.4599999999999995E-2</v>
      </c>
      <c r="DE148" s="59">
        <v>6.6799999999999998E-2</v>
      </c>
      <c r="DF148" s="59">
        <v>0.19209999999999999</v>
      </c>
      <c r="DG148" s="59">
        <v>3.95E-2</v>
      </c>
      <c r="DH148" s="59">
        <v>8.5000000000000006E-3</v>
      </c>
      <c r="DI148" s="59">
        <v>8.4000000000000005E-2</v>
      </c>
      <c r="DJ148" s="59">
        <v>0</v>
      </c>
      <c r="DK148" s="59">
        <v>0.3458</v>
      </c>
      <c r="DL148" s="59">
        <v>5.11E-2</v>
      </c>
      <c r="DM148" s="59">
        <v>7.2700000000000001E-2</v>
      </c>
      <c r="DN148" s="169">
        <v>0</v>
      </c>
      <c r="DO148" s="225">
        <v>1.5367</v>
      </c>
      <c r="DP148" s="171">
        <f t="shared" si="161"/>
        <v>1.9736</v>
      </c>
      <c r="DQ148" s="59">
        <v>6.25E-2</v>
      </c>
      <c r="DR148" s="59">
        <v>8.8999999999999996E-2</v>
      </c>
      <c r="DS148" s="59">
        <v>3.3500000000000002E-2</v>
      </c>
      <c r="DT148" s="59">
        <v>3.6499999999999998E-2</v>
      </c>
      <c r="DU148" s="59">
        <v>1.8599999999999998E-2</v>
      </c>
      <c r="DV148" s="59">
        <v>1.5100000000000001E-2</v>
      </c>
      <c r="DW148" s="59">
        <v>0</v>
      </c>
      <c r="DX148" s="169">
        <v>0</v>
      </c>
      <c r="DY148" s="59">
        <v>0.90329999999999999</v>
      </c>
      <c r="DZ148" s="171">
        <f t="shared" si="162"/>
        <v>2.0646518321709286</v>
      </c>
      <c r="EA148" s="59">
        <v>0.72330000000000005</v>
      </c>
      <c r="EB148" s="171">
        <f t="shared" si="163"/>
        <v>1.7890225356007186</v>
      </c>
      <c r="EC148" s="59">
        <v>0.13420000000000001</v>
      </c>
      <c r="ED148" s="171">
        <f t="shared" si="164"/>
        <v>2.6400894187779431</v>
      </c>
      <c r="EE148" s="59">
        <v>3.0300000000000001E-2</v>
      </c>
      <c r="EF148" s="59">
        <v>4.1999999999999997E-3</v>
      </c>
      <c r="EG148" s="59">
        <v>0.1018</v>
      </c>
      <c r="EH148" s="59">
        <v>0</v>
      </c>
      <c r="EI148" s="226">
        <v>0.1159</v>
      </c>
      <c r="EJ148" s="172">
        <v>4.75</v>
      </c>
      <c r="EK148" s="173"/>
      <c r="EL148" s="59">
        <v>0.68700000000000006</v>
      </c>
      <c r="EM148" s="59">
        <v>0.3039</v>
      </c>
      <c r="EN148" s="227">
        <v>0.1406</v>
      </c>
      <c r="EO148" s="172">
        <v>5.7656000000000001</v>
      </c>
      <c r="ES148" s="57">
        <f t="shared" si="174"/>
        <v>4.75</v>
      </c>
      <c r="ET148" s="57">
        <f t="shared" si="175"/>
        <v>5.7656000000000001</v>
      </c>
      <c r="EU148" s="31"/>
      <c r="EV148" s="61">
        <f t="shared" si="165"/>
        <v>1.7019157894736845</v>
      </c>
      <c r="EW148" s="61">
        <f>BJ148/ET148</f>
        <v>1.7280942139586515</v>
      </c>
      <c r="EX148" s="174">
        <v>6.2234999999999996</v>
      </c>
      <c r="EY148" s="174">
        <v>8.1143999999999998</v>
      </c>
      <c r="EZ148" s="158">
        <f t="shared" si="166"/>
        <v>8.0841000000000012</v>
      </c>
      <c r="FA148" s="158">
        <f t="shared" si="167"/>
        <v>9.9635000000000016</v>
      </c>
      <c r="FB148" s="158">
        <f>BA148-EX148</f>
        <v>1.8606000000000016</v>
      </c>
      <c r="FC148" s="158">
        <f>BJ148-EY148</f>
        <v>1.8491000000000017</v>
      </c>
      <c r="FD148" s="175">
        <f t="shared" si="200"/>
        <v>0.29896360568811792</v>
      </c>
      <c r="FE148" s="175">
        <f t="shared" si="201"/>
        <v>0.18558739398805654</v>
      </c>
      <c r="FF148" s="158"/>
      <c r="FG148" s="174"/>
      <c r="FH148" s="174">
        <f t="shared" si="176"/>
        <v>51324.334080000008</v>
      </c>
      <c r="FI148" s="174"/>
      <c r="FJ148" s="176">
        <v>1.3324</v>
      </c>
      <c r="FK148" s="87">
        <f t="shared" si="177"/>
        <v>1.2773309737869143</v>
      </c>
      <c r="FL148" s="87">
        <v>1.4294</v>
      </c>
      <c r="FM148" s="177">
        <f t="shared" si="178"/>
        <v>1.2089647502159309</v>
      </c>
      <c r="FO148" s="88">
        <f t="shared" si="168"/>
        <v>51324.334080000008</v>
      </c>
      <c r="FP148" s="79">
        <f t="shared" si="169"/>
        <v>58898.233900000007</v>
      </c>
      <c r="FS148" s="79">
        <f t="shared" si="170"/>
        <v>30156.799999999999</v>
      </c>
      <c r="FT148" s="79">
        <f t="shared" si="171"/>
        <v>34082.76784</v>
      </c>
      <c r="FU148" s="79">
        <f t="shared" si="179"/>
        <v>1.7019157894736845</v>
      </c>
      <c r="FV148" s="79">
        <f t="shared" si="179"/>
        <v>1.7280942139586515</v>
      </c>
      <c r="FY148" s="79">
        <f t="shared" si="180"/>
        <v>3535.9853400000047</v>
      </c>
      <c r="FZ148" s="79">
        <f t="shared" si="181"/>
        <v>58898.233900000007</v>
      </c>
      <c r="GB148" s="178">
        <f t="shared" si="182"/>
        <v>437.40000000000055</v>
      </c>
      <c r="GC148" s="178">
        <f t="shared" si="183"/>
        <v>5911.4</v>
      </c>
      <c r="GG148" s="14">
        <v>6.4487000000000014</v>
      </c>
      <c r="GH148" s="175">
        <f t="shared" si="184"/>
        <v>1.2536015010777366</v>
      </c>
      <c r="GI148" s="14">
        <v>8.4695000000000018</v>
      </c>
      <c r="GJ148" s="175">
        <f t="shared" si="185"/>
        <v>1.1763976621996575</v>
      </c>
      <c r="GK148" s="175">
        <f t="shared" si="150"/>
        <v>7.7203838878079134E-2</v>
      </c>
      <c r="GN148" s="14">
        <v>8.3091000000000008</v>
      </c>
      <c r="GO148" s="175">
        <f t="shared" si="186"/>
        <v>1.288492254252795</v>
      </c>
      <c r="GP148" s="179">
        <f t="shared" si="187"/>
        <v>0.97292125500956783</v>
      </c>
      <c r="GQ148" s="14">
        <v>9.9096000000000011</v>
      </c>
      <c r="GR148" s="175">
        <f t="shared" si="188"/>
        <v>1.1700336501564437</v>
      </c>
      <c r="GS148" s="175">
        <f t="shared" si="189"/>
        <v>1.005439170097683</v>
      </c>
      <c r="GV148" s="32">
        <f t="shared" si="190"/>
        <v>3535.9853400000047</v>
      </c>
      <c r="GW148" s="32">
        <f t="shared" si="191"/>
        <v>58898.233900000007</v>
      </c>
      <c r="GX148" s="180">
        <f t="shared" si="192"/>
        <v>62434.219240000013</v>
      </c>
      <c r="GZ148" s="32">
        <f t="shared" si="193"/>
        <v>8.0841000000000012</v>
      </c>
      <c r="HA148" s="32">
        <f t="shared" si="194"/>
        <v>9.9635000000000016</v>
      </c>
      <c r="HB148" s="32">
        <f t="shared" si="195"/>
        <v>9.8340189075100817</v>
      </c>
    </row>
    <row r="149" spans="1:210" ht="19.2" customHeight="1" x14ac:dyDescent="0.3">
      <c r="A149" s="50">
        <v>141</v>
      </c>
      <c r="B149" s="51" t="s">
        <v>742</v>
      </c>
      <c r="C149" s="51"/>
      <c r="D149" s="52">
        <v>2</v>
      </c>
      <c r="E149" s="52">
        <v>1</v>
      </c>
      <c r="F149" s="187">
        <v>9</v>
      </c>
      <c r="G149" s="54" t="s">
        <v>15</v>
      </c>
      <c r="H149" s="181" t="s">
        <v>8</v>
      </c>
      <c r="I149" s="55">
        <f t="shared" si="172"/>
        <v>389.9</v>
      </c>
      <c r="J149" s="55">
        <f t="shared" si="152"/>
        <v>0</v>
      </c>
      <c r="K149" s="55">
        <f t="shared" si="153"/>
        <v>0</v>
      </c>
      <c r="L149" s="56">
        <v>389.9</v>
      </c>
      <c r="M149" s="56">
        <v>389.9</v>
      </c>
      <c r="N149" s="56">
        <f t="shared" si="173"/>
        <v>389.9</v>
      </c>
      <c r="O149" s="56">
        <v>0</v>
      </c>
      <c r="P149" s="56">
        <v>0</v>
      </c>
      <c r="Q149" s="55"/>
      <c r="R149" s="55">
        <v>389.9</v>
      </c>
      <c r="S149" s="55"/>
      <c r="T149" s="55">
        <v>0</v>
      </c>
      <c r="U149" s="152">
        <v>389.9</v>
      </c>
      <c r="V149" s="12">
        <v>0.2145</v>
      </c>
      <c r="W149" s="12">
        <v>0.1147</v>
      </c>
      <c r="X149" s="12">
        <v>0</v>
      </c>
      <c r="Y149" s="12">
        <v>0</v>
      </c>
      <c r="Z149" s="12">
        <v>0</v>
      </c>
      <c r="AA149" s="12">
        <v>0.37340000000000001</v>
      </c>
      <c r="AB149" s="12">
        <v>0</v>
      </c>
      <c r="AC149" s="12">
        <v>0.61070000000000002</v>
      </c>
      <c r="AD149" s="12">
        <v>0.32450000000000001</v>
      </c>
      <c r="AE149" s="12">
        <v>0</v>
      </c>
      <c r="AF149" s="12">
        <v>1.5828</v>
      </c>
      <c r="AG149" s="12">
        <v>0.23860000000000001</v>
      </c>
      <c r="AH149" s="12">
        <v>0.35370000000000001</v>
      </c>
      <c r="AI149" s="12">
        <v>0</v>
      </c>
      <c r="AJ149" s="12">
        <v>0</v>
      </c>
      <c r="AK149" s="12">
        <v>0</v>
      </c>
      <c r="AL149" s="12">
        <v>6.4799999999999996E-2</v>
      </c>
      <c r="AM149" s="12">
        <v>3.5200000000000002E-2</v>
      </c>
      <c r="AN149" s="12">
        <v>0</v>
      </c>
      <c r="AO149" s="12">
        <v>2.3853</v>
      </c>
      <c r="AP149" s="12">
        <v>1.4748000000000001</v>
      </c>
      <c r="AQ149" s="12">
        <v>0</v>
      </c>
      <c r="AR149" s="12">
        <v>0.36830000000000002</v>
      </c>
      <c r="AS149" s="12">
        <v>0</v>
      </c>
      <c r="AT149" s="12">
        <v>0</v>
      </c>
      <c r="AU149" s="12">
        <v>6.6400000000000001E-2</v>
      </c>
      <c r="AV149" s="12">
        <v>0</v>
      </c>
      <c r="AW149" s="188">
        <v>8.2076999999999991</v>
      </c>
      <c r="AX149" s="13">
        <v>0.41039999999999999</v>
      </c>
      <c r="AY149" s="189">
        <f t="shared" si="154"/>
        <v>0.41039999999999999</v>
      </c>
      <c r="AZ149" s="189">
        <f t="shared" si="155"/>
        <v>0</v>
      </c>
      <c r="BA149" s="14">
        <v>8.6180999999999983</v>
      </c>
      <c r="BB149" s="190">
        <f>BA149-'[1]Тариф 26 свод без  ПДВ'!AU149</f>
        <v>2.4999999999977263E-3</v>
      </c>
      <c r="BC149" s="12">
        <v>0</v>
      </c>
      <c r="BD149" s="12">
        <v>0</v>
      </c>
      <c r="BE149" s="12">
        <v>0</v>
      </c>
      <c r="BF149" s="191">
        <v>8.2076999999999991</v>
      </c>
      <c r="BG149" s="190">
        <v>0.41039999999999999</v>
      </c>
      <c r="BH149" s="190"/>
      <c r="BI149" s="190"/>
      <c r="BJ149" s="14">
        <v>8.6180999999999983</v>
      </c>
      <c r="BK149" s="60"/>
      <c r="BL149" s="60">
        <v>3.9128999999999996</v>
      </c>
      <c r="BM149" s="60">
        <v>0.1956</v>
      </c>
      <c r="BN149" s="14">
        <v>4.1084999999999994</v>
      </c>
      <c r="BO149" s="14"/>
      <c r="BP149" s="157"/>
      <c r="BQ149" s="158">
        <f>BJ149-'[1]Тариф 26 свод без  ПДВ'!BG149</f>
        <v>2.4999999999977263E-3</v>
      </c>
      <c r="BR149" s="77">
        <f>'[1]Тариф 26 свод без  ПДВ'!BG149</f>
        <v>8.6156000000000006</v>
      </c>
      <c r="BS149" s="159">
        <f t="shared" si="156"/>
        <v>2.4999999999977263E-3</v>
      </c>
      <c r="BU149" s="77">
        <f>'[1]Тариф 26 свод без  ПДВ'!AU149</f>
        <v>8.6156000000000006</v>
      </c>
      <c r="BV149" s="159">
        <f t="shared" si="157"/>
        <v>2.4999999999977263E-3</v>
      </c>
      <c r="BX149" s="95">
        <v>4.4554</v>
      </c>
      <c r="BY149" s="95">
        <v>4.4554</v>
      </c>
      <c r="BZ149" s="95"/>
      <c r="CA149" s="182">
        <f t="shared" si="158"/>
        <v>1.9343044395564928</v>
      </c>
      <c r="CB149" s="182">
        <f t="shared" si="159"/>
        <v>1.9343044395564928</v>
      </c>
      <c r="CI149" s="160">
        <f>'[1]0 СВОД'!AYY164</f>
        <v>3360.2098560163568</v>
      </c>
      <c r="CJ149" s="77">
        <f t="shared" si="160"/>
        <v>40322.518272196277</v>
      </c>
      <c r="CM149" s="161">
        <v>147</v>
      </c>
      <c r="CN149" s="162" t="s">
        <v>743</v>
      </c>
      <c r="CO149" s="163">
        <v>2</v>
      </c>
      <c r="CP149" s="163">
        <v>1</v>
      </c>
      <c r="CQ149" s="164" t="s">
        <v>15</v>
      </c>
      <c r="CR149" s="165" t="s">
        <v>8</v>
      </c>
      <c r="CS149" s="166">
        <v>389.9</v>
      </c>
      <c r="CT149" s="166">
        <v>0</v>
      </c>
      <c r="CU149" s="167">
        <v>0</v>
      </c>
      <c r="CV149" s="168">
        <v>389.9</v>
      </c>
      <c r="CW149" s="166">
        <v>389.9</v>
      </c>
      <c r="CX149" s="167">
        <v>0</v>
      </c>
      <c r="CY149" s="166">
        <v>0</v>
      </c>
      <c r="CZ149" s="166"/>
      <c r="DA149" s="166">
        <v>389.9</v>
      </c>
      <c r="DB149" s="166"/>
      <c r="DC149" s="166">
        <v>0</v>
      </c>
      <c r="DD149" s="59">
        <v>0.2218</v>
      </c>
      <c r="DE149" s="59">
        <v>0.18640000000000001</v>
      </c>
      <c r="DF149" s="59">
        <v>0</v>
      </c>
      <c r="DG149" s="59">
        <v>0</v>
      </c>
      <c r="DH149" s="59">
        <v>0</v>
      </c>
      <c r="DI149" s="59">
        <v>0.16350000000000001</v>
      </c>
      <c r="DJ149" s="59">
        <v>4.8099999999999997E-2</v>
      </c>
      <c r="DK149" s="59">
        <v>0.3337</v>
      </c>
      <c r="DL149" s="169">
        <v>0</v>
      </c>
      <c r="DM149" s="59">
        <v>0.19750000000000001</v>
      </c>
      <c r="DN149" s="169">
        <v>0</v>
      </c>
      <c r="DO149" s="59">
        <v>0.72629999999999995</v>
      </c>
      <c r="DP149" s="171">
        <f t="shared" si="161"/>
        <v>1.5828</v>
      </c>
      <c r="DQ149" s="59">
        <v>0.16639999999999999</v>
      </c>
      <c r="DR149" s="59">
        <v>0.24340000000000001</v>
      </c>
      <c r="DS149" s="59">
        <v>0</v>
      </c>
      <c r="DT149" s="59">
        <v>0</v>
      </c>
      <c r="DU149" s="59">
        <v>0</v>
      </c>
      <c r="DV149" s="59">
        <v>2.2800000000000001E-2</v>
      </c>
      <c r="DW149" s="59">
        <v>0.01</v>
      </c>
      <c r="DX149" s="169">
        <v>0</v>
      </c>
      <c r="DY149" s="59">
        <v>1.0872999999999999</v>
      </c>
      <c r="DZ149" s="171">
        <f t="shared" si="162"/>
        <v>2.1937827646463717</v>
      </c>
      <c r="EA149" s="59">
        <v>0.82169999999999999</v>
      </c>
      <c r="EB149" s="171">
        <f t="shared" si="163"/>
        <v>1.7948156261409276</v>
      </c>
      <c r="EC149" s="59">
        <v>0.1363</v>
      </c>
      <c r="ED149" s="171">
        <f t="shared" si="164"/>
        <v>2.7021276595744683</v>
      </c>
      <c r="EE149" s="169">
        <v>0</v>
      </c>
      <c r="EF149" s="169">
        <v>0</v>
      </c>
      <c r="EG149" s="59">
        <v>0.1086</v>
      </c>
      <c r="EH149" s="59">
        <v>0</v>
      </c>
      <c r="EI149" s="195">
        <v>0.1118</v>
      </c>
      <c r="EJ149" s="172">
        <v>4.5855999999999995</v>
      </c>
      <c r="EK149" s="173"/>
      <c r="EL149" s="169">
        <v>0</v>
      </c>
      <c r="EM149" s="169">
        <v>0</v>
      </c>
      <c r="EN149" s="59"/>
      <c r="EO149" s="172"/>
      <c r="ES149" s="57">
        <f t="shared" si="174"/>
        <v>4.5855999999999995</v>
      </c>
      <c r="ET149" s="57">
        <f t="shared" si="175"/>
        <v>0</v>
      </c>
      <c r="EU149" s="31"/>
      <c r="EV149" s="61">
        <f t="shared" si="165"/>
        <v>1.8793832868108862</v>
      </c>
      <c r="EW149" s="61"/>
      <c r="EX149" s="159">
        <f t="shared" ref="EX149:EX150" si="202">EY149/1.05</f>
        <v>-2.1547222857142856</v>
      </c>
      <c r="EY149" s="32">
        <f>ES149*1.386-BJ149</f>
        <v>-2.2624583999999999</v>
      </c>
      <c r="EZ149" s="158">
        <f t="shared" si="166"/>
        <v>8.6180999999999983</v>
      </c>
      <c r="FA149" s="159">
        <f t="shared" si="167"/>
        <v>8.6180999999999983</v>
      </c>
      <c r="FB149" s="158">
        <f t="shared" ref="FB149:FB150" si="203">ES149*1.34</f>
        <v>6.1447039999999999</v>
      </c>
      <c r="FC149" s="158">
        <f t="shared" ref="FC149:FC150" si="204">EZ149-FB149</f>
        <v>2.4733959999999984</v>
      </c>
      <c r="FD149" s="158"/>
      <c r="FE149" s="158"/>
      <c r="FF149" s="158"/>
      <c r="FG149" s="174"/>
      <c r="FH149" s="174">
        <f t="shared" si="176"/>
        <v>3360.197189999999</v>
      </c>
      <c r="FI149" s="174"/>
      <c r="FJ149" s="87">
        <v>1.4658496161898118</v>
      </c>
      <c r="FK149" s="176">
        <f t="shared" si="177"/>
        <v>1.2821119343033114</v>
      </c>
      <c r="FM149" s="87" t="e">
        <f t="shared" si="178"/>
        <v>#DIV/0!</v>
      </c>
      <c r="FO149" s="88">
        <f t="shared" si="168"/>
        <v>3360.197189999999</v>
      </c>
      <c r="FP149" s="79">
        <f t="shared" si="169"/>
        <v>0</v>
      </c>
      <c r="FS149" s="79">
        <f t="shared" si="170"/>
        <v>1787.9254399999998</v>
      </c>
      <c r="FT149" s="79">
        <f t="shared" si="171"/>
        <v>0</v>
      </c>
      <c r="FU149" s="79">
        <f t="shared" si="179"/>
        <v>1.879383286810886</v>
      </c>
      <c r="FV149" s="79" t="e">
        <f t="shared" si="179"/>
        <v>#DIV/0!</v>
      </c>
      <c r="FY149" s="79">
        <f t="shared" si="180"/>
        <v>3360.197189999999</v>
      </c>
      <c r="FZ149" s="79">
        <f t="shared" si="181"/>
        <v>0</v>
      </c>
      <c r="GB149" s="178">
        <f t="shared" si="182"/>
        <v>389.9</v>
      </c>
      <c r="GC149" s="178">
        <f t="shared" si="183"/>
        <v>0</v>
      </c>
      <c r="GE149" s="196"/>
      <c r="GF149" s="196"/>
      <c r="GG149" s="14">
        <v>6.7862</v>
      </c>
      <c r="GH149" s="197">
        <f t="shared" si="184"/>
        <v>1.2699448881553739</v>
      </c>
      <c r="GI149" s="14">
        <v>6.7862</v>
      </c>
      <c r="GJ149" s="197">
        <f t="shared" si="185"/>
        <v>1.2699448881553739</v>
      </c>
      <c r="GK149" s="197">
        <f t="shared" si="150"/>
        <v>0</v>
      </c>
      <c r="GL149" s="196"/>
      <c r="GM149" s="196"/>
      <c r="GN149" s="14">
        <v>8.7689000000000004</v>
      </c>
      <c r="GO149" s="197">
        <f t="shared" si="186"/>
        <v>1.2921664554537149</v>
      </c>
      <c r="GP149" s="198">
        <f t="shared" si="187"/>
        <v>0.98280286010788098</v>
      </c>
      <c r="GQ149" s="14">
        <v>8.7689000000000004</v>
      </c>
      <c r="GR149" s="197">
        <f t="shared" si="188"/>
        <v>1.2921664554537149</v>
      </c>
      <c r="GS149" s="197">
        <f t="shared" si="189"/>
        <v>0.98280286010788098</v>
      </c>
      <c r="GT149" s="196"/>
      <c r="GV149" s="32">
        <f t="shared" si="190"/>
        <v>3360.197189999999</v>
      </c>
      <c r="GW149" s="32">
        <f t="shared" si="191"/>
        <v>0</v>
      </c>
      <c r="GX149" s="180">
        <f t="shared" si="192"/>
        <v>3360.197189999999</v>
      </c>
      <c r="GZ149" s="32">
        <f t="shared" si="193"/>
        <v>8.6180999999999983</v>
      </c>
      <c r="HA149" s="32" t="e">
        <f t="shared" si="194"/>
        <v>#DIV/0!</v>
      </c>
      <c r="HB149" s="32">
        <f t="shared" si="195"/>
        <v>8.6180999999999983</v>
      </c>
    </row>
    <row r="150" spans="1:210" ht="19.2" customHeight="1" x14ac:dyDescent="0.3">
      <c r="A150" s="50">
        <v>142</v>
      </c>
      <c r="B150" s="51" t="s">
        <v>744</v>
      </c>
      <c r="C150" s="51"/>
      <c r="D150" s="52">
        <v>2</v>
      </c>
      <c r="E150" s="52">
        <v>1</v>
      </c>
      <c r="F150" s="187">
        <v>8</v>
      </c>
      <c r="G150" s="54" t="s">
        <v>16</v>
      </c>
      <c r="H150" s="181" t="s">
        <v>8</v>
      </c>
      <c r="I150" s="55">
        <f t="shared" si="172"/>
        <v>358.9</v>
      </c>
      <c r="J150" s="55">
        <f t="shared" si="152"/>
        <v>0</v>
      </c>
      <c r="K150" s="55">
        <f t="shared" si="153"/>
        <v>0</v>
      </c>
      <c r="L150" s="56">
        <v>358.9</v>
      </c>
      <c r="M150" s="56">
        <v>358.9</v>
      </c>
      <c r="N150" s="56">
        <f t="shared" si="173"/>
        <v>358.9</v>
      </c>
      <c r="O150" s="56">
        <v>0</v>
      </c>
      <c r="P150" s="56">
        <v>0</v>
      </c>
      <c r="Q150" s="55"/>
      <c r="R150" s="55">
        <v>358.9</v>
      </c>
      <c r="S150" s="55"/>
      <c r="T150" s="55">
        <v>0</v>
      </c>
      <c r="U150" s="152">
        <v>358.9</v>
      </c>
      <c r="V150" s="12">
        <v>0.23300000000000001</v>
      </c>
      <c r="W150" s="12">
        <v>0.12470000000000001</v>
      </c>
      <c r="X150" s="12">
        <v>0</v>
      </c>
      <c r="Y150" s="12">
        <v>0</v>
      </c>
      <c r="Z150" s="12">
        <v>0</v>
      </c>
      <c r="AA150" s="12">
        <v>0.35349999999999998</v>
      </c>
      <c r="AB150" s="12">
        <v>0</v>
      </c>
      <c r="AC150" s="12">
        <v>0.61070000000000002</v>
      </c>
      <c r="AD150" s="12">
        <v>0.52880000000000005</v>
      </c>
      <c r="AE150" s="12">
        <v>0</v>
      </c>
      <c r="AF150" s="12">
        <v>1.4695</v>
      </c>
      <c r="AG150" s="12">
        <v>0.25919999999999999</v>
      </c>
      <c r="AH150" s="12">
        <v>0.1792</v>
      </c>
      <c r="AI150" s="12">
        <v>0</v>
      </c>
      <c r="AJ150" s="12">
        <v>0</v>
      </c>
      <c r="AK150" s="12">
        <v>0</v>
      </c>
      <c r="AL150" s="12">
        <v>0.05</v>
      </c>
      <c r="AM150" s="12">
        <v>3.6999999999999998E-2</v>
      </c>
      <c r="AN150" s="12">
        <v>0</v>
      </c>
      <c r="AO150" s="12">
        <v>3.0400999999999998</v>
      </c>
      <c r="AP150" s="12">
        <v>1.5806</v>
      </c>
      <c r="AQ150" s="12">
        <v>0.1103</v>
      </c>
      <c r="AR150" s="12">
        <v>0.51400000000000001</v>
      </c>
      <c r="AS150" s="12">
        <v>0</v>
      </c>
      <c r="AT150" s="12">
        <v>0</v>
      </c>
      <c r="AU150" s="12">
        <v>7.2099999999999997E-2</v>
      </c>
      <c r="AV150" s="12">
        <v>0</v>
      </c>
      <c r="AW150" s="188">
        <v>9.162700000000001</v>
      </c>
      <c r="AX150" s="13">
        <v>0.45810000000000001</v>
      </c>
      <c r="AY150" s="189">
        <f t="shared" si="154"/>
        <v>0.4526</v>
      </c>
      <c r="AZ150" s="189">
        <f t="shared" si="155"/>
        <v>5.5000000000000049E-3</v>
      </c>
      <c r="BA150" s="14">
        <v>9.6208000000000009</v>
      </c>
      <c r="BB150" s="190">
        <f>BA150-'[1]Тариф 26 свод без  ПДВ'!AU150</f>
        <v>2.1000000000004349E-3</v>
      </c>
      <c r="BC150" s="12">
        <v>0</v>
      </c>
      <c r="BD150" s="12">
        <v>0</v>
      </c>
      <c r="BE150" s="12">
        <v>0</v>
      </c>
      <c r="BF150" s="191">
        <v>9.162700000000001</v>
      </c>
      <c r="BG150" s="190">
        <v>0.45810000000000001</v>
      </c>
      <c r="BH150" s="190"/>
      <c r="BI150" s="190"/>
      <c r="BJ150" s="14">
        <v>9.6208000000000009</v>
      </c>
      <c r="BK150" s="60"/>
      <c r="BL150" s="60">
        <v>3.9559000000000006</v>
      </c>
      <c r="BM150" s="60">
        <v>0.1978</v>
      </c>
      <c r="BN150" s="14">
        <v>4.1537000000000006</v>
      </c>
      <c r="BO150" s="14"/>
      <c r="BP150" s="157"/>
      <c r="BQ150" s="158">
        <f>BJ150-'[1]Тариф 26 свод без  ПДВ'!BG150</f>
        <v>2.1000000000004349E-3</v>
      </c>
      <c r="BR150" s="77">
        <f>'[1]Тариф 26 свод без  ПДВ'!BG150</f>
        <v>9.6187000000000005</v>
      </c>
      <c r="BS150" s="159">
        <f t="shared" si="156"/>
        <v>2.1000000000004349E-3</v>
      </c>
      <c r="BU150" s="77">
        <f>'[1]Тариф 26 свод без  ПДВ'!AU150</f>
        <v>9.6187000000000005</v>
      </c>
      <c r="BV150" s="159">
        <f t="shared" si="157"/>
        <v>2.1000000000004349E-3</v>
      </c>
      <c r="BX150" s="95">
        <v>4.1625000000000005</v>
      </c>
      <c r="BY150" s="95">
        <v>4.1625000000000005</v>
      </c>
      <c r="BZ150" s="95"/>
      <c r="CA150" s="62">
        <f t="shared" si="158"/>
        <v>2.311303303303303</v>
      </c>
      <c r="CB150" s="62">
        <f t="shared" si="159"/>
        <v>2.311303303303303</v>
      </c>
      <c r="CI150" s="160">
        <f>'[1]0 СВОД'!AYY165</f>
        <v>3452.9314914114966</v>
      </c>
      <c r="CJ150" s="77">
        <f t="shared" si="160"/>
        <v>41435.177896937959</v>
      </c>
      <c r="CM150" s="161">
        <v>148</v>
      </c>
      <c r="CN150" s="183" t="s">
        <v>745</v>
      </c>
      <c r="CO150" s="163">
        <v>2</v>
      </c>
      <c r="CP150" s="163">
        <v>1</v>
      </c>
      <c r="CQ150" s="164" t="s">
        <v>16</v>
      </c>
      <c r="CR150" s="165" t="s">
        <v>8</v>
      </c>
      <c r="CS150" s="166">
        <v>358.9</v>
      </c>
      <c r="CT150" s="166">
        <v>0</v>
      </c>
      <c r="CU150" s="167">
        <v>0</v>
      </c>
      <c r="CV150" s="168">
        <v>358.9</v>
      </c>
      <c r="CW150" s="166">
        <v>358.9</v>
      </c>
      <c r="CX150" s="167">
        <v>0</v>
      </c>
      <c r="CY150" s="166">
        <v>0</v>
      </c>
      <c r="CZ150" s="166"/>
      <c r="DA150" s="166">
        <v>358.9</v>
      </c>
      <c r="DB150" s="166"/>
      <c r="DC150" s="166">
        <v>0</v>
      </c>
      <c r="DD150" s="184">
        <v>0.1867</v>
      </c>
      <c r="DE150" s="59">
        <v>0.13489999999999999</v>
      </c>
      <c r="DF150" s="59">
        <v>0</v>
      </c>
      <c r="DG150" s="59">
        <v>0</v>
      </c>
      <c r="DH150" s="59">
        <v>0</v>
      </c>
      <c r="DI150" s="59">
        <v>0.15939999999999999</v>
      </c>
      <c r="DJ150" s="59">
        <v>4.8099999999999997E-2</v>
      </c>
      <c r="DK150" s="59">
        <v>0.3337</v>
      </c>
      <c r="DL150" s="169">
        <v>0</v>
      </c>
      <c r="DM150" s="59">
        <v>0.32179999999999997</v>
      </c>
      <c r="DN150" s="169">
        <v>0</v>
      </c>
      <c r="DO150" s="59">
        <v>1.1560999999999999</v>
      </c>
      <c r="DP150" s="171">
        <f t="shared" si="161"/>
        <v>1.4695</v>
      </c>
      <c r="DQ150" s="59">
        <v>9.0700000000000003E-2</v>
      </c>
      <c r="DR150" s="59">
        <v>0.12559999999999999</v>
      </c>
      <c r="DS150" s="59">
        <v>0</v>
      </c>
      <c r="DT150" s="59">
        <v>0</v>
      </c>
      <c r="DU150" s="59">
        <v>0</v>
      </c>
      <c r="DV150" s="59">
        <v>1.77E-2</v>
      </c>
      <c r="DW150" s="59">
        <v>1.0800000000000001E-2</v>
      </c>
      <c r="DX150" s="169">
        <v>0</v>
      </c>
      <c r="DY150" s="59">
        <v>1.3546</v>
      </c>
      <c r="DZ150" s="171">
        <f t="shared" si="162"/>
        <v>2.2442787538756828</v>
      </c>
      <c r="EA150" s="59">
        <v>0.88060000000000005</v>
      </c>
      <c r="EB150" s="171">
        <f t="shared" si="163"/>
        <v>1.9201680672268908</v>
      </c>
      <c r="EC150" s="59">
        <v>0.22559999999999999</v>
      </c>
      <c r="ED150" s="171">
        <f t="shared" si="164"/>
        <v>2.2783687943262412</v>
      </c>
      <c r="EE150" s="169">
        <v>0</v>
      </c>
      <c r="EF150" s="169">
        <v>0</v>
      </c>
      <c r="EG150" s="59">
        <v>9.1200000000000003E-2</v>
      </c>
      <c r="EH150" s="59">
        <v>0</v>
      </c>
      <c r="EI150" s="195">
        <v>0.12839999999999999</v>
      </c>
      <c r="EJ150" s="172">
        <v>5.2659000000000002</v>
      </c>
      <c r="EK150" s="173"/>
      <c r="EL150" s="169">
        <v>0</v>
      </c>
      <c r="EM150" s="169">
        <v>0</v>
      </c>
      <c r="EN150" s="59"/>
      <c r="EO150" s="172"/>
      <c r="ES150" s="57">
        <f t="shared" si="174"/>
        <v>5.2659000000000002</v>
      </c>
      <c r="ET150" s="57">
        <f t="shared" si="175"/>
        <v>0</v>
      </c>
      <c r="EU150" s="31"/>
      <c r="EV150" s="61">
        <f t="shared" si="165"/>
        <v>1.8270001329307433</v>
      </c>
      <c r="EW150" s="62"/>
      <c r="EX150" s="159">
        <f t="shared" si="202"/>
        <v>-2.2116786666666677</v>
      </c>
      <c r="EY150" s="32">
        <f>ES150*1.386-BJ150</f>
        <v>-2.3222626000000011</v>
      </c>
      <c r="EZ150" s="158">
        <f t="shared" si="166"/>
        <v>9.6208000000000009</v>
      </c>
      <c r="FA150" s="159">
        <f t="shared" si="167"/>
        <v>9.6208000000000009</v>
      </c>
      <c r="FB150" s="158">
        <f t="shared" si="203"/>
        <v>7.0563060000000011</v>
      </c>
      <c r="FC150" s="158">
        <f t="shared" si="204"/>
        <v>2.5644939999999998</v>
      </c>
      <c r="FD150" s="158"/>
      <c r="FE150" s="158"/>
      <c r="FF150" s="158"/>
      <c r="FG150" s="174"/>
      <c r="FH150" s="174">
        <f t="shared" si="176"/>
        <v>3452.9051199999999</v>
      </c>
      <c r="FI150" s="174"/>
      <c r="FJ150" s="87">
        <v>1.4842666970508365</v>
      </c>
      <c r="FK150" s="176">
        <f t="shared" si="177"/>
        <v>1.2309109518935519</v>
      </c>
      <c r="FM150" s="87" t="e">
        <f t="shared" si="178"/>
        <v>#DIV/0!</v>
      </c>
      <c r="FO150" s="88">
        <f t="shared" si="168"/>
        <v>3452.9051199999999</v>
      </c>
      <c r="FP150" s="79">
        <f t="shared" si="169"/>
        <v>0</v>
      </c>
      <c r="FS150" s="79">
        <f t="shared" si="170"/>
        <v>1889.9315099999999</v>
      </c>
      <c r="FT150" s="79">
        <f t="shared" si="171"/>
        <v>0</v>
      </c>
      <c r="FU150" s="79">
        <f t="shared" si="179"/>
        <v>1.827000132930743</v>
      </c>
      <c r="FV150" s="79" t="e">
        <f t="shared" si="179"/>
        <v>#DIV/0!</v>
      </c>
      <c r="FY150" s="79">
        <f t="shared" si="180"/>
        <v>3452.9051199999999</v>
      </c>
      <c r="FZ150" s="79">
        <f t="shared" si="181"/>
        <v>0</v>
      </c>
      <c r="GB150" s="178">
        <f t="shared" si="182"/>
        <v>358.9</v>
      </c>
      <c r="GC150" s="178">
        <f t="shared" si="183"/>
        <v>0</v>
      </c>
      <c r="GE150" s="196"/>
      <c r="GF150" s="196"/>
      <c r="GG150" s="14">
        <v>7.5759000000000007</v>
      </c>
      <c r="GH150" s="197">
        <f t="shared" si="184"/>
        <v>1.2699217254715611</v>
      </c>
      <c r="GI150" s="14">
        <v>7.5759000000000007</v>
      </c>
      <c r="GJ150" s="197">
        <f t="shared" si="185"/>
        <v>1.2699217254715611</v>
      </c>
      <c r="GK150" s="197">
        <f t="shared" si="150"/>
        <v>0</v>
      </c>
      <c r="GL150" s="196"/>
      <c r="GM150" s="196"/>
      <c r="GN150" s="14">
        <v>9.9024000000000001</v>
      </c>
      <c r="GO150" s="197">
        <f t="shared" si="186"/>
        <v>1.3070922266661387</v>
      </c>
      <c r="GP150" s="198">
        <f t="shared" si="187"/>
        <v>0.97156244950719028</v>
      </c>
      <c r="GQ150" s="14">
        <v>9.9024000000000001</v>
      </c>
      <c r="GR150" s="197">
        <f t="shared" si="188"/>
        <v>1.3070922266661387</v>
      </c>
      <c r="GS150" s="197">
        <f t="shared" si="189"/>
        <v>0.97156244950719028</v>
      </c>
      <c r="GT150" s="196"/>
      <c r="GV150" s="32">
        <f t="shared" si="190"/>
        <v>3452.9051199999999</v>
      </c>
      <c r="GW150" s="32">
        <f t="shared" si="191"/>
        <v>0</v>
      </c>
      <c r="GX150" s="180">
        <f t="shared" si="192"/>
        <v>3452.9051199999999</v>
      </c>
      <c r="GZ150" s="32">
        <f t="shared" si="193"/>
        <v>9.6208000000000009</v>
      </c>
      <c r="HA150" s="32" t="e">
        <f t="shared" si="194"/>
        <v>#DIV/0!</v>
      </c>
      <c r="HB150" s="32">
        <f t="shared" si="195"/>
        <v>9.6208000000000009</v>
      </c>
    </row>
    <row r="151" spans="1:210" ht="19.2" customHeight="1" x14ac:dyDescent="0.3">
      <c r="A151" s="50">
        <v>143</v>
      </c>
      <c r="B151" s="51" t="s">
        <v>746</v>
      </c>
      <c r="C151" s="51"/>
      <c r="D151" s="52">
        <v>1</v>
      </c>
      <c r="E151" s="52">
        <v>0</v>
      </c>
      <c r="F151" s="63">
        <v>1</v>
      </c>
      <c r="G151" s="54" t="s">
        <v>5</v>
      </c>
      <c r="H151" s="181" t="s">
        <v>4</v>
      </c>
      <c r="I151" s="55">
        <f t="shared" si="172"/>
        <v>63.200000000000017</v>
      </c>
      <c r="J151" s="55">
        <f t="shared" si="152"/>
        <v>0</v>
      </c>
      <c r="K151" s="55">
        <f t="shared" si="153"/>
        <v>0</v>
      </c>
      <c r="L151" s="56">
        <v>63.200000000000017</v>
      </c>
      <c r="M151" s="56">
        <v>63.200000000000017</v>
      </c>
      <c r="N151" s="56">
        <f t="shared" si="173"/>
        <v>63.200000000000017</v>
      </c>
      <c r="O151" s="56">
        <v>0</v>
      </c>
      <c r="P151" s="56">
        <v>0</v>
      </c>
      <c r="Q151" s="55"/>
      <c r="R151" s="55">
        <v>0</v>
      </c>
      <c r="S151" s="55"/>
      <c r="T151" s="55">
        <v>0</v>
      </c>
      <c r="U151" s="152">
        <v>63.200000000000017</v>
      </c>
      <c r="V151" s="57">
        <v>0</v>
      </c>
      <c r="W151" s="153">
        <v>0</v>
      </c>
      <c r="X151" s="57">
        <v>0</v>
      </c>
      <c r="Y151" s="57">
        <v>0</v>
      </c>
      <c r="Z151" s="153">
        <v>0</v>
      </c>
      <c r="AA151" s="57">
        <v>0</v>
      </c>
      <c r="AB151" s="153">
        <v>0</v>
      </c>
      <c r="AC151" s="57">
        <v>0</v>
      </c>
      <c r="AD151" s="57">
        <v>1.1261000000000001</v>
      </c>
      <c r="AE151" s="57">
        <v>0</v>
      </c>
      <c r="AF151" s="57">
        <v>1.0224</v>
      </c>
      <c r="AG151" s="57">
        <v>0</v>
      </c>
      <c r="AH151" s="57">
        <v>0</v>
      </c>
      <c r="AI151" s="153">
        <v>0</v>
      </c>
      <c r="AJ151" s="153">
        <v>0</v>
      </c>
      <c r="AK151" s="153">
        <v>0</v>
      </c>
      <c r="AL151" s="57">
        <v>0</v>
      </c>
      <c r="AM151" s="153">
        <v>0</v>
      </c>
      <c r="AN151" s="57">
        <v>0</v>
      </c>
      <c r="AO151" s="153">
        <v>0</v>
      </c>
      <c r="AP151" s="57">
        <v>0</v>
      </c>
      <c r="AQ151" s="57">
        <v>0</v>
      </c>
      <c r="AR151" s="153">
        <v>0</v>
      </c>
      <c r="AS151" s="57">
        <v>0</v>
      </c>
      <c r="AT151" s="57">
        <v>0</v>
      </c>
      <c r="AU151" s="153">
        <v>0</v>
      </c>
      <c r="AV151" s="153">
        <v>0</v>
      </c>
      <c r="AW151" s="154">
        <v>2.1485000000000003</v>
      </c>
      <c r="AX151" s="58">
        <v>0.1074</v>
      </c>
      <c r="AY151" s="155">
        <f t="shared" si="154"/>
        <v>0.1074</v>
      </c>
      <c r="AZ151" s="155">
        <f t="shared" si="155"/>
        <v>0</v>
      </c>
      <c r="BA151" s="14">
        <v>2.2559000000000005</v>
      </c>
      <c r="BB151" s="59">
        <f>BA151-'[1]Тариф 26 свод без  ПДВ'!AU151</f>
        <v>-5.9999999999948983E-4</v>
      </c>
      <c r="BC151" s="57">
        <v>0</v>
      </c>
      <c r="BD151" s="57">
        <v>0</v>
      </c>
      <c r="BE151" s="57">
        <v>0</v>
      </c>
      <c r="BF151" s="156">
        <v>2.1485000000000003</v>
      </c>
      <c r="BG151" s="59">
        <v>0.1074</v>
      </c>
      <c r="BH151" s="59"/>
      <c r="BI151" s="59"/>
      <c r="BJ151" s="14">
        <v>2.2559000000000005</v>
      </c>
      <c r="BK151" s="60"/>
      <c r="BL151" s="60">
        <v>2.1485000000000003</v>
      </c>
      <c r="BM151" s="60">
        <v>0.1074</v>
      </c>
      <c r="BN151" s="14">
        <v>2.2559000000000005</v>
      </c>
      <c r="BO151" s="14"/>
      <c r="BP151" s="157"/>
      <c r="BQ151" s="158">
        <f>BJ151-'[1]Тариф 26 свод без  ПДВ'!BG151</f>
        <v>-5.9999999999948983E-4</v>
      </c>
      <c r="BR151" s="77">
        <f>'[1]Тариф 26 свод без  ПДВ'!BG151</f>
        <v>2.2565</v>
      </c>
      <c r="BS151" s="159">
        <f t="shared" si="156"/>
        <v>-5.9999999999948983E-4</v>
      </c>
      <c r="BU151" s="77">
        <f>'[1]Тариф 26 свод без  ПДВ'!AU151</f>
        <v>2.2565</v>
      </c>
      <c r="BV151" s="159">
        <f t="shared" si="157"/>
        <v>-5.9999999999948983E-4</v>
      </c>
      <c r="BX151" s="95">
        <v>4.5090000000000003</v>
      </c>
      <c r="BY151" s="95">
        <v>4.5090000000000003</v>
      </c>
      <c r="BZ151" s="95"/>
      <c r="CA151" s="62">
        <f t="shared" si="158"/>
        <v>0.50031049013084949</v>
      </c>
      <c r="CB151" s="62">
        <f t="shared" si="159"/>
        <v>0.50031049013084949</v>
      </c>
      <c r="CI151" s="160">
        <f>'[1]0 СВОД'!AYY166</f>
        <v>142.57144272925254</v>
      </c>
      <c r="CJ151" s="77">
        <f t="shared" si="160"/>
        <v>1710.8573127510303</v>
      </c>
      <c r="CM151" s="161">
        <v>149</v>
      </c>
      <c r="CN151" s="228" t="s">
        <v>747</v>
      </c>
      <c r="CO151" s="163">
        <v>1</v>
      </c>
      <c r="CP151" s="163">
        <v>0</v>
      </c>
      <c r="CQ151" s="164" t="s">
        <v>5</v>
      </c>
      <c r="CR151" s="165" t="s">
        <v>4</v>
      </c>
      <c r="CS151" s="166">
        <v>63.2</v>
      </c>
      <c r="CT151" s="166">
        <v>0</v>
      </c>
      <c r="CU151" s="167">
        <v>0</v>
      </c>
      <c r="CV151" s="168">
        <v>63.2</v>
      </c>
      <c r="CW151" s="166">
        <v>63.2</v>
      </c>
      <c r="CX151" s="167">
        <v>0</v>
      </c>
      <c r="CY151" s="166">
        <v>0</v>
      </c>
      <c r="CZ151" s="166"/>
      <c r="DA151" s="166"/>
      <c r="DB151" s="166"/>
      <c r="DC151" s="166">
        <v>0</v>
      </c>
      <c r="DD151" s="59">
        <v>0</v>
      </c>
      <c r="DE151" s="59">
        <v>0</v>
      </c>
      <c r="DF151" s="59">
        <v>0</v>
      </c>
      <c r="DG151" s="59">
        <v>0</v>
      </c>
      <c r="DH151" s="59">
        <v>0</v>
      </c>
      <c r="DI151" s="59">
        <v>0</v>
      </c>
      <c r="DJ151" s="59">
        <v>4.8099999999999997E-2</v>
      </c>
      <c r="DK151" s="169">
        <v>0</v>
      </c>
      <c r="DL151" s="169">
        <v>0</v>
      </c>
      <c r="DM151" s="59">
        <v>0.68530000000000002</v>
      </c>
      <c r="DN151" s="169">
        <v>0</v>
      </c>
      <c r="DO151" s="229">
        <v>0.27100000000000002</v>
      </c>
      <c r="DP151" s="171">
        <f t="shared" si="161"/>
        <v>1.0224</v>
      </c>
      <c r="DQ151" s="59">
        <v>0</v>
      </c>
      <c r="DR151" s="59">
        <v>0</v>
      </c>
      <c r="DS151" s="59">
        <v>0</v>
      </c>
      <c r="DT151" s="59">
        <v>0</v>
      </c>
      <c r="DU151" s="59">
        <v>0</v>
      </c>
      <c r="DV151" s="59">
        <v>0</v>
      </c>
      <c r="DW151" s="59">
        <v>0</v>
      </c>
      <c r="DX151" s="169">
        <v>0</v>
      </c>
      <c r="DY151" s="169">
        <v>0</v>
      </c>
      <c r="DZ151" s="171" t="e">
        <f t="shared" si="162"/>
        <v>#DIV/0!</v>
      </c>
      <c r="EA151" s="169">
        <v>0</v>
      </c>
      <c r="EB151" s="171" t="e">
        <f t="shared" si="163"/>
        <v>#DIV/0!</v>
      </c>
      <c r="EC151" s="169">
        <v>0</v>
      </c>
      <c r="ED151" s="171" t="e">
        <f t="shared" si="164"/>
        <v>#DIV/0!</v>
      </c>
      <c r="EE151" s="169">
        <v>0</v>
      </c>
      <c r="EF151" s="169">
        <v>0</v>
      </c>
      <c r="EG151" s="169">
        <v>0</v>
      </c>
      <c r="EH151" s="59">
        <v>0</v>
      </c>
      <c r="EI151" s="155">
        <v>2.5100000000000001E-2</v>
      </c>
      <c r="EJ151" s="172">
        <v>1.0294999999999999</v>
      </c>
      <c r="EK151" s="173"/>
      <c r="EL151" s="169">
        <v>0</v>
      </c>
      <c r="EM151" s="169">
        <v>0</v>
      </c>
      <c r="EN151" s="59"/>
      <c r="EO151" s="172"/>
      <c r="ES151" s="57">
        <f t="shared" si="174"/>
        <v>1.0294999999999999</v>
      </c>
      <c r="ET151" s="57">
        <f t="shared" si="175"/>
        <v>0</v>
      </c>
      <c r="EU151" s="31"/>
      <c r="EV151" s="61">
        <f t="shared" si="165"/>
        <v>2.1912578921806709</v>
      </c>
      <c r="EW151" s="62"/>
      <c r="EX151" s="203"/>
      <c r="EY151" s="32"/>
      <c r="EZ151" s="158">
        <f t="shared" si="166"/>
        <v>2.2559000000000005</v>
      </c>
      <c r="FA151" s="158">
        <f t="shared" si="167"/>
        <v>2.2559000000000005</v>
      </c>
      <c r="FH151" s="174">
        <f t="shared" si="176"/>
        <v>142.57288000000005</v>
      </c>
      <c r="FJ151" s="87">
        <v>1.3768</v>
      </c>
      <c r="FK151" s="176">
        <f t="shared" si="177"/>
        <v>1.5915586084984537</v>
      </c>
      <c r="FL151" s="87">
        <v>1.3768</v>
      </c>
      <c r="FM151" s="87">
        <f t="shared" si="178"/>
        <v>0</v>
      </c>
      <c r="FO151" s="88">
        <f t="shared" si="168"/>
        <v>142.57288000000005</v>
      </c>
      <c r="FP151" s="79">
        <f t="shared" si="169"/>
        <v>0</v>
      </c>
      <c r="FS151" s="79">
        <f t="shared" si="170"/>
        <v>65.064400000000006</v>
      </c>
      <c r="FT151" s="79">
        <f t="shared" si="171"/>
        <v>0</v>
      </c>
      <c r="FU151" s="79">
        <f t="shared" si="179"/>
        <v>2.1912578921806709</v>
      </c>
      <c r="FV151" s="79" t="e">
        <f t="shared" si="179"/>
        <v>#DIV/0!</v>
      </c>
      <c r="FY151" s="79">
        <f t="shared" si="180"/>
        <v>142.57288000000005</v>
      </c>
      <c r="FZ151" s="79">
        <f t="shared" si="181"/>
        <v>0</v>
      </c>
      <c r="GB151" s="178">
        <f t="shared" si="182"/>
        <v>63.200000000000017</v>
      </c>
      <c r="GC151" s="178">
        <f t="shared" si="183"/>
        <v>0</v>
      </c>
      <c r="GG151" s="14">
        <v>1.7764</v>
      </c>
      <c r="GH151" s="175">
        <f t="shared" si="184"/>
        <v>1.2699279441567217</v>
      </c>
      <c r="GI151" s="14">
        <v>1.7764</v>
      </c>
      <c r="GJ151" s="175">
        <f t="shared" si="185"/>
        <v>1.2699279441567217</v>
      </c>
      <c r="GK151" s="175">
        <f t="shared" si="150"/>
        <v>0</v>
      </c>
      <c r="GN151" s="14">
        <v>2.2002999999999999</v>
      </c>
      <c r="GO151" s="175">
        <f t="shared" si="186"/>
        <v>1.2386286872326053</v>
      </c>
      <c r="GP151" s="179">
        <f t="shared" si="187"/>
        <v>1.0252692814616191</v>
      </c>
      <c r="GQ151" s="14">
        <v>2.2002999999999999</v>
      </c>
      <c r="GR151" s="175">
        <f t="shared" si="188"/>
        <v>1.2386286872326053</v>
      </c>
      <c r="GS151" s="175">
        <f t="shared" si="189"/>
        <v>1.0252692814616191</v>
      </c>
      <c r="GV151" s="32">
        <f t="shared" si="190"/>
        <v>142.57288000000005</v>
      </c>
      <c r="GW151" s="32">
        <f t="shared" si="191"/>
        <v>0</v>
      </c>
      <c r="GX151" s="180">
        <f t="shared" si="192"/>
        <v>142.57288000000005</v>
      </c>
      <c r="GZ151" s="32">
        <f t="shared" si="193"/>
        <v>2.2559000000000005</v>
      </c>
      <c r="HA151" s="32" t="e">
        <f t="shared" si="194"/>
        <v>#DIV/0!</v>
      </c>
      <c r="HB151" s="32">
        <f t="shared" si="195"/>
        <v>2.2559000000000005</v>
      </c>
    </row>
    <row r="152" spans="1:210" ht="19.2" customHeight="1" x14ac:dyDescent="0.3">
      <c r="A152" s="50">
        <v>144</v>
      </c>
      <c r="B152" s="51" t="s">
        <v>748</v>
      </c>
      <c r="C152" s="51"/>
      <c r="D152" s="52">
        <v>2</v>
      </c>
      <c r="E152" s="52">
        <v>3</v>
      </c>
      <c r="F152" s="63">
        <v>16</v>
      </c>
      <c r="G152" s="54" t="s">
        <v>17</v>
      </c>
      <c r="H152" s="181" t="s">
        <v>8</v>
      </c>
      <c r="I152" s="55">
        <f t="shared" si="172"/>
        <v>934.3</v>
      </c>
      <c r="J152" s="55">
        <f t="shared" si="152"/>
        <v>0</v>
      </c>
      <c r="K152" s="55">
        <f t="shared" si="153"/>
        <v>0</v>
      </c>
      <c r="L152" s="56">
        <v>934.3</v>
      </c>
      <c r="M152" s="56">
        <v>934.3</v>
      </c>
      <c r="N152" s="56">
        <f t="shared" si="173"/>
        <v>934.3</v>
      </c>
      <c r="O152" s="56">
        <v>0</v>
      </c>
      <c r="P152" s="56">
        <v>0</v>
      </c>
      <c r="Q152" s="55"/>
      <c r="R152" s="55">
        <v>934.3</v>
      </c>
      <c r="S152" s="55"/>
      <c r="T152" s="55">
        <v>0</v>
      </c>
      <c r="U152" s="152">
        <v>934.3</v>
      </c>
      <c r="V152" s="12">
        <v>0.15559999999999999</v>
      </c>
      <c r="W152" s="12">
        <v>9.8400000000000001E-2</v>
      </c>
      <c r="X152" s="12">
        <v>0.31380000000000002</v>
      </c>
      <c r="Y152" s="12">
        <v>7.3499999999999996E-2</v>
      </c>
      <c r="Z152" s="12">
        <v>0</v>
      </c>
      <c r="AA152" s="12">
        <v>0.57140000000000002</v>
      </c>
      <c r="AB152" s="12">
        <v>0</v>
      </c>
      <c r="AC152" s="12">
        <v>0.63149999999999995</v>
      </c>
      <c r="AD152" s="12">
        <v>0.13539999999999999</v>
      </c>
      <c r="AE152" s="12">
        <v>0</v>
      </c>
      <c r="AF152" s="12">
        <v>1.3184</v>
      </c>
      <c r="AG152" s="12">
        <v>0.20219999999999999</v>
      </c>
      <c r="AH152" s="12">
        <v>0.29520000000000002</v>
      </c>
      <c r="AI152" s="12">
        <v>7.3300000000000004E-2</v>
      </c>
      <c r="AJ152" s="12">
        <v>9.7600000000000006E-2</v>
      </c>
      <c r="AK152" s="12">
        <v>0</v>
      </c>
      <c r="AL152" s="12">
        <v>0.14369999999999999</v>
      </c>
      <c r="AM152" s="12">
        <v>4.41E-2</v>
      </c>
      <c r="AN152" s="12">
        <v>0</v>
      </c>
      <c r="AO152" s="12">
        <v>3.1244000000000001</v>
      </c>
      <c r="AP152" s="12">
        <v>1.1714</v>
      </c>
      <c r="AQ152" s="12">
        <v>0.12230000000000001</v>
      </c>
      <c r="AR152" s="12">
        <v>0.81879999999999997</v>
      </c>
      <c r="AS152" s="12">
        <v>0.17269999999999999</v>
      </c>
      <c r="AT152" s="12">
        <v>2.8000000000000001E-2</v>
      </c>
      <c r="AU152" s="12">
        <v>0.46529999999999999</v>
      </c>
      <c r="AV152" s="12">
        <v>0</v>
      </c>
      <c r="AW152" s="188">
        <v>10.057</v>
      </c>
      <c r="AX152" s="13">
        <v>0.50290000000000001</v>
      </c>
      <c r="AY152" s="189">
        <f t="shared" si="154"/>
        <v>0.49669999999999997</v>
      </c>
      <c r="AZ152" s="189">
        <f t="shared" si="155"/>
        <v>6.2000000000000388E-3</v>
      </c>
      <c r="BA152" s="14">
        <v>10.559900000000001</v>
      </c>
      <c r="BB152" s="190">
        <f>BA152-'[1]Тариф 26 свод без  ПДВ'!AU152</f>
        <v>-1.0999999999992127E-3</v>
      </c>
      <c r="BC152" s="12">
        <v>0</v>
      </c>
      <c r="BD152" s="12">
        <v>0</v>
      </c>
      <c r="BE152" s="12">
        <v>0</v>
      </c>
      <c r="BF152" s="191">
        <v>10.057</v>
      </c>
      <c r="BG152" s="190">
        <v>0.50290000000000001</v>
      </c>
      <c r="BH152" s="190"/>
      <c r="BI152" s="190"/>
      <c r="BJ152" s="14">
        <v>10.559900000000001</v>
      </c>
      <c r="BK152" s="60"/>
      <c r="BL152" s="60">
        <v>4.4771000000000019</v>
      </c>
      <c r="BM152" s="60">
        <v>0.22389999999999999</v>
      </c>
      <c r="BN152" s="14">
        <v>4.7010000000000023</v>
      </c>
      <c r="BO152" s="14"/>
      <c r="BP152" s="157"/>
      <c r="BQ152" s="158">
        <f>BJ152-'[1]Тариф 26 свод без  ПДВ'!BG152</f>
        <v>-1.0999999999992127E-3</v>
      </c>
      <c r="BR152" s="77">
        <f>'[1]Тариф 26 свод без  ПДВ'!BG152</f>
        <v>10.561</v>
      </c>
      <c r="BS152" s="159">
        <f t="shared" si="156"/>
        <v>-1.0999999999992127E-3</v>
      </c>
      <c r="BU152" s="77">
        <f>'[1]Тариф 26 свод без  ПДВ'!AU152</f>
        <v>10.561</v>
      </c>
      <c r="BV152" s="159">
        <f t="shared" si="157"/>
        <v>-1.0999999999992127E-3</v>
      </c>
      <c r="BX152" s="95">
        <v>5.1661000000000001</v>
      </c>
      <c r="BY152" s="95">
        <v>5.1661000000000001</v>
      </c>
      <c r="BZ152" s="95"/>
      <c r="CA152" s="182">
        <f t="shared" si="158"/>
        <v>2.0440758018621397</v>
      </c>
      <c r="CB152" s="182">
        <f t="shared" si="159"/>
        <v>2.0440758018621397</v>
      </c>
      <c r="CI152" s="160">
        <f>'[1]0 СВОД'!AYY167</f>
        <v>9866.2018579132855</v>
      </c>
      <c r="CJ152" s="77">
        <f t="shared" si="160"/>
        <v>118394.42229495943</v>
      </c>
      <c r="CM152" s="161">
        <v>150</v>
      </c>
      <c r="CN152" s="162" t="s">
        <v>749</v>
      </c>
      <c r="CO152" s="163">
        <v>2</v>
      </c>
      <c r="CP152" s="163">
        <v>3</v>
      </c>
      <c r="CQ152" s="164" t="s">
        <v>17</v>
      </c>
      <c r="CR152" s="165" t="s">
        <v>8</v>
      </c>
      <c r="CS152" s="166">
        <v>931</v>
      </c>
      <c r="CT152" s="166">
        <v>0</v>
      </c>
      <c r="CU152" s="167">
        <v>0</v>
      </c>
      <c r="CV152" s="168">
        <v>931</v>
      </c>
      <c r="CW152" s="166">
        <v>931</v>
      </c>
      <c r="CX152" s="167">
        <v>0</v>
      </c>
      <c r="CY152" s="166">
        <v>0</v>
      </c>
      <c r="CZ152" s="166"/>
      <c r="DA152" s="166">
        <v>931</v>
      </c>
      <c r="DB152" s="166"/>
      <c r="DC152" s="166">
        <v>0</v>
      </c>
      <c r="DD152" s="59">
        <v>0.15190000000000001</v>
      </c>
      <c r="DE152" s="59">
        <v>0.13569999999999999</v>
      </c>
      <c r="DF152" s="59">
        <v>0.20660000000000001</v>
      </c>
      <c r="DG152" s="59">
        <v>4.3299999999999998E-2</v>
      </c>
      <c r="DH152" s="59">
        <v>0</v>
      </c>
      <c r="DI152" s="59">
        <v>0.2482</v>
      </c>
      <c r="DJ152" s="59">
        <v>4.8099999999999997E-2</v>
      </c>
      <c r="DK152" s="59">
        <v>0.3458</v>
      </c>
      <c r="DL152" s="169">
        <v>0</v>
      </c>
      <c r="DM152" s="59">
        <v>8.2699999999999996E-2</v>
      </c>
      <c r="DN152" s="169">
        <v>0</v>
      </c>
      <c r="DO152" s="170">
        <v>0.71929999999999994</v>
      </c>
      <c r="DP152" s="171">
        <f t="shared" si="161"/>
        <v>1.3184</v>
      </c>
      <c r="DQ152" s="59">
        <v>0.1009</v>
      </c>
      <c r="DR152" s="59">
        <v>0.1772</v>
      </c>
      <c r="DS152" s="59">
        <v>1.89E-2</v>
      </c>
      <c r="DT152" s="59">
        <v>4.6100000000000002E-2</v>
      </c>
      <c r="DU152" s="59">
        <v>0</v>
      </c>
      <c r="DV152" s="59">
        <v>5.04E-2</v>
      </c>
      <c r="DW152" s="59">
        <v>1.4200000000000001E-2</v>
      </c>
      <c r="DX152" s="169">
        <v>0</v>
      </c>
      <c r="DY152" s="59">
        <v>1.6095999999999999</v>
      </c>
      <c r="DZ152" s="171">
        <f t="shared" si="162"/>
        <v>1.9411033797216701</v>
      </c>
      <c r="EA152" s="59">
        <v>0.72660000000000002</v>
      </c>
      <c r="EB152" s="171">
        <f t="shared" si="163"/>
        <v>1.7804844481145059</v>
      </c>
      <c r="EC152" s="59">
        <v>0.47260000000000002</v>
      </c>
      <c r="ED152" s="171">
        <f t="shared" si="164"/>
        <v>1.7325433770630554</v>
      </c>
      <c r="EE152" s="59">
        <v>0.1326</v>
      </c>
      <c r="EF152" s="59">
        <v>1.84E-2</v>
      </c>
      <c r="EG152" s="59">
        <v>0.33079999999999998</v>
      </c>
      <c r="EH152" s="59">
        <v>0</v>
      </c>
      <c r="EI152" s="195">
        <v>0.14199999999999999</v>
      </c>
      <c r="EJ152" s="172">
        <v>5.8219000000000003</v>
      </c>
      <c r="EK152" s="173"/>
      <c r="EL152" s="169">
        <v>0</v>
      </c>
      <c r="EM152" s="169">
        <v>0</v>
      </c>
      <c r="EN152" s="59"/>
      <c r="EO152" s="172"/>
      <c r="ES152" s="57">
        <f t="shared" si="174"/>
        <v>5.8219000000000003</v>
      </c>
      <c r="ET152" s="57">
        <f t="shared" si="175"/>
        <v>0</v>
      </c>
      <c r="EU152" s="31"/>
      <c r="EV152" s="61">
        <f t="shared" si="165"/>
        <v>1.813823665813566</v>
      </c>
      <c r="EW152" s="62"/>
      <c r="EX152" s="159">
        <f t="shared" ref="EX152:EX159" si="205">EY152/1.05</f>
        <v>-2.3721396190476201</v>
      </c>
      <c r="EY152" s="32">
        <f t="shared" ref="EY152:EY159" si="206">ES152*1.386-BJ152</f>
        <v>-2.4907466000000014</v>
      </c>
      <c r="EZ152" s="158">
        <f t="shared" si="166"/>
        <v>10.559900000000001</v>
      </c>
      <c r="FA152" s="159">
        <f t="shared" si="167"/>
        <v>10.559900000000001</v>
      </c>
      <c r="FB152" s="158">
        <f t="shared" ref="FB152:FB153" si="207">ES152*1.34</f>
        <v>7.8013460000000006</v>
      </c>
      <c r="FC152" s="158">
        <f t="shared" ref="FC152:FC153" si="208">EZ152-FB152</f>
        <v>2.7585540000000002</v>
      </c>
      <c r="FD152" s="158"/>
      <c r="FE152" s="158"/>
      <c r="FF152" s="158"/>
      <c r="FG152" s="174"/>
      <c r="FH152" s="174">
        <f t="shared" si="176"/>
        <v>9866.1145699999997</v>
      </c>
      <c r="FI152" s="174"/>
      <c r="FJ152" s="87">
        <v>1.4374001614593173</v>
      </c>
      <c r="FK152" s="176">
        <f t="shared" si="177"/>
        <v>1.2618780173031883</v>
      </c>
      <c r="FM152" s="87" t="e">
        <f t="shared" si="178"/>
        <v>#DIV/0!</v>
      </c>
      <c r="FO152" s="88">
        <f t="shared" si="168"/>
        <v>9866.1145699999997</v>
      </c>
      <c r="FP152" s="79">
        <f t="shared" si="169"/>
        <v>0</v>
      </c>
      <c r="FS152" s="79">
        <f t="shared" si="170"/>
        <v>5439.4011700000001</v>
      </c>
      <c r="FT152" s="79">
        <f t="shared" si="171"/>
        <v>0</v>
      </c>
      <c r="FU152" s="79">
        <f t="shared" si="179"/>
        <v>1.813823665813566</v>
      </c>
      <c r="FV152" s="79" t="e">
        <f t="shared" si="179"/>
        <v>#DIV/0!</v>
      </c>
      <c r="FY152" s="79">
        <f t="shared" si="180"/>
        <v>9866.1145699999997</v>
      </c>
      <c r="FZ152" s="79">
        <f t="shared" si="181"/>
        <v>0</v>
      </c>
      <c r="GB152" s="178">
        <f t="shared" si="182"/>
        <v>934.3</v>
      </c>
      <c r="GC152" s="178">
        <f t="shared" si="183"/>
        <v>0</v>
      </c>
      <c r="GE152" s="196"/>
      <c r="GF152" s="196"/>
      <c r="GG152" s="14">
        <v>8.3153000000000024</v>
      </c>
      <c r="GH152" s="197">
        <f t="shared" si="184"/>
        <v>1.2699361418108785</v>
      </c>
      <c r="GI152" s="14">
        <v>8.3153000000000024</v>
      </c>
      <c r="GJ152" s="197">
        <f t="shared" si="185"/>
        <v>1.2699361418108785</v>
      </c>
      <c r="GK152" s="197">
        <f t="shared" si="150"/>
        <v>0</v>
      </c>
      <c r="GL152" s="196"/>
      <c r="GM152" s="196"/>
      <c r="GN152" s="14">
        <v>10.714399999999999</v>
      </c>
      <c r="GO152" s="197">
        <f t="shared" si="186"/>
        <v>1.288516349380058</v>
      </c>
      <c r="GP152" s="198">
        <f t="shared" si="187"/>
        <v>0.98558015381169284</v>
      </c>
      <c r="GQ152" s="14">
        <v>10.714399999999999</v>
      </c>
      <c r="GR152" s="197">
        <f t="shared" si="188"/>
        <v>1.288516349380058</v>
      </c>
      <c r="GS152" s="197">
        <f t="shared" si="189"/>
        <v>0.98558015381169284</v>
      </c>
      <c r="GT152" s="196"/>
      <c r="GV152" s="32">
        <f t="shared" si="190"/>
        <v>9866.1145699999997</v>
      </c>
      <c r="GW152" s="32">
        <f t="shared" si="191"/>
        <v>0</v>
      </c>
      <c r="GX152" s="180">
        <f t="shared" si="192"/>
        <v>9866.1145699999997</v>
      </c>
      <c r="GZ152" s="32">
        <f t="shared" si="193"/>
        <v>10.559900000000001</v>
      </c>
      <c r="HA152" s="32" t="e">
        <f t="shared" si="194"/>
        <v>#DIV/0!</v>
      </c>
      <c r="HB152" s="32">
        <f t="shared" si="195"/>
        <v>10.559900000000001</v>
      </c>
    </row>
    <row r="153" spans="1:210" ht="19.2" customHeight="1" x14ac:dyDescent="0.3">
      <c r="A153" s="50">
        <v>145</v>
      </c>
      <c r="B153" s="51" t="s">
        <v>750</v>
      </c>
      <c r="C153" s="51"/>
      <c r="D153" s="52">
        <v>2</v>
      </c>
      <c r="E153" s="52">
        <v>4</v>
      </c>
      <c r="F153" s="63">
        <v>16</v>
      </c>
      <c r="G153" s="54" t="s">
        <v>18</v>
      </c>
      <c r="H153" s="181" t="s">
        <v>19</v>
      </c>
      <c r="I153" s="55">
        <f t="shared" si="172"/>
        <v>1034.5999999999999</v>
      </c>
      <c r="J153" s="55">
        <f t="shared" si="152"/>
        <v>0</v>
      </c>
      <c r="K153" s="55">
        <f t="shared" si="153"/>
        <v>0</v>
      </c>
      <c r="L153" s="56">
        <v>1034.5999999999999</v>
      </c>
      <c r="M153" s="56">
        <v>1034.5999999999999</v>
      </c>
      <c r="N153" s="56">
        <f t="shared" si="173"/>
        <v>1034.5999999999999</v>
      </c>
      <c r="O153" s="56">
        <v>0</v>
      </c>
      <c r="P153" s="56">
        <v>0</v>
      </c>
      <c r="Q153" s="55"/>
      <c r="R153" s="55">
        <v>1034.5999999999999</v>
      </c>
      <c r="S153" s="55"/>
      <c r="T153" s="55">
        <v>0</v>
      </c>
      <c r="U153" s="152">
        <v>1034.5999999999999</v>
      </c>
      <c r="V153" s="57">
        <v>0.1406</v>
      </c>
      <c r="W153" s="153">
        <v>7.7399999999999997E-2</v>
      </c>
      <c r="X153" s="57">
        <v>0.33710000000000001</v>
      </c>
      <c r="Y153" s="57">
        <v>7.3800000000000004E-2</v>
      </c>
      <c r="Z153" s="153">
        <v>0</v>
      </c>
      <c r="AA153" s="57">
        <v>0.73770000000000002</v>
      </c>
      <c r="AB153" s="153">
        <v>0</v>
      </c>
      <c r="AC153" s="57">
        <v>0.63149999999999995</v>
      </c>
      <c r="AD153" s="57">
        <v>0.12230000000000001</v>
      </c>
      <c r="AE153" s="57">
        <v>0</v>
      </c>
      <c r="AF153" s="57">
        <v>1.4959</v>
      </c>
      <c r="AG153" s="57">
        <v>0.1641</v>
      </c>
      <c r="AH153" s="57">
        <v>0.27450000000000002</v>
      </c>
      <c r="AI153" s="153">
        <v>7.7200000000000005E-2</v>
      </c>
      <c r="AJ153" s="153">
        <v>0.104</v>
      </c>
      <c r="AK153" s="153">
        <v>0</v>
      </c>
      <c r="AL153" s="57">
        <v>0.1852</v>
      </c>
      <c r="AM153" s="153">
        <v>4.3700000000000003E-2</v>
      </c>
      <c r="AN153" s="57">
        <v>0</v>
      </c>
      <c r="AO153" s="153">
        <v>2.5657000000000001</v>
      </c>
      <c r="AP153" s="57">
        <v>1.3654999999999999</v>
      </c>
      <c r="AQ153" s="57">
        <v>6.9400000000000003E-2</v>
      </c>
      <c r="AR153" s="153">
        <v>1.3845000000000001</v>
      </c>
      <c r="AS153" s="57">
        <v>9.8000000000000004E-2</v>
      </c>
      <c r="AT153" s="57">
        <v>1.5900000000000001E-2</v>
      </c>
      <c r="AU153" s="153">
        <v>0.16009999999999999</v>
      </c>
      <c r="AV153" s="153">
        <v>0</v>
      </c>
      <c r="AW153" s="154">
        <v>10.124100000000002</v>
      </c>
      <c r="AX153" s="58">
        <v>0.50619999999999998</v>
      </c>
      <c r="AY153" s="155">
        <f t="shared" si="154"/>
        <v>0.50270000000000004</v>
      </c>
      <c r="AZ153" s="155">
        <f t="shared" si="155"/>
        <v>3.4999999999999476E-3</v>
      </c>
      <c r="BA153" s="14">
        <v>10.630300000000002</v>
      </c>
      <c r="BB153" s="59">
        <f>BA153-'[1]Тариф 26 свод без  ПДВ'!AU153</f>
        <v>2.400000000001512E-3</v>
      </c>
      <c r="BC153" s="57">
        <v>0</v>
      </c>
      <c r="BD153" s="57">
        <v>0</v>
      </c>
      <c r="BE153" s="57">
        <v>0</v>
      </c>
      <c r="BF153" s="156">
        <v>10.124100000000002</v>
      </c>
      <c r="BG153" s="59">
        <v>0.50619999999999998</v>
      </c>
      <c r="BH153" s="59"/>
      <c r="BI153" s="59"/>
      <c r="BJ153" s="14">
        <v>10.630300000000002</v>
      </c>
      <c r="BK153" s="60"/>
      <c r="BL153" s="60">
        <v>4.6483000000000025</v>
      </c>
      <c r="BM153" s="60">
        <v>0.2324</v>
      </c>
      <c r="BN153" s="14">
        <v>4.8807000000000027</v>
      </c>
      <c r="BO153" s="14"/>
      <c r="BP153" s="157"/>
      <c r="BQ153" s="158">
        <f>BJ153-'[1]Тариф 26 свод без  ПДВ'!BG153</f>
        <v>2.400000000001512E-3</v>
      </c>
      <c r="BR153" s="77">
        <f>'[1]Тариф 26 свод без  ПДВ'!BG153</f>
        <v>10.6279</v>
      </c>
      <c r="BS153" s="159">
        <f t="shared" si="156"/>
        <v>2.400000000001512E-3</v>
      </c>
      <c r="BU153" s="77">
        <f>'[1]Тариф 26 свод без  ПДВ'!AU153</f>
        <v>10.6279</v>
      </c>
      <c r="BV153" s="159">
        <f t="shared" si="157"/>
        <v>2.400000000001512E-3</v>
      </c>
      <c r="BX153" s="95">
        <v>4.5356000000000005</v>
      </c>
      <c r="BY153" s="95">
        <v>5.8449999999999998</v>
      </c>
      <c r="BZ153" s="95"/>
      <c r="CA153" s="182">
        <f t="shared" si="158"/>
        <v>2.3437472440250464</v>
      </c>
      <c r="CB153" s="182">
        <f t="shared" si="159"/>
        <v>1.8186997433704024</v>
      </c>
      <c r="CD153" s="160">
        <f>L153-CE153</f>
        <v>1034.5999999999999</v>
      </c>
      <c r="CE153" s="160">
        <f>T153</f>
        <v>0</v>
      </c>
      <c r="CF153" s="77">
        <f>CD153*BA153</f>
        <v>10998.108380000001</v>
      </c>
      <c r="CG153" s="77">
        <f>BJ153*CE153</f>
        <v>0</v>
      </c>
      <c r="CI153" s="160">
        <f>'[1]0 СВОД'!AYY168</f>
        <v>10997.974801386055</v>
      </c>
      <c r="CJ153" s="77">
        <f t="shared" si="160"/>
        <v>131975.69761663268</v>
      </c>
      <c r="CM153" s="161">
        <v>151</v>
      </c>
      <c r="CN153" s="162" t="s">
        <v>751</v>
      </c>
      <c r="CO153" s="163">
        <v>2</v>
      </c>
      <c r="CP153" s="163">
        <v>4</v>
      </c>
      <c r="CQ153" s="164" t="s">
        <v>18</v>
      </c>
      <c r="CR153" s="165" t="s">
        <v>19</v>
      </c>
      <c r="CS153" s="166">
        <v>1034.3</v>
      </c>
      <c r="CT153" s="166">
        <v>0</v>
      </c>
      <c r="CU153" s="167">
        <v>0</v>
      </c>
      <c r="CV153" s="168">
        <v>1034.3</v>
      </c>
      <c r="CW153" s="166">
        <v>1034.3</v>
      </c>
      <c r="CX153" s="167">
        <v>0</v>
      </c>
      <c r="CY153" s="166">
        <v>0</v>
      </c>
      <c r="CZ153" s="166"/>
      <c r="DA153" s="166">
        <v>1034.3</v>
      </c>
      <c r="DB153" s="166"/>
      <c r="DC153" s="166">
        <v>0</v>
      </c>
      <c r="DD153" s="59">
        <v>0.1244</v>
      </c>
      <c r="DE153" s="59">
        <v>0.1258</v>
      </c>
      <c r="DF153" s="59">
        <v>0.2213</v>
      </c>
      <c r="DG153" s="59">
        <v>4.3400000000000001E-2</v>
      </c>
      <c r="DH153" s="59">
        <v>0</v>
      </c>
      <c r="DI153" s="59">
        <v>0.32040000000000002</v>
      </c>
      <c r="DJ153" s="59">
        <v>4.8099999999999997E-2</v>
      </c>
      <c r="DK153" s="59">
        <v>0.3458</v>
      </c>
      <c r="DL153" s="169">
        <v>0</v>
      </c>
      <c r="DM153" s="59">
        <v>7.4399999999999994E-2</v>
      </c>
      <c r="DN153" s="169">
        <v>0</v>
      </c>
      <c r="DO153" s="170">
        <v>0.7911999999999999</v>
      </c>
      <c r="DP153" s="171">
        <f t="shared" si="161"/>
        <v>1.4959</v>
      </c>
      <c r="DQ153" s="59">
        <v>7.8799999999999995E-2</v>
      </c>
      <c r="DR153" s="59">
        <v>0.1643</v>
      </c>
      <c r="DS153" s="59">
        <v>0.02</v>
      </c>
      <c r="DT153" s="59">
        <v>4.9000000000000002E-2</v>
      </c>
      <c r="DU153" s="59">
        <v>0</v>
      </c>
      <c r="DV153" s="59">
        <v>6.4799999999999996E-2</v>
      </c>
      <c r="DW153" s="59">
        <v>1.4E-2</v>
      </c>
      <c r="DX153" s="169">
        <v>0</v>
      </c>
      <c r="DY153" s="59">
        <v>1.3682000000000001</v>
      </c>
      <c r="DZ153" s="171">
        <f t="shared" si="162"/>
        <v>1.8752375383715831</v>
      </c>
      <c r="EA153" s="59">
        <v>0.84150000000000003</v>
      </c>
      <c r="EB153" s="171">
        <f t="shared" si="163"/>
        <v>1.7051693404634578</v>
      </c>
      <c r="EC153" s="59">
        <v>0.69010000000000005</v>
      </c>
      <c r="ED153" s="171">
        <f t="shared" si="164"/>
        <v>2.0062309810172438</v>
      </c>
      <c r="EE153" s="59">
        <v>7.4999999999999997E-2</v>
      </c>
      <c r="EF153" s="59">
        <v>1.04E-2</v>
      </c>
      <c r="EG153" s="59">
        <v>0.2084</v>
      </c>
      <c r="EH153" s="59">
        <v>0</v>
      </c>
      <c r="EI153" s="195">
        <v>0.14199999999999999</v>
      </c>
      <c r="EJ153" s="172">
        <v>5.8213000000000008</v>
      </c>
      <c r="EK153" s="173"/>
      <c r="EL153" s="169">
        <v>0</v>
      </c>
      <c r="EM153" s="169">
        <v>0</v>
      </c>
      <c r="EN153" s="59"/>
      <c r="EO153" s="172"/>
      <c r="ES153" s="57">
        <f t="shared" si="174"/>
        <v>5.8213000000000008</v>
      </c>
      <c r="ET153" s="57">
        <f t="shared" si="175"/>
        <v>0</v>
      </c>
      <c r="EU153" s="31"/>
      <c r="EV153" s="61">
        <f t="shared" si="165"/>
        <v>1.8261041348152476</v>
      </c>
      <c r="EW153" s="61"/>
      <c r="EX153" s="159">
        <f t="shared" si="205"/>
        <v>-2.4399792380952401</v>
      </c>
      <c r="EY153" s="32">
        <f t="shared" si="206"/>
        <v>-2.5619782000000022</v>
      </c>
      <c r="EZ153" s="158">
        <f t="shared" si="166"/>
        <v>10.630300000000002</v>
      </c>
      <c r="FA153" s="159">
        <f t="shared" si="167"/>
        <v>10.630300000000002</v>
      </c>
      <c r="FB153" s="158">
        <f t="shared" si="207"/>
        <v>7.8005420000000019</v>
      </c>
      <c r="FC153" s="158">
        <f t="shared" si="208"/>
        <v>2.829758</v>
      </c>
      <c r="FD153" s="158"/>
      <c r="FE153" s="158"/>
      <c r="FF153" s="158"/>
      <c r="FG153" s="174"/>
      <c r="FH153" s="174">
        <f t="shared" si="176"/>
        <v>10998.108380000001</v>
      </c>
      <c r="FI153" s="174"/>
      <c r="FJ153" s="87">
        <v>1.4521498634325665</v>
      </c>
      <c r="FK153" s="176">
        <f t="shared" si="177"/>
        <v>1.2575176851917573</v>
      </c>
      <c r="FM153" s="87" t="e">
        <f t="shared" si="178"/>
        <v>#DIV/0!</v>
      </c>
      <c r="FO153" s="88">
        <f t="shared" si="168"/>
        <v>10998.108380000001</v>
      </c>
      <c r="FP153" s="79">
        <f t="shared" si="169"/>
        <v>0</v>
      </c>
      <c r="FS153" s="79">
        <f t="shared" si="170"/>
        <v>6022.7169800000001</v>
      </c>
      <c r="FT153" s="79">
        <f t="shared" si="171"/>
        <v>0</v>
      </c>
      <c r="FU153" s="79">
        <f t="shared" si="179"/>
        <v>1.8261041348152476</v>
      </c>
      <c r="FV153" s="79" t="e">
        <f t="shared" si="179"/>
        <v>#DIV/0!</v>
      </c>
      <c r="FY153" s="79">
        <f t="shared" si="180"/>
        <v>10998.108380000001</v>
      </c>
      <c r="FZ153" s="79">
        <f t="shared" si="181"/>
        <v>0</v>
      </c>
      <c r="GB153" s="178">
        <f t="shared" si="182"/>
        <v>1034.5999999999999</v>
      </c>
      <c r="GC153" s="178">
        <f t="shared" si="183"/>
        <v>0</v>
      </c>
      <c r="GG153" s="14">
        <v>8.3706999999999994</v>
      </c>
      <c r="GH153" s="175">
        <f t="shared" si="184"/>
        <v>1.269941581946552</v>
      </c>
      <c r="GI153" s="14">
        <v>8.3706999999999994</v>
      </c>
      <c r="GJ153" s="175">
        <f t="shared" si="185"/>
        <v>1.269941581946552</v>
      </c>
      <c r="GK153" s="175">
        <f t="shared" si="150"/>
        <v>0</v>
      </c>
      <c r="GN153" s="14">
        <v>11.081199999999999</v>
      </c>
      <c r="GO153" s="175">
        <f t="shared" si="186"/>
        <v>1.3238080447274421</v>
      </c>
      <c r="GP153" s="179">
        <f t="shared" si="187"/>
        <v>0.95930946106919857</v>
      </c>
      <c r="GQ153" s="14">
        <v>11.081199999999999</v>
      </c>
      <c r="GR153" s="175">
        <f t="shared" si="188"/>
        <v>1.3238080447274421</v>
      </c>
      <c r="GS153" s="175">
        <f t="shared" si="189"/>
        <v>0.95930946106919857</v>
      </c>
      <c r="GV153" s="32">
        <f t="shared" si="190"/>
        <v>10998.108380000001</v>
      </c>
      <c r="GW153" s="32">
        <f t="shared" si="191"/>
        <v>0</v>
      </c>
      <c r="GX153" s="180">
        <f t="shared" si="192"/>
        <v>10998.108380000001</v>
      </c>
      <c r="GZ153" s="32">
        <f t="shared" si="193"/>
        <v>10.630300000000002</v>
      </c>
      <c r="HA153" s="32" t="e">
        <f t="shared" si="194"/>
        <v>#DIV/0!</v>
      </c>
      <c r="HB153" s="32">
        <f t="shared" si="195"/>
        <v>10.630300000000002</v>
      </c>
    </row>
    <row r="154" spans="1:210" ht="19.2" customHeight="1" x14ac:dyDescent="0.3">
      <c r="A154" s="50">
        <v>146</v>
      </c>
      <c r="B154" s="51" t="s">
        <v>752</v>
      </c>
      <c r="C154" s="51"/>
      <c r="D154" s="52">
        <v>3</v>
      </c>
      <c r="E154" s="52">
        <v>5</v>
      </c>
      <c r="F154" s="63">
        <v>30</v>
      </c>
      <c r="G154" s="54" t="s">
        <v>36</v>
      </c>
      <c r="H154" s="181" t="s">
        <v>37</v>
      </c>
      <c r="I154" s="55">
        <f t="shared" si="172"/>
        <v>1916.6</v>
      </c>
      <c r="J154" s="55">
        <f t="shared" si="152"/>
        <v>0</v>
      </c>
      <c r="K154" s="55">
        <f t="shared" si="153"/>
        <v>0</v>
      </c>
      <c r="L154" s="56">
        <v>1916.6</v>
      </c>
      <c r="M154" s="56">
        <v>1916.6</v>
      </c>
      <c r="N154" s="56">
        <f t="shared" si="173"/>
        <v>1916.6</v>
      </c>
      <c r="O154" s="56">
        <v>0</v>
      </c>
      <c r="P154" s="56">
        <v>0</v>
      </c>
      <c r="Q154" s="55"/>
      <c r="R154" s="55">
        <v>1916.6</v>
      </c>
      <c r="S154" s="55"/>
      <c r="T154" s="55">
        <v>0</v>
      </c>
      <c r="U154" s="152">
        <v>1916.6</v>
      </c>
      <c r="V154" s="57">
        <v>0.1888</v>
      </c>
      <c r="W154" s="153">
        <v>0.1113</v>
      </c>
      <c r="X154" s="57">
        <v>0</v>
      </c>
      <c r="Y154" s="57">
        <v>0</v>
      </c>
      <c r="Z154" s="153">
        <v>0</v>
      </c>
      <c r="AA154" s="57">
        <v>0.7399</v>
      </c>
      <c r="AB154" s="153">
        <v>0</v>
      </c>
      <c r="AC154" s="57">
        <v>0.61070000000000002</v>
      </c>
      <c r="AD154" s="57">
        <v>0.37130000000000002</v>
      </c>
      <c r="AE154" s="57">
        <v>0</v>
      </c>
      <c r="AF154" s="57">
        <v>2.2181000000000002</v>
      </c>
      <c r="AG154" s="57">
        <v>0.24790000000000001</v>
      </c>
      <c r="AH154" s="57">
        <v>0.39479999999999998</v>
      </c>
      <c r="AI154" s="153">
        <v>0</v>
      </c>
      <c r="AJ154" s="153">
        <v>0</v>
      </c>
      <c r="AK154" s="153">
        <v>0</v>
      </c>
      <c r="AL154" s="57">
        <v>0.29849999999999999</v>
      </c>
      <c r="AM154" s="153">
        <v>3.39E-2</v>
      </c>
      <c r="AN154" s="57">
        <v>0</v>
      </c>
      <c r="AO154" s="153">
        <v>1.9443999999999999</v>
      </c>
      <c r="AP154" s="57">
        <v>1.6437999999999999</v>
      </c>
      <c r="AQ154" s="57">
        <v>5.6800000000000003E-2</v>
      </c>
      <c r="AR154" s="153">
        <v>0.65259999999999996</v>
      </c>
      <c r="AS154" s="57">
        <v>0.1143</v>
      </c>
      <c r="AT154" s="57">
        <v>1.8499999999999999E-2</v>
      </c>
      <c r="AU154" s="153">
        <v>0.3241</v>
      </c>
      <c r="AV154" s="153">
        <v>0</v>
      </c>
      <c r="AW154" s="154">
        <v>9.9696999999999996</v>
      </c>
      <c r="AX154" s="58">
        <v>0.4985</v>
      </c>
      <c r="AY154" s="155">
        <f t="shared" si="154"/>
        <v>0.49559999999999998</v>
      </c>
      <c r="AZ154" s="155">
        <f t="shared" si="155"/>
        <v>2.9000000000000137E-3</v>
      </c>
      <c r="BA154" s="14">
        <v>10.4682</v>
      </c>
      <c r="BB154" s="59">
        <f>BA154-'[1]Тариф 26 свод без  ПДВ'!AU154</f>
        <v>-5.6000000000011596E-3</v>
      </c>
      <c r="BC154" s="57">
        <v>0</v>
      </c>
      <c r="BD154" s="57">
        <v>0</v>
      </c>
      <c r="BE154" s="57">
        <v>0</v>
      </c>
      <c r="BF154" s="156">
        <v>9.9696999999999996</v>
      </c>
      <c r="BG154" s="59">
        <v>0.4985</v>
      </c>
      <c r="BH154" s="59"/>
      <c r="BI154" s="59"/>
      <c r="BJ154" s="14">
        <v>10.4682</v>
      </c>
      <c r="BK154" s="60"/>
      <c r="BL154" s="60">
        <v>5.4048000000000007</v>
      </c>
      <c r="BM154" s="60">
        <v>0.2702</v>
      </c>
      <c r="BN154" s="14">
        <v>5.6750000000000007</v>
      </c>
      <c r="BO154" s="14"/>
      <c r="BP154" s="157"/>
      <c r="BQ154" s="158">
        <f>BJ154-'[1]Тариф 26 свод без  ПДВ'!BG154</f>
        <v>-5.6000000000011596E-3</v>
      </c>
      <c r="BR154" s="77">
        <f>'[1]Тариф 26 свод без  ПДВ'!BG154</f>
        <v>10.473800000000001</v>
      </c>
      <c r="BS154" s="159">
        <f t="shared" si="156"/>
        <v>-5.6000000000011596E-3</v>
      </c>
      <c r="BU154" s="77">
        <f>'[1]Тариф 26 свод без  ПДВ'!AU154</f>
        <v>10.473800000000001</v>
      </c>
      <c r="BV154" s="159">
        <f t="shared" si="157"/>
        <v>-5.6000000000011596E-3</v>
      </c>
      <c r="BX154" s="95">
        <v>3.8203</v>
      </c>
      <c r="BY154" s="95">
        <v>4.6956000000000007</v>
      </c>
      <c r="BZ154" s="95"/>
      <c r="CA154" s="207">
        <f t="shared" si="158"/>
        <v>2.7401512970185586</v>
      </c>
      <c r="CB154" s="207">
        <f t="shared" si="159"/>
        <v>2.2293636595962174</v>
      </c>
      <c r="CD154" s="160">
        <f>L154-CE154</f>
        <v>1916.6</v>
      </c>
      <c r="CE154" s="160">
        <f>T154</f>
        <v>0</v>
      </c>
      <c r="CF154" s="77">
        <f>CD154*BA154</f>
        <v>20063.35212</v>
      </c>
      <c r="CG154" s="77">
        <f>BJ154*CE154</f>
        <v>0</v>
      </c>
      <c r="CI154" s="160">
        <f>'[1]0 СВОД'!AYY169</f>
        <v>20063.411359711125</v>
      </c>
      <c r="CJ154" s="77">
        <f t="shared" si="160"/>
        <v>240760.93631653348</v>
      </c>
      <c r="CM154" s="161">
        <v>152</v>
      </c>
      <c r="CN154" s="228" t="s">
        <v>753</v>
      </c>
      <c r="CO154" s="163">
        <v>3</v>
      </c>
      <c r="CP154" s="163">
        <v>5</v>
      </c>
      <c r="CQ154" s="164" t="s">
        <v>36</v>
      </c>
      <c r="CR154" s="165" t="s">
        <v>37</v>
      </c>
      <c r="CS154" s="166">
        <v>1917.7</v>
      </c>
      <c r="CT154" s="166">
        <v>0</v>
      </c>
      <c r="CU154" s="167">
        <v>0</v>
      </c>
      <c r="CV154" s="168">
        <v>1917.7</v>
      </c>
      <c r="CW154" s="166">
        <v>1917.7</v>
      </c>
      <c r="CX154" s="167">
        <v>0</v>
      </c>
      <c r="CY154" s="166">
        <v>0</v>
      </c>
      <c r="CZ154" s="166"/>
      <c r="DA154" s="166">
        <v>1917.7</v>
      </c>
      <c r="DB154" s="166"/>
      <c r="DC154" s="166">
        <v>0</v>
      </c>
      <c r="DD154" s="59">
        <v>0.1598</v>
      </c>
      <c r="DE154" s="59">
        <v>0.18079999999999999</v>
      </c>
      <c r="DF154" s="59">
        <v>0</v>
      </c>
      <c r="DG154" s="59">
        <v>0</v>
      </c>
      <c r="DH154" s="59">
        <v>0</v>
      </c>
      <c r="DI154" s="59">
        <v>0.32769999999999999</v>
      </c>
      <c r="DJ154" s="59">
        <v>4.8099999999999997E-2</v>
      </c>
      <c r="DK154" s="59">
        <v>0.3337</v>
      </c>
      <c r="DL154" s="169">
        <v>0</v>
      </c>
      <c r="DM154" s="59">
        <v>0.2258</v>
      </c>
      <c r="DN154" s="169">
        <v>0</v>
      </c>
      <c r="DO154" s="229">
        <v>1.0645</v>
      </c>
      <c r="DP154" s="171">
        <f t="shared" si="161"/>
        <v>2.2181000000000002</v>
      </c>
      <c r="DQ154" s="59">
        <v>0.1192</v>
      </c>
      <c r="DR154" s="59">
        <v>0.2361</v>
      </c>
      <c r="DS154" s="59">
        <v>0</v>
      </c>
      <c r="DT154" s="59">
        <v>0</v>
      </c>
      <c r="DU154" s="59">
        <v>0</v>
      </c>
      <c r="DV154" s="59">
        <v>0.1042</v>
      </c>
      <c r="DW154" s="59">
        <v>9.2999999999999992E-3</v>
      </c>
      <c r="DX154" s="169">
        <v>0</v>
      </c>
      <c r="DY154" s="59">
        <v>1.0250999999999999</v>
      </c>
      <c r="DZ154" s="171">
        <f t="shared" si="162"/>
        <v>1.8967905570188275</v>
      </c>
      <c r="EA154" s="59">
        <v>0.96250000000000002</v>
      </c>
      <c r="EB154" s="171">
        <f t="shared" si="163"/>
        <v>1.7668571428571427</v>
      </c>
      <c r="EC154" s="59">
        <v>0.38059999999999999</v>
      </c>
      <c r="ED154" s="171">
        <f t="shared" si="164"/>
        <v>1.7146610614818707</v>
      </c>
      <c r="EE154" s="59">
        <v>8.7400000000000005E-2</v>
      </c>
      <c r="EF154" s="59">
        <v>1.21E-2</v>
      </c>
      <c r="EG154" s="59">
        <v>0.3342</v>
      </c>
      <c r="EH154" s="59">
        <v>0</v>
      </c>
      <c r="EI154" s="230">
        <v>0.14030000000000001</v>
      </c>
      <c r="EJ154" s="172">
        <v>5.7514000000000003</v>
      </c>
      <c r="EK154" s="173"/>
      <c r="EL154" s="169">
        <v>0</v>
      </c>
      <c r="EM154" s="169">
        <v>0</v>
      </c>
      <c r="EN154" s="59"/>
      <c r="EO154" s="172"/>
      <c r="ES154" s="57">
        <f t="shared" si="174"/>
        <v>5.7514000000000003</v>
      </c>
      <c r="ET154" s="57">
        <f t="shared" si="175"/>
        <v>0</v>
      </c>
      <c r="EU154" s="31"/>
      <c r="EV154" s="61">
        <f t="shared" si="165"/>
        <v>1.8201133637027505</v>
      </c>
      <c r="EW154" s="61" t="s">
        <v>754</v>
      </c>
      <c r="EX154" s="159">
        <f t="shared" si="205"/>
        <v>-2.3778662857142856</v>
      </c>
      <c r="EY154" s="32">
        <f t="shared" si="206"/>
        <v>-2.4967595999999999</v>
      </c>
      <c r="EZ154" s="158">
        <f t="shared" si="166"/>
        <v>10.4682</v>
      </c>
      <c r="FA154" s="158">
        <f t="shared" si="167"/>
        <v>10.4682</v>
      </c>
      <c r="FB154" s="32">
        <f>(BJ154-EZ154)*L154</f>
        <v>0</v>
      </c>
      <c r="FH154" s="174">
        <f t="shared" si="176"/>
        <v>20063.35212</v>
      </c>
      <c r="FJ154" s="87">
        <v>1.3700316444691727</v>
      </c>
      <c r="FK154" s="176">
        <f>EV154/FJ154</f>
        <v>1.3285192141733082</v>
      </c>
      <c r="FM154" s="87" t="e">
        <f>EW154/FL154</f>
        <v>#VALUE!</v>
      </c>
      <c r="FO154" s="88">
        <f t="shared" si="168"/>
        <v>20063.35212</v>
      </c>
      <c r="FP154" s="79">
        <f t="shared" si="169"/>
        <v>0</v>
      </c>
      <c r="FS154" s="79">
        <f t="shared" si="170"/>
        <v>11023.133239999999</v>
      </c>
      <c r="FT154" s="79">
        <f t="shared" si="171"/>
        <v>0</v>
      </c>
      <c r="FU154" s="79">
        <f t="shared" si="179"/>
        <v>1.8201133637027507</v>
      </c>
      <c r="FV154" s="79" t="e">
        <f t="shared" si="179"/>
        <v>#DIV/0!</v>
      </c>
      <c r="FY154" s="79">
        <f t="shared" si="180"/>
        <v>20063.35212</v>
      </c>
      <c r="FZ154" s="79">
        <f t="shared" si="181"/>
        <v>0</v>
      </c>
      <c r="GB154" s="178">
        <f t="shared" si="182"/>
        <v>1916.6</v>
      </c>
      <c r="GC154" s="178">
        <f t="shared" si="183"/>
        <v>0</v>
      </c>
      <c r="GG154" s="14">
        <v>8.2431000000000001</v>
      </c>
      <c r="GH154" s="175">
        <f t="shared" si="184"/>
        <v>1.2699348546056701</v>
      </c>
      <c r="GI154" s="14">
        <v>8.2431000000000001</v>
      </c>
      <c r="GJ154" s="175">
        <f t="shared" si="185"/>
        <v>1.2699348546056701</v>
      </c>
      <c r="GK154" s="175">
        <f t="shared" si="150"/>
        <v>0</v>
      </c>
      <c r="GN154" s="14">
        <v>10.283000000000001</v>
      </c>
      <c r="GO154" s="175">
        <f t="shared" si="186"/>
        <v>1.2474675789448146</v>
      </c>
      <c r="GP154" s="179">
        <f t="shared" si="187"/>
        <v>1.0180103082757948</v>
      </c>
      <c r="GQ154" s="14">
        <v>10.283000000000001</v>
      </c>
      <c r="GR154" s="175">
        <f t="shared" si="188"/>
        <v>1.2474675789448146</v>
      </c>
      <c r="GS154" s="175">
        <f t="shared" si="189"/>
        <v>1.0180103082757948</v>
      </c>
      <c r="GV154" s="32">
        <f t="shared" si="190"/>
        <v>20063.35212</v>
      </c>
      <c r="GW154" s="32">
        <f t="shared" si="191"/>
        <v>0</v>
      </c>
      <c r="GX154" s="180">
        <f t="shared" si="192"/>
        <v>20063.35212</v>
      </c>
      <c r="GZ154" s="32">
        <f t="shared" si="193"/>
        <v>10.4682</v>
      </c>
      <c r="HA154" s="32" t="e">
        <f t="shared" si="194"/>
        <v>#DIV/0!</v>
      </c>
      <c r="HB154" s="32">
        <f t="shared" si="195"/>
        <v>10.4682</v>
      </c>
    </row>
    <row r="155" spans="1:210" ht="19.2" customHeight="1" x14ac:dyDescent="0.3">
      <c r="A155" s="50">
        <v>147</v>
      </c>
      <c r="B155" s="51" t="s">
        <v>755</v>
      </c>
      <c r="C155" s="51"/>
      <c r="D155" s="52">
        <v>3</v>
      </c>
      <c r="E155" s="52">
        <v>10</v>
      </c>
      <c r="F155" s="63">
        <v>60</v>
      </c>
      <c r="G155" s="54" t="s">
        <v>38</v>
      </c>
      <c r="H155" s="181" t="s">
        <v>37</v>
      </c>
      <c r="I155" s="55">
        <f t="shared" si="172"/>
        <v>3869.8</v>
      </c>
      <c r="J155" s="55">
        <f t="shared" si="152"/>
        <v>0</v>
      </c>
      <c r="K155" s="55">
        <f t="shared" si="153"/>
        <v>81.599999999999994</v>
      </c>
      <c r="L155" s="56">
        <v>3951.4</v>
      </c>
      <c r="M155" s="56">
        <v>3869.8</v>
      </c>
      <c r="N155" s="56">
        <f t="shared" si="173"/>
        <v>3869.8</v>
      </c>
      <c r="O155" s="56">
        <v>81.599999999999994</v>
      </c>
      <c r="P155" s="56">
        <v>0</v>
      </c>
      <c r="Q155" s="55"/>
      <c r="R155" s="55">
        <v>3951.4</v>
      </c>
      <c r="S155" s="55"/>
      <c r="T155" s="55">
        <v>0</v>
      </c>
      <c r="U155" s="152">
        <v>3951.4</v>
      </c>
      <c r="V155" s="57">
        <v>0.18310000000000001</v>
      </c>
      <c r="W155" s="153">
        <v>0.1062</v>
      </c>
      <c r="X155" s="57">
        <v>0</v>
      </c>
      <c r="Y155" s="57">
        <v>0</v>
      </c>
      <c r="Z155" s="153">
        <v>0</v>
      </c>
      <c r="AA155" s="57">
        <v>0.5</v>
      </c>
      <c r="AB155" s="153">
        <v>0</v>
      </c>
      <c r="AC155" s="57">
        <v>0.61070000000000002</v>
      </c>
      <c r="AD155" s="57">
        <v>0.36020000000000002</v>
      </c>
      <c r="AE155" s="57">
        <v>0</v>
      </c>
      <c r="AF155" s="57">
        <v>1.7619</v>
      </c>
      <c r="AG155" s="57">
        <v>0.23200000000000001</v>
      </c>
      <c r="AH155" s="57">
        <v>0.3765</v>
      </c>
      <c r="AI155" s="153">
        <v>0</v>
      </c>
      <c r="AJ155" s="153">
        <v>0</v>
      </c>
      <c r="AK155" s="153">
        <v>0</v>
      </c>
      <c r="AL155" s="57">
        <v>0.2006</v>
      </c>
      <c r="AM155" s="153">
        <v>3.3599999999999998E-2</v>
      </c>
      <c r="AN155" s="57">
        <v>0</v>
      </c>
      <c r="AO155" s="153">
        <v>3.1417000000000002</v>
      </c>
      <c r="AP155" s="57">
        <v>1.367</v>
      </c>
      <c r="AQ155" s="57">
        <v>6.0999999999999999E-2</v>
      </c>
      <c r="AR155" s="153">
        <v>0.75319999999999998</v>
      </c>
      <c r="AS155" s="57">
        <v>0.1135</v>
      </c>
      <c r="AT155" s="57">
        <v>1.84E-2</v>
      </c>
      <c r="AU155" s="153">
        <v>0.64200000000000002</v>
      </c>
      <c r="AV155" s="153">
        <v>0</v>
      </c>
      <c r="AW155" s="154">
        <v>10.461599999999999</v>
      </c>
      <c r="AX155" s="58">
        <v>0.52310000000000001</v>
      </c>
      <c r="AY155" s="155">
        <f t="shared" si="154"/>
        <v>0.52</v>
      </c>
      <c r="AZ155" s="155">
        <f t="shared" si="155"/>
        <v>3.0999999999999917E-3</v>
      </c>
      <c r="BA155" s="14">
        <v>10.984699999999998</v>
      </c>
      <c r="BB155" s="59">
        <f>BA155-'[1]Тариф 26 свод без  ПДВ'!AU155</f>
        <v>-4.9000000000010147E-3</v>
      </c>
      <c r="BC155" s="57">
        <v>0</v>
      </c>
      <c r="BD155" s="57">
        <v>0</v>
      </c>
      <c r="BE155" s="57">
        <v>0</v>
      </c>
      <c r="BF155" s="156">
        <v>10.461599999999999</v>
      </c>
      <c r="BG155" s="59">
        <v>0.52310000000000001</v>
      </c>
      <c r="BH155" s="59"/>
      <c r="BI155" s="59"/>
      <c r="BJ155" s="14">
        <v>10.984699999999998</v>
      </c>
      <c r="BK155" s="60"/>
      <c r="BL155" s="60">
        <v>4.5576999999999996</v>
      </c>
      <c r="BM155" s="60">
        <v>0.22789999999999999</v>
      </c>
      <c r="BN155" s="14">
        <v>4.7855999999999996</v>
      </c>
      <c r="BO155" s="14"/>
      <c r="BP155" s="157"/>
      <c r="BQ155" s="158">
        <f>BJ155-'[1]Тариф 26 свод без  ПДВ'!BG155</f>
        <v>-4.9000000000010147E-3</v>
      </c>
      <c r="BR155" s="77">
        <f>'[1]Тариф 26 свод без  ПДВ'!BG155</f>
        <v>10.989599999999999</v>
      </c>
      <c r="BS155" s="159">
        <f t="shared" si="156"/>
        <v>-4.9000000000010147E-3</v>
      </c>
      <c r="BU155" s="77">
        <f>'[1]Тариф 26 свод без  ПДВ'!AU155</f>
        <v>10.989599999999999</v>
      </c>
      <c r="BV155" s="159">
        <f t="shared" si="157"/>
        <v>-4.9000000000010147E-3</v>
      </c>
      <c r="BX155" s="95">
        <v>3.6684999999999999</v>
      </c>
      <c r="BY155" s="95">
        <v>3.6684999999999999</v>
      </c>
      <c r="BZ155" s="95"/>
      <c r="CA155" s="200">
        <f t="shared" si="158"/>
        <v>2.9943301076734357</v>
      </c>
      <c r="CB155" s="200">
        <f t="shared" si="159"/>
        <v>2.9943301076734357</v>
      </c>
      <c r="CI155" s="160">
        <f>'[1]0 СВОД'!AYY170</f>
        <v>42898.442091348959</v>
      </c>
      <c r="CJ155" s="77">
        <f t="shared" si="160"/>
        <v>514781.30509618751</v>
      </c>
      <c r="CM155" s="161">
        <v>153</v>
      </c>
      <c r="CN155" s="228" t="s">
        <v>756</v>
      </c>
      <c r="CO155" s="163">
        <v>3</v>
      </c>
      <c r="CP155" s="163">
        <v>10</v>
      </c>
      <c r="CQ155" s="164" t="s">
        <v>38</v>
      </c>
      <c r="CR155" s="165" t="s">
        <v>37</v>
      </c>
      <c r="CS155" s="166">
        <v>3848.8</v>
      </c>
      <c r="CT155" s="166">
        <v>0</v>
      </c>
      <c r="CU155" s="167">
        <v>81.599999999999994</v>
      </c>
      <c r="CV155" s="168">
        <v>3930.4</v>
      </c>
      <c r="CW155" s="166">
        <v>3848.8</v>
      </c>
      <c r="CX155" s="167">
        <v>81.599999999999994</v>
      </c>
      <c r="CY155" s="166">
        <v>0</v>
      </c>
      <c r="CZ155" s="166"/>
      <c r="DA155" s="166">
        <v>3930.4</v>
      </c>
      <c r="DB155" s="166"/>
      <c r="DC155" s="166">
        <v>0</v>
      </c>
      <c r="DD155" s="59">
        <v>0.15110000000000001</v>
      </c>
      <c r="DE155" s="59">
        <v>0.1734</v>
      </c>
      <c r="DF155" s="59">
        <v>0</v>
      </c>
      <c r="DG155" s="59">
        <v>0</v>
      </c>
      <c r="DH155" s="59">
        <v>0</v>
      </c>
      <c r="DI155" s="59">
        <v>0.44529999999999997</v>
      </c>
      <c r="DJ155" s="59">
        <v>4.8099999999999997E-2</v>
      </c>
      <c r="DK155" s="59">
        <v>0.3337</v>
      </c>
      <c r="DL155" s="169">
        <v>0</v>
      </c>
      <c r="DM155" s="59">
        <v>0.22040000000000001</v>
      </c>
      <c r="DN155" s="169">
        <v>0</v>
      </c>
      <c r="DO155" s="59">
        <v>0.69669999999999999</v>
      </c>
      <c r="DP155" s="171">
        <f t="shared" si="161"/>
        <v>1.7619</v>
      </c>
      <c r="DQ155" s="59">
        <v>0.11219999999999999</v>
      </c>
      <c r="DR155" s="59">
        <v>0.22639999999999999</v>
      </c>
      <c r="DS155" s="59">
        <v>0</v>
      </c>
      <c r="DT155" s="59">
        <v>0</v>
      </c>
      <c r="DU155" s="59">
        <v>0</v>
      </c>
      <c r="DV155" s="59">
        <v>7.0800000000000002E-2</v>
      </c>
      <c r="DW155" s="59">
        <v>9.1999999999999998E-3</v>
      </c>
      <c r="DX155" s="169">
        <v>0</v>
      </c>
      <c r="DY155" s="229">
        <v>1.7315</v>
      </c>
      <c r="DZ155" s="171">
        <f t="shared" si="162"/>
        <v>1.81443834825296</v>
      </c>
      <c r="EA155" s="59">
        <v>0.81410000000000005</v>
      </c>
      <c r="EB155" s="171">
        <f t="shared" si="163"/>
        <v>1.75408426483233</v>
      </c>
      <c r="EC155" s="59">
        <v>0.3473</v>
      </c>
      <c r="ED155" s="171">
        <f t="shared" si="164"/>
        <v>2.1687302044342065</v>
      </c>
      <c r="EE155" s="59">
        <v>8.7300000000000003E-2</v>
      </c>
      <c r="EF155" s="59">
        <v>1.21E-2</v>
      </c>
      <c r="EG155" s="59">
        <v>0.41310000000000002</v>
      </c>
      <c r="EH155" s="59">
        <v>0</v>
      </c>
      <c r="EI155" s="230">
        <v>0.14729999999999999</v>
      </c>
      <c r="EJ155" s="172">
        <v>6.0399999999999991</v>
      </c>
      <c r="EK155" s="173"/>
      <c r="EL155" s="169">
        <v>0</v>
      </c>
      <c r="EM155" s="169">
        <v>0</v>
      </c>
      <c r="EN155" s="59"/>
      <c r="EO155" s="172"/>
      <c r="ES155" s="57">
        <f t="shared" si="174"/>
        <v>6.0399999999999991</v>
      </c>
      <c r="ET155" s="57">
        <f t="shared" si="175"/>
        <v>0</v>
      </c>
      <c r="EU155" s="31"/>
      <c r="EV155" s="61">
        <f t="shared" si="165"/>
        <v>1.818658940397351</v>
      </c>
      <c r="EW155" s="61" t="s">
        <v>757</v>
      </c>
      <c r="EX155" s="159">
        <f t="shared" si="205"/>
        <v>-2.4888190476190477</v>
      </c>
      <c r="EY155" s="32">
        <f t="shared" si="206"/>
        <v>-2.6132600000000004</v>
      </c>
      <c r="EZ155" s="158">
        <f t="shared" si="166"/>
        <v>10.984699999999998</v>
      </c>
      <c r="FA155" s="158">
        <f t="shared" si="167"/>
        <v>10.984699999999998</v>
      </c>
      <c r="FB155" s="32">
        <f>(BJ155-EZ155)*L155</f>
        <v>0</v>
      </c>
      <c r="FH155" s="174">
        <f t="shared" si="176"/>
        <v>43404.943579999992</v>
      </c>
      <c r="FJ155" s="87">
        <v>1.5711754966887415</v>
      </c>
      <c r="FK155" s="176">
        <f t="shared" si="177"/>
        <v>1.1575148315577617</v>
      </c>
      <c r="FM155" s="87" t="e">
        <f t="shared" si="178"/>
        <v>#VALUE!</v>
      </c>
      <c r="FO155" s="88">
        <f t="shared" si="168"/>
        <v>43404.943579999992</v>
      </c>
      <c r="FP155" s="79">
        <f t="shared" si="169"/>
        <v>0</v>
      </c>
      <c r="FS155" s="79">
        <f t="shared" si="170"/>
        <v>23866.455999999998</v>
      </c>
      <c r="FT155" s="79">
        <f t="shared" si="171"/>
        <v>0</v>
      </c>
      <c r="FU155" s="79">
        <f t="shared" si="179"/>
        <v>1.8186589403973508</v>
      </c>
      <c r="FV155" s="79" t="e">
        <f t="shared" si="179"/>
        <v>#DIV/0!</v>
      </c>
      <c r="FY155" s="79">
        <f t="shared" si="180"/>
        <v>43404.943579999992</v>
      </c>
      <c r="FZ155" s="79">
        <f t="shared" si="181"/>
        <v>0</v>
      </c>
      <c r="GB155" s="178">
        <f t="shared" si="182"/>
        <v>3951.4</v>
      </c>
      <c r="GC155" s="178">
        <f t="shared" si="183"/>
        <v>0</v>
      </c>
      <c r="GG155" s="14">
        <v>8.6499000000000006</v>
      </c>
      <c r="GH155" s="175">
        <f t="shared" si="184"/>
        <v>1.2699221956323192</v>
      </c>
      <c r="GI155" s="14">
        <v>8.6499000000000006</v>
      </c>
      <c r="GJ155" s="175">
        <f t="shared" si="185"/>
        <v>1.2699221956323192</v>
      </c>
      <c r="GK155" s="175">
        <f t="shared" si="150"/>
        <v>0</v>
      </c>
      <c r="GN155" s="14">
        <v>10.7628</v>
      </c>
      <c r="GO155" s="175">
        <f t="shared" si="186"/>
        <v>1.2442687198695939</v>
      </c>
      <c r="GP155" s="179">
        <f t="shared" si="187"/>
        <v>1.0206173114802837</v>
      </c>
      <c r="GQ155" s="14">
        <v>10.7628</v>
      </c>
      <c r="GR155" s="175">
        <f t="shared" si="188"/>
        <v>1.2442687198695939</v>
      </c>
      <c r="GS155" s="175">
        <f t="shared" si="189"/>
        <v>1.0206173114802837</v>
      </c>
      <c r="GV155" s="32">
        <f t="shared" si="190"/>
        <v>43404.943579999992</v>
      </c>
      <c r="GW155" s="32">
        <f t="shared" si="191"/>
        <v>0</v>
      </c>
      <c r="GX155" s="180">
        <f t="shared" si="192"/>
        <v>43404.943579999992</v>
      </c>
      <c r="GZ155" s="32">
        <f t="shared" si="193"/>
        <v>10.984699999999998</v>
      </c>
      <c r="HA155" s="32" t="e">
        <f t="shared" si="194"/>
        <v>#DIV/0!</v>
      </c>
      <c r="HB155" s="32">
        <f t="shared" si="195"/>
        <v>10.984699999999998</v>
      </c>
    </row>
    <row r="156" spans="1:210" ht="19.2" customHeight="1" x14ac:dyDescent="0.3">
      <c r="A156" s="50">
        <v>148</v>
      </c>
      <c r="B156" s="51" t="s">
        <v>758</v>
      </c>
      <c r="C156" s="51"/>
      <c r="D156" s="52">
        <v>2</v>
      </c>
      <c r="E156" s="52">
        <v>3</v>
      </c>
      <c r="F156" s="63">
        <v>16</v>
      </c>
      <c r="G156" s="54" t="s">
        <v>20</v>
      </c>
      <c r="H156" s="181" t="s">
        <v>8</v>
      </c>
      <c r="I156" s="55">
        <f t="shared" si="172"/>
        <v>931.6</v>
      </c>
      <c r="J156" s="55">
        <f t="shared" si="152"/>
        <v>0</v>
      </c>
      <c r="K156" s="55">
        <f t="shared" si="153"/>
        <v>0</v>
      </c>
      <c r="L156" s="56">
        <v>931.6</v>
      </c>
      <c r="M156" s="56">
        <v>931.6</v>
      </c>
      <c r="N156" s="56">
        <f t="shared" si="173"/>
        <v>931.6</v>
      </c>
      <c r="O156" s="56">
        <v>0</v>
      </c>
      <c r="P156" s="56">
        <v>0</v>
      </c>
      <c r="Q156" s="55"/>
      <c r="R156" s="55">
        <v>931.6</v>
      </c>
      <c r="S156" s="55"/>
      <c r="T156" s="55">
        <v>0</v>
      </c>
      <c r="U156" s="152">
        <v>931.6</v>
      </c>
      <c r="V156" s="12">
        <v>0.15609999999999999</v>
      </c>
      <c r="W156" s="12">
        <v>9.8699999999999996E-2</v>
      </c>
      <c r="X156" s="12">
        <v>0.3226</v>
      </c>
      <c r="Y156" s="12">
        <v>7.2800000000000004E-2</v>
      </c>
      <c r="Z156" s="12">
        <v>0</v>
      </c>
      <c r="AA156" s="12">
        <v>0.58540000000000003</v>
      </c>
      <c r="AB156" s="12">
        <v>0</v>
      </c>
      <c r="AC156" s="12">
        <v>0.63149999999999995</v>
      </c>
      <c r="AD156" s="12">
        <v>0.1358</v>
      </c>
      <c r="AE156" s="12">
        <v>0</v>
      </c>
      <c r="AF156" s="12">
        <v>1.1880999999999999</v>
      </c>
      <c r="AG156" s="12">
        <v>0.20280000000000001</v>
      </c>
      <c r="AH156" s="12">
        <v>0.29360000000000003</v>
      </c>
      <c r="AI156" s="12">
        <v>8.3699999999999997E-2</v>
      </c>
      <c r="AJ156" s="12">
        <v>0.1042</v>
      </c>
      <c r="AK156" s="12">
        <v>0</v>
      </c>
      <c r="AL156" s="12">
        <v>0.14410000000000001</v>
      </c>
      <c r="AM156" s="12">
        <v>4.4200000000000003E-2</v>
      </c>
      <c r="AN156" s="12">
        <v>0</v>
      </c>
      <c r="AO156" s="12">
        <v>3.1238000000000001</v>
      </c>
      <c r="AP156" s="12">
        <v>1.2036</v>
      </c>
      <c r="AQ156" s="12">
        <v>5.67E-2</v>
      </c>
      <c r="AR156" s="12">
        <v>1.1073</v>
      </c>
      <c r="AS156" s="12">
        <v>8.0100000000000005E-2</v>
      </c>
      <c r="AT156" s="12">
        <v>1.2999999999999999E-2</v>
      </c>
      <c r="AU156" s="12">
        <v>0.25</v>
      </c>
      <c r="AV156" s="12">
        <v>0</v>
      </c>
      <c r="AW156" s="188">
        <v>9.8980999999999995</v>
      </c>
      <c r="AX156" s="13">
        <v>0.49490000000000001</v>
      </c>
      <c r="AY156" s="189">
        <f t="shared" si="154"/>
        <v>0.49209999999999998</v>
      </c>
      <c r="AZ156" s="189">
        <f t="shared" si="155"/>
        <v>2.8000000000000247E-3</v>
      </c>
      <c r="BA156" s="14">
        <v>10.392999999999999</v>
      </c>
      <c r="BB156" s="190">
        <f>BA156-'[1]Тариф 26 свод без  ПДВ'!AU156</f>
        <v>2.6999999999990365E-3</v>
      </c>
      <c r="BC156" s="12">
        <v>0</v>
      </c>
      <c r="BD156" s="12">
        <v>0</v>
      </c>
      <c r="BE156" s="12">
        <v>0</v>
      </c>
      <c r="BF156" s="191">
        <v>9.8980999999999995</v>
      </c>
      <c r="BG156" s="190">
        <v>0.49490000000000001</v>
      </c>
      <c r="BH156" s="190"/>
      <c r="BI156" s="190"/>
      <c r="BJ156" s="14">
        <v>10.392999999999999</v>
      </c>
      <c r="BK156" s="60"/>
      <c r="BL156" s="60">
        <v>4.2133999999999991</v>
      </c>
      <c r="BM156" s="60">
        <v>0.2107</v>
      </c>
      <c r="BN156" s="14">
        <v>4.4240999999999993</v>
      </c>
      <c r="BO156" s="14"/>
      <c r="BP156" s="157"/>
      <c r="BQ156" s="158">
        <f>BJ156-'[1]Тариф 26 свод без  ПДВ'!BG156</f>
        <v>2.6999999999990365E-3</v>
      </c>
      <c r="BR156" s="77">
        <f>'[1]Тариф 26 свод без  ПДВ'!BG156</f>
        <v>10.3903</v>
      </c>
      <c r="BS156" s="159">
        <f t="shared" si="156"/>
        <v>2.6999999999990365E-3</v>
      </c>
      <c r="BU156" s="77">
        <f>'[1]Тариф 26 свод без  ПДВ'!AU156</f>
        <v>10.3903</v>
      </c>
      <c r="BV156" s="159">
        <f t="shared" si="157"/>
        <v>2.6999999999990365E-3</v>
      </c>
      <c r="BX156" s="95">
        <v>4.2126999999999999</v>
      </c>
      <c r="BY156" s="95">
        <v>4.2126999999999999</v>
      </c>
      <c r="BZ156" s="95"/>
      <c r="CA156" s="207">
        <f t="shared" si="158"/>
        <v>2.4670638782728416</v>
      </c>
      <c r="CB156" s="207">
        <f t="shared" si="159"/>
        <v>2.4670638782728416</v>
      </c>
      <c r="CI156" s="160">
        <f>'[1]0 СВОД'!AYY171</f>
        <v>9682.1585450948296</v>
      </c>
      <c r="CJ156" s="77">
        <f t="shared" si="160"/>
        <v>116185.90254113796</v>
      </c>
      <c r="CM156" s="161">
        <v>154</v>
      </c>
      <c r="CN156" s="162" t="s">
        <v>759</v>
      </c>
      <c r="CO156" s="163">
        <v>2</v>
      </c>
      <c r="CP156" s="163">
        <v>3</v>
      </c>
      <c r="CQ156" s="164" t="s">
        <v>20</v>
      </c>
      <c r="CR156" s="165" t="s">
        <v>8</v>
      </c>
      <c r="CS156" s="166">
        <v>925.1</v>
      </c>
      <c r="CT156" s="166">
        <v>0</v>
      </c>
      <c r="CU156" s="167">
        <v>0</v>
      </c>
      <c r="CV156" s="168">
        <v>925.1</v>
      </c>
      <c r="CW156" s="166">
        <v>925.1</v>
      </c>
      <c r="CX156" s="167">
        <v>0</v>
      </c>
      <c r="CY156" s="166">
        <v>0</v>
      </c>
      <c r="CZ156" s="166"/>
      <c r="DA156" s="166">
        <v>925.1</v>
      </c>
      <c r="DB156" s="166"/>
      <c r="DC156" s="166">
        <v>0</v>
      </c>
      <c r="DD156" s="59">
        <v>0.12770000000000001</v>
      </c>
      <c r="DE156" s="59">
        <v>0.13550000000000001</v>
      </c>
      <c r="DF156" s="59">
        <v>0.21310000000000001</v>
      </c>
      <c r="DG156" s="59">
        <v>4.2999999999999997E-2</v>
      </c>
      <c r="DH156" s="59">
        <v>0</v>
      </c>
      <c r="DI156" s="59">
        <v>0.25509999999999999</v>
      </c>
      <c r="DJ156" s="59">
        <v>4.8099999999999997E-2</v>
      </c>
      <c r="DK156" s="59">
        <v>0.3458</v>
      </c>
      <c r="DL156" s="169">
        <v>0</v>
      </c>
      <c r="DM156" s="59">
        <v>8.3199999999999996E-2</v>
      </c>
      <c r="DN156" s="169">
        <v>0</v>
      </c>
      <c r="DO156" s="170">
        <v>0.7491000000000001</v>
      </c>
      <c r="DP156" s="171">
        <f t="shared" si="161"/>
        <v>1.1880999999999999</v>
      </c>
      <c r="DQ156" s="59">
        <v>8.14E-2</v>
      </c>
      <c r="DR156" s="59">
        <v>0.1769</v>
      </c>
      <c r="DS156" s="59">
        <v>2.18E-2</v>
      </c>
      <c r="DT156" s="59">
        <v>4.9399999999999999E-2</v>
      </c>
      <c r="DU156" s="59">
        <v>0</v>
      </c>
      <c r="DV156" s="59">
        <v>5.0700000000000002E-2</v>
      </c>
      <c r="DW156" s="59">
        <v>1.43E-2</v>
      </c>
      <c r="DX156" s="169">
        <v>0</v>
      </c>
      <c r="DY156" s="59">
        <v>1.6075999999999999</v>
      </c>
      <c r="DZ156" s="171">
        <f t="shared" si="162"/>
        <v>1.9431450609604382</v>
      </c>
      <c r="EA156" s="59">
        <v>0.74390000000000001</v>
      </c>
      <c r="EB156" s="171">
        <f t="shared" si="163"/>
        <v>1.6941793251781152</v>
      </c>
      <c r="EC156" s="59">
        <v>0.53600000000000003</v>
      </c>
      <c r="ED156" s="171">
        <f t="shared" si="164"/>
        <v>2.0658582089552238</v>
      </c>
      <c r="EE156" s="59">
        <v>6.1699999999999998E-2</v>
      </c>
      <c r="EF156" s="59">
        <v>8.6E-3</v>
      </c>
      <c r="EG156" s="59">
        <v>0.20599999999999999</v>
      </c>
      <c r="EH156" s="59">
        <v>0</v>
      </c>
      <c r="EI156" s="195">
        <v>0.13900000000000001</v>
      </c>
      <c r="EJ156" s="172">
        <v>5.6978999999999997</v>
      </c>
      <c r="EK156" s="173"/>
      <c r="EL156" s="169">
        <v>0</v>
      </c>
      <c r="EM156" s="169">
        <v>0</v>
      </c>
      <c r="EN156" s="59"/>
      <c r="EO156" s="172"/>
      <c r="ES156" s="57">
        <f t="shared" si="174"/>
        <v>5.6978999999999997</v>
      </c>
      <c r="ET156" s="57">
        <f t="shared" si="175"/>
        <v>0</v>
      </c>
      <c r="EU156" s="31"/>
      <c r="EV156" s="61">
        <f t="shared" si="165"/>
        <v>1.8240053352989696</v>
      </c>
      <c r="EW156" s="62"/>
      <c r="EX156" s="159">
        <f t="shared" si="205"/>
        <v>-2.3768672380952376</v>
      </c>
      <c r="EY156" s="32">
        <f t="shared" si="206"/>
        <v>-2.4957105999999998</v>
      </c>
      <c r="EZ156" s="158">
        <f t="shared" si="166"/>
        <v>10.392999999999999</v>
      </c>
      <c r="FA156" s="159">
        <f t="shared" si="167"/>
        <v>10.392999999999999</v>
      </c>
      <c r="FB156" s="158">
        <f>ES156*1.34</f>
        <v>7.635186</v>
      </c>
      <c r="FC156" s="158">
        <f>EZ156-FB156</f>
        <v>2.7578139999999989</v>
      </c>
      <c r="FD156" s="158"/>
      <c r="FE156" s="158"/>
      <c r="FF156" s="158"/>
      <c r="FG156" s="174"/>
      <c r="FH156" s="174">
        <f t="shared" si="176"/>
        <v>9682.1187999999984</v>
      </c>
      <c r="FI156" s="174"/>
      <c r="FJ156" s="87">
        <v>1.4661717474859162</v>
      </c>
      <c r="FK156" s="176">
        <f t="shared" si="177"/>
        <v>1.2440598029709959</v>
      </c>
      <c r="FM156" s="87" t="e">
        <f t="shared" si="178"/>
        <v>#DIV/0!</v>
      </c>
      <c r="FO156" s="88">
        <f t="shared" si="168"/>
        <v>9682.1187999999984</v>
      </c>
      <c r="FP156" s="79">
        <f t="shared" si="169"/>
        <v>0</v>
      </c>
      <c r="FS156" s="79">
        <f t="shared" si="170"/>
        <v>5308.1636399999998</v>
      </c>
      <c r="FT156" s="79">
        <f t="shared" si="171"/>
        <v>0</v>
      </c>
      <c r="FU156" s="79">
        <f t="shared" si="179"/>
        <v>1.8240053352989696</v>
      </c>
      <c r="FV156" s="79" t="e">
        <f t="shared" si="179"/>
        <v>#DIV/0!</v>
      </c>
      <c r="FY156" s="79">
        <f t="shared" si="180"/>
        <v>9682.1187999999984</v>
      </c>
      <c r="FZ156" s="79">
        <f t="shared" si="181"/>
        <v>0</v>
      </c>
      <c r="GB156" s="178">
        <f t="shared" si="182"/>
        <v>931.6</v>
      </c>
      <c r="GC156" s="178">
        <f t="shared" si="183"/>
        <v>0</v>
      </c>
      <c r="GE156" s="196"/>
      <c r="GF156" s="196"/>
      <c r="GG156" s="14">
        <v>8.1839999999999993</v>
      </c>
      <c r="GH156" s="197">
        <f t="shared" si="184"/>
        <v>1.2699169110459432</v>
      </c>
      <c r="GI156" s="14">
        <v>8.1839999999999993</v>
      </c>
      <c r="GJ156" s="197">
        <f t="shared" si="185"/>
        <v>1.2699169110459432</v>
      </c>
      <c r="GK156" s="197">
        <f t="shared" si="150"/>
        <v>0</v>
      </c>
      <c r="GL156" s="196"/>
      <c r="GM156" s="196"/>
      <c r="GN156" s="14">
        <v>10.7126</v>
      </c>
      <c r="GO156" s="197">
        <f t="shared" si="186"/>
        <v>1.3089687194525905</v>
      </c>
      <c r="GP156" s="198">
        <f t="shared" si="187"/>
        <v>0.97016597277971728</v>
      </c>
      <c r="GQ156" s="14">
        <v>10.7126</v>
      </c>
      <c r="GR156" s="197">
        <f t="shared" si="188"/>
        <v>1.3089687194525905</v>
      </c>
      <c r="GS156" s="197">
        <f t="shared" si="189"/>
        <v>0.97016597277971728</v>
      </c>
      <c r="GT156" s="196"/>
      <c r="GV156" s="32">
        <f t="shared" si="190"/>
        <v>9682.1187999999984</v>
      </c>
      <c r="GW156" s="32">
        <f t="shared" si="191"/>
        <v>0</v>
      </c>
      <c r="GX156" s="180">
        <f t="shared" si="192"/>
        <v>9682.1187999999984</v>
      </c>
      <c r="GZ156" s="32">
        <f t="shared" si="193"/>
        <v>10.392999999999997</v>
      </c>
      <c r="HA156" s="32" t="e">
        <f t="shared" si="194"/>
        <v>#DIV/0!</v>
      </c>
      <c r="HB156" s="32">
        <f t="shared" si="195"/>
        <v>10.392999999999997</v>
      </c>
    </row>
    <row r="157" spans="1:210" ht="19.2" customHeight="1" x14ac:dyDescent="0.3">
      <c r="A157" s="50">
        <v>149</v>
      </c>
      <c r="B157" s="51" t="s">
        <v>760</v>
      </c>
      <c r="C157" s="51"/>
      <c r="D157" s="52">
        <v>3</v>
      </c>
      <c r="E157" s="52">
        <v>4</v>
      </c>
      <c r="F157" s="63">
        <v>24</v>
      </c>
      <c r="G157" s="54" t="s">
        <v>39</v>
      </c>
      <c r="H157" s="181" t="s">
        <v>37</v>
      </c>
      <c r="I157" s="55">
        <f t="shared" si="172"/>
        <v>1469.4</v>
      </c>
      <c r="J157" s="55">
        <f t="shared" si="152"/>
        <v>0</v>
      </c>
      <c r="K157" s="55">
        <f t="shared" si="153"/>
        <v>0</v>
      </c>
      <c r="L157" s="56">
        <v>1469.4</v>
      </c>
      <c r="M157" s="56">
        <v>1469.4</v>
      </c>
      <c r="N157" s="56">
        <f t="shared" si="173"/>
        <v>1469.4</v>
      </c>
      <c r="O157" s="56">
        <v>0</v>
      </c>
      <c r="P157" s="56">
        <v>0</v>
      </c>
      <c r="Q157" s="55"/>
      <c r="R157" s="55">
        <v>1469.4</v>
      </c>
      <c r="S157" s="55"/>
      <c r="T157" s="55">
        <v>0</v>
      </c>
      <c r="U157" s="152">
        <v>1469.4</v>
      </c>
      <c r="V157" s="57">
        <v>0.21920000000000001</v>
      </c>
      <c r="W157" s="153">
        <v>0.1166</v>
      </c>
      <c r="X157" s="57">
        <v>0.32890000000000003</v>
      </c>
      <c r="Y157" s="57">
        <v>7.5899999999999995E-2</v>
      </c>
      <c r="Z157" s="153">
        <v>0</v>
      </c>
      <c r="AA157" s="57">
        <v>0.57850000000000001</v>
      </c>
      <c r="AB157" s="153">
        <v>0</v>
      </c>
      <c r="AC157" s="57">
        <v>0.63149999999999995</v>
      </c>
      <c r="AD157" s="57">
        <v>0.12920000000000001</v>
      </c>
      <c r="AE157" s="57">
        <v>0</v>
      </c>
      <c r="AF157" s="57">
        <v>1.8987000000000001</v>
      </c>
      <c r="AG157" s="57">
        <v>0.21690000000000001</v>
      </c>
      <c r="AH157" s="57">
        <v>0.41360000000000002</v>
      </c>
      <c r="AI157" s="153">
        <v>8.5400000000000004E-2</v>
      </c>
      <c r="AJ157" s="153">
        <v>8.48E-2</v>
      </c>
      <c r="AK157" s="153">
        <v>0</v>
      </c>
      <c r="AL157" s="57">
        <v>0.14360000000000001</v>
      </c>
      <c r="AM157" s="153">
        <v>3.4299999999999997E-2</v>
      </c>
      <c r="AN157" s="57">
        <v>0</v>
      </c>
      <c r="AO157" s="153">
        <v>1.915</v>
      </c>
      <c r="AP157" s="57">
        <v>1.4985999999999999</v>
      </c>
      <c r="AQ157" s="57">
        <v>5.62E-2</v>
      </c>
      <c r="AR157" s="153">
        <v>1.0610999999999999</v>
      </c>
      <c r="AS157" s="57">
        <v>0.11550000000000001</v>
      </c>
      <c r="AT157" s="57">
        <v>1.8700000000000001E-2</v>
      </c>
      <c r="AU157" s="153">
        <v>0.33460000000000001</v>
      </c>
      <c r="AV157" s="153">
        <v>0</v>
      </c>
      <c r="AW157" s="154">
        <v>9.956800000000003</v>
      </c>
      <c r="AX157" s="58">
        <v>0.49780000000000002</v>
      </c>
      <c r="AY157" s="155">
        <f t="shared" si="154"/>
        <v>0.495</v>
      </c>
      <c r="AZ157" s="155">
        <f t="shared" si="155"/>
        <v>2.8000000000000247E-3</v>
      </c>
      <c r="BA157" s="14">
        <v>10.454600000000003</v>
      </c>
      <c r="BB157" s="59">
        <f>BA157-'[1]Тариф 26 свод без  ПДВ'!AU157</f>
        <v>5.600000000002936E-3</v>
      </c>
      <c r="BC157" s="57">
        <v>0</v>
      </c>
      <c r="BD157" s="57">
        <v>0</v>
      </c>
      <c r="BE157" s="57">
        <v>0</v>
      </c>
      <c r="BF157" s="156">
        <v>9.956800000000003</v>
      </c>
      <c r="BG157" s="59">
        <v>0.49780000000000002</v>
      </c>
      <c r="BH157" s="59"/>
      <c r="BI157" s="59"/>
      <c r="BJ157" s="14">
        <v>10.454600000000003</v>
      </c>
      <c r="BK157" s="60"/>
      <c r="BL157" s="60">
        <v>5.1475000000000035</v>
      </c>
      <c r="BM157" s="60">
        <v>0.25740000000000002</v>
      </c>
      <c r="BN157" s="14">
        <v>5.4049000000000031</v>
      </c>
      <c r="BO157" s="14"/>
      <c r="BP157" s="157"/>
      <c r="BQ157" s="158">
        <f>BJ157-'[1]Тариф 26 свод без  ПДВ'!BG157</f>
        <v>5.600000000002936E-3</v>
      </c>
      <c r="BR157" s="77">
        <f>'[1]Тариф 26 свод без  ПДВ'!BG157</f>
        <v>10.449</v>
      </c>
      <c r="BS157" s="159">
        <f t="shared" si="156"/>
        <v>5.600000000002936E-3</v>
      </c>
      <c r="BU157" s="77">
        <f>'[1]Тариф 26 свод без  ПДВ'!AU157</f>
        <v>10.449</v>
      </c>
      <c r="BV157" s="159">
        <f t="shared" si="157"/>
        <v>5.600000000002936E-3</v>
      </c>
      <c r="BX157" s="95">
        <v>0.8236</v>
      </c>
      <c r="BY157" s="95">
        <v>0.8236</v>
      </c>
      <c r="BZ157" s="95"/>
      <c r="CA157" s="204">
        <f t="shared" si="158"/>
        <v>12.693783389995147</v>
      </c>
      <c r="CB157" s="204">
        <f t="shared" si="159"/>
        <v>12.693783389995147</v>
      </c>
      <c r="CI157" s="160">
        <f>'[1]0 СВОД'!AYY172</f>
        <v>15362.212108652584</v>
      </c>
      <c r="CJ157" s="77">
        <f t="shared" si="160"/>
        <v>184346.54530383099</v>
      </c>
      <c r="CM157" s="161">
        <v>155</v>
      </c>
      <c r="CN157" s="228" t="s">
        <v>761</v>
      </c>
      <c r="CO157" s="163">
        <v>3</v>
      </c>
      <c r="CP157" s="163">
        <v>4</v>
      </c>
      <c r="CQ157" s="164" t="s">
        <v>39</v>
      </c>
      <c r="CR157" s="165" t="s">
        <v>37</v>
      </c>
      <c r="CS157" s="166">
        <v>1467.4</v>
      </c>
      <c r="CT157" s="166">
        <v>0</v>
      </c>
      <c r="CU157" s="167">
        <v>0</v>
      </c>
      <c r="CV157" s="168">
        <v>1467.4</v>
      </c>
      <c r="CW157" s="166">
        <v>1467.4</v>
      </c>
      <c r="CX157" s="167">
        <v>0</v>
      </c>
      <c r="CY157" s="166">
        <v>0</v>
      </c>
      <c r="CZ157" s="166"/>
      <c r="DA157" s="166">
        <v>1467.4</v>
      </c>
      <c r="DB157" s="166"/>
      <c r="DC157" s="166">
        <v>0</v>
      </c>
      <c r="DD157" s="59">
        <v>0.1636</v>
      </c>
      <c r="DE157" s="59">
        <v>0.18970000000000001</v>
      </c>
      <c r="DF157" s="59">
        <v>0.21629999999999999</v>
      </c>
      <c r="DG157" s="59">
        <v>4.4699999999999997E-2</v>
      </c>
      <c r="DH157" s="59">
        <v>0</v>
      </c>
      <c r="DI157" s="59">
        <v>0.25159999999999999</v>
      </c>
      <c r="DJ157" s="59">
        <v>4.8099999999999997E-2</v>
      </c>
      <c r="DK157" s="59">
        <v>0.3458</v>
      </c>
      <c r="DL157" s="169">
        <v>0</v>
      </c>
      <c r="DM157" s="59">
        <v>7.8700000000000006E-2</v>
      </c>
      <c r="DN157" s="169">
        <v>0</v>
      </c>
      <c r="DO157" s="229">
        <v>0.84199999999999997</v>
      </c>
      <c r="DP157" s="171">
        <f t="shared" si="161"/>
        <v>1.8987000000000001</v>
      </c>
      <c r="DQ157" s="59">
        <v>0.1046</v>
      </c>
      <c r="DR157" s="59">
        <v>0.24779999999999999</v>
      </c>
      <c r="DS157" s="59">
        <v>2.2200000000000001E-2</v>
      </c>
      <c r="DT157" s="59">
        <v>0.04</v>
      </c>
      <c r="DU157" s="59">
        <v>0</v>
      </c>
      <c r="DV157" s="59">
        <v>5.0299999999999997E-2</v>
      </c>
      <c r="DW157" s="59">
        <v>9.4999999999999998E-3</v>
      </c>
      <c r="DX157" s="169">
        <v>0</v>
      </c>
      <c r="DY157" s="59">
        <v>1.0417000000000001</v>
      </c>
      <c r="DZ157" s="171">
        <f t="shared" si="162"/>
        <v>1.8383411730824613</v>
      </c>
      <c r="EA157" s="59">
        <v>0.88380000000000003</v>
      </c>
      <c r="EB157" s="171">
        <f t="shared" si="163"/>
        <v>1.7592215433355962</v>
      </c>
      <c r="EC157" s="59">
        <v>0.59909999999999997</v>
      </c>
      <c r="ED157" s="171">
        <f t="shared" si="164"/>
        <v>1.771156735102654</v>
      </c>
      <c r="EE157" s="59">
        <v>8.8400000000000006E-2</v>
      </c>
      <c r="EF157" s="59">
        <v>1.23E-2</v>
      </c>
      <c r="EG157" s="59">
        <v>0.30170000000000002</v>
      </c>
      <c r="EH157" s="59">
        <v>0</v>
      </c>
      <c r="EI157" s="230">
        <v>0.13950000000000001</v>
      </c>
      <c r="EJ157" s="172">
        <v>5.7214</v>
      </c>
      <c r="EK157" s="173"/>
      <c r="EL157" s="169">
        <v>0</v>
      </c>
      <c r="EM157" s="169">
        <v>0</v>
      </c>
      <c r="EN157" s="59"/>
      <c r="EO157" s="172"/>
      <c r="ES157" s="57">
        <f t="shared" si="174"/>
        <v>5.7214</v>
      </c>
      <c r="ET157" s="57">
        <f t="shared" si="175"/>
        <v>0</v>
      </c>
      <c r="EU157" s="31"/>
      <c r="EV157" s="61">
        <f t="shared" si="165"/>
        <v>1.8272800363547388</v>
      </c>
      <c r="EW157" s="62"/>
      <c r="EX157" s="159">
        <f t="shared" si="205"/>
        <v>-2.4045139047619073</v>
      </c>
      <c r="EY157" s="32">
        <f t="shared" si="206"/>
        <v>-2.5247396000000029</v>
      </c>
      <c r="EZ157" s="158">
        <f t="shared" si="166"/>
        <v>10.454600000000003</v>
      </c>
      <c r="FA157" s="158">
        <f t="shared" si="167"/>
        <v>10.454600000000003</v>
      </c>
      <c r="FB157" s="32">
        <f>(BJ157-EZ157)*L157</f>
        <v>0</v>
      </c>
      <c r="FH157" s="174">
        <f t="shared" si="176"/>
        <v>15361.989240000004</v>
      </c>
      <c r="FJ157" s="87">
        <v>1.3636872094242669</v>
      </c>
      <c r="FK157" s="176">
        <f t="shared" si="177"/>
        <v>1.339955397195663</v>
      </c>
      <c r="FM157" s="87" t="e">
        <f t="shared" si="178"/>
        <v>#DIV/0!</v>
      </c>
      <c r="FO157" s="88">
        <f t="shared" si="168"/>
        <v>15361.989240000004</v>
      </c>
      <c r="FP157" s="79">
        <f t="shared" si="169"/>
        <v>0</v>
      </c>
      <c r="FS157" s="79">
        <f t="shared" si="170"/>
        <v>8407.0251600000011</v>
      </c>
      <c r="FT157" s="79">
        <f t="shared" si="171"/>
        <v>0</v>
      </c>
      <c r="FU157" s="79">
        <f t="shared" si="179"/>
        <v>1.8272800363547386</v>
      </c>
      <c r="FV157" s="79" t="e">
        <f t="shared" si="179"/>
        <v>#DIV/0!</v>
      </c>
      <c r="FY157" s="79">
        <f t="shared" si="180"/>
        <v>15361.989240000004</v>
      </c>
      <c r="FZ157" s="79">
        <f t="shared" si="181"/>
        <v>0</v>
      </c>
      <c r="GB157" s="178">
        <f t="shared" si="182"/>
        <v>1469.4</v>
      </c>
      <c r="GC157" s="178">
        <f t="shared" si="183"/>
        <v>0</v>
      </c>
      <c r="GG157" s="14">
        <v>8.2324999999999982</v>
      </c>
      <c r="GH157" s="175">
        <f t="shared" si="184"/>
        <v>1.2699180078955365</v>
      </c>
      <c r="GI157" s="14">
        <v>8.2324999999999982</v>
      </c>
      <c r="GJ157" s="175">
        <f t="shared" si="185"/>
        <v>1.2699180078955365</v>
      </c>
      <c r="GK157" s="175">
        <f t="shared" si="150"/>
        <v>0</v>
      </c>
      <c r="GN157" s="14">
        <v>10.505899999999999</v>
      </c>
      <c r="GO157" s="175">
        <f t="shared" si="186"/>
        <v>1.2761494078348012</v>
      </c>
      <c r="GP157" s="179">
        <f t="shared" si="187"/>
        <v>0.99511702947867431</v>
      </c>
      <c r="GQ157" s="14">
        <v>10.505899999999999</v>
      </c>
      <c r="GR157" s="175">
        <f t="shared" si="188"/>
        <v>1.2761494078348012</v>
      </c>
      <c r="GS157" s="175">
        <f t="shared" si="189"/>
        <v>0.99511702947867431</v>
      </c>
      <c r="GV157" s="32">
        <f t="shared" si="190"/>
        <v>15361.989240000004</v>
      </c>
      <c r="GW157" s="32">
        <f t="shared" si="191"/>
        <v>0</v>
      </c>
      <c r="GX157" s="180">
        <f t="shared" si="192"/>
        <v>15361.989240000004</v>
      </c>
      <c r="GZ157" s="32">
        <f t="shared" si="193"/>
        <v>10.454600000000003</v>
      </c>
      <c r="HA157" s="32" t="e">
        <f t="shared" si="194"/>
        <v>#DIV/0!</v>
      </c>
      <c r="HB157" s="32">
        <f t="shared" si="195"/>
        <v>10.454600000000003</v>
      </c>
    </row>
    <row r="158" spans="1:210" ht="19.2" customHeight="1" x14ac:dyDescent="0.3">
      <c r="A158" s="50">
        <v>150</v>
      </c>
      <c r="B158" s="51" t="s">
        <v>762</v>
      </c>
      <c r="C158" s="51"/>
      <c r="D158" s="52">
        <v>2</v>
      </c>
      <c r="E158" s="52">
        <v>2</v>
      </c>
      <c r="F158" s="187">
        <v>26</v>
      </c>
      <c r="G158" s="54" t="s">
        <v>21</v>
      </c>
      <c r="H158" s="181" t="s">
        <v>19</v>
      </c>
      <c r="I158" s="55">
        <f t="shared" si="172"/>
        <v>1056.5999999999999</v>
      </c>
      <c r="J158" s="55">
        <f t="shared" si="152"/>
        <v>0</v>
      </c>
      <c r="K158" s="55">
        <f t="shared" si="153"/>
        <v>0</v>
      </c>
      <c r="L158" s="56">
        <v>1056.5999999999999</v>
      </c>
      <c r="M158" s="56">
        <v>1056.5999999999999</v>
      </c>
      <c r="N158" s="56">
        <f t="shared" si="173"/>
        <v>1056.5999999999999</v>
      </c>
      <c r="O158" s="56">
        <v>0</v>
      </c>
      <c r="P158" s="56">
        <v>0</v>
      </c>
      <c r="Q158" s="55"/>
      <c r="R158" s="55">
        <v>1056.5999999999999</v>
      </c>
      <c r="S158" s="55"/>
      <c r="T158" s="55">
        <v>0</v>
      </c>
      <c r="U158" s="152">
        <v>1056.5999999999999</v>
      </c>
      <c r="V158" s="57">
        <v>0.2147</v>
      </c>
      <c r="W158" s="153">
        <v>0.13919999999999999</v>
      </c>
      <c r="X158" s="57">
        <v>0.31909999999999999</v>
      </c>
      <c r="Y158" s="57">
        <v>7.6899999999999996E-2</v>
      </c>
      <c r="Z158" s="153">
        <v>0</v>
      </c>
      <c r="AA158" s="57">
        <v>0.47749999999999998</v>
      </c>
      <c r="AB158" s="153">
        <v>0</v>
      </c>
      <c r="AC158" s="57">
        <v>0.63149999999999995</v>
      </c>
      <c r="AD158" s="57">
        <v>0.1946</v>
      </c>
      <c r="AE158" s="57">
        <v>0</v>
      </c>
      <c r="AF158" s="57">
        <v>1.5429999999999999</v>
      </c>
      <c r="AG158" s="57">
        <v>0.25180000000000002</v>
      </c>
      <c r="AH158" s="57">
        <v>0.42909999999999998</v>
      </c>
      <c r="AI158" s="153">
        <v>8.5900000000000004E-2</v>
      </c>
      <c r="AJ158" s="153">
        <v>0.11210000000000001</v>
      </c>
      <c r="AK158" s="153">
        <v>0</v>
      </c>
      <c r="AL158" s="57">
        <v>6.5199999999999994E-2</v>
      </c>
      <c r="AM158" s="153">
        <v>3.73E-2</v>
      </c>
      <c r="AN158" s="57">
        <v>0</v>
      </c>
      <c r="AO158" s="153">
        <v>2.2717999999999998</v>
      </c>
      <c r="AP158" s="57">
        <v>2.4013</v>
      </c>
      <c r="AQ158" s="57">
        <v>0</v>
      </c>
      <c r="AR158" s="153">
        <v>0.73809999999999998</v>
      </c>
      <c r="AS158" s="57">
        <v>0</v>
      </c>
      <c r="AT158" s="57">
        <v>0</v>
      </c>
      <c r="AU158" s="153">
        <v>0.63190000000000002</v>
      </c>
      <c r="AV158" s="153">
        <v>0</v>
      </c>
      <c r="AW158" s="154">
        <v>10.620999999999999</v>
      </c>
      <c r="AX158" s="58">
        <v>0.53110000000000002</v>
      </c>
      <c r="AY158" s="155">
        <f t="shared" si="154"/>
        <v>0.53110000000000002</v>
      </c>
      <c r="AZ158" s="155">
        <f t="shared" si="155"/>
        <v>0</v>
      </c>
      <c r="BA158" s="17">
        <v>11.152099999999999</v>
      </c>
      <c r="BB158" s="59">
        <f>BA158-'[1]Тариф 26 свод без  ПДВ'!AU158</f>
        <v>2.8999999999985704E-3</v>
      </c>
      <c r="BC158" s="57">
        <v>0</v>
      </c>
      <c r="BD158" s="57">
        <v>0</v>
      </c>
      <c r="BE158" s="57">
        <v>0</v>
      </c>
      <c r="BF158" s="156">
        <v>10.620999999999999</v>
      </c>
      <c r="BG158" s="59">
        <v>0.53110000000000002</v>
      </c>
      <c r="BH158" s="59"/>
      <c r="BI158" s="59"/>
      <c r="BJ158" s="14">
        <v>11.152099999999999</v>
      </c>
      <c r="BK158" s="60"/>
      <c r="BL158" s="60">
        <v>4.5778999999999996</v>
      </c>
      <c r="BM158" s="60">
        <v>0.22889999999999999</v>
      </c>
      <c r="BN158" s="14">
        <v>4.8068</v>
      </c>
      <c r="BO158" s="14"/>
      <c r="BP158" s="157"/>
      <c r="BQ158" s="158">
        <f>BJ158-'[1]Тариф 26 свод без  ПДВ'!BG158</f>
        <v>2.8999999999985704E-3</v>
      </c>
      <c r="BR158" s="77">
        <f>'[1]Тариф 26 свод без  ПДВ'!BG158</f>
        <v>11.1492</v>
      </c>
      <c r="BS158" s="159">
        <f t="shared" si="156"/>
        <v>2.8999999999985704E-3</v>
      </c>
      <c r="BU158" s="77">
        <f>'[1]Тариф 26 свод без  ПДВ'!AU158</f>
        <v>11.1492</v>
      </c>
      <c r="BV158" s="159">
        <f t="shared" si="157"/>
        <v>2.8999999999985704E-3</v>
      </c>
      <c r="BX158" s="95">
        <v>4.6575000000000006</v>
      </c>
      <c r="BY158" s="95">
        <v>4.6575000000000006</v>
      </c>
      <c r="BZ158" s="95"/>
      <c r="CA158" s="200">
        <f t="shared" si="158"/>
        <v>2.3944390767579167</v>
      </c>
      <c r="CB158" s="200">
        <f t="shared" si="159"/>
        <v>2.3944390767579167</v>
      </c>
      <c r="CI158" s="160">
        <f>'[1]0 СВОД'!AYY173</f>
        <v>11783.31281542447</v>
      </c>
      <c r="CJ158" s="77">
        <f t="shared" si="160"/>
        <v>141399.75378509364</v>
      </c>
      <c r="CM158" s="161">
        <v>156</v>
      </c>
      <c r="CN158" s="183" t="s">
        <v>763</v>
      </c>
      <c r="CO158" s="163">
        <v>2</v>
      </c>
      <c r="CP158" s="163">
        <v>2</v>
      </c>
      <c r="CQ158" s="164" t="s">
        <v>21</v>
      </c>
      <c r="CR158" s="165" t="s">
        <v>19</v>
      </c>
      <c r="CS158" s="166">
        <v>1056.5</v>
      </c>
      <c r="CT158" s="166">
        <v>0</v>
      </c>
      <c r="CU158" s="167">
        <v>0</v>
      </c>
      <c r="CV158" s="168">
        <v>1056.5</v>
      </c>
      <c r="CW158" s="166">
        <v>1056.5</v>
      </c>
      <c r="CX158" s="167">
        <v>0</v>
      </c>
      <c r="CY158" s="166">
        <v>0</v>
      </c>
      <c r="CZ158" s="166"/>
      <c r="DA158" s="166">
        <v>1056.5</v>
      </c>
      <c r="DB158" s="166"/>
      <c r="DC158" s="166">
        <v>0</v>
      </c>
      <c r="DD158" s="59">
        <v>0.21</v>
      </c>
      <c r="DE158" s="59">
        <v>0.22620000000000001</v>
      </c>
      <c r="DF158" s="59">
        <v>0.2094</v>
      </c>
      <c r="DG158" s="59">
        <v>4.5100000000000001E-2</v>
      </c>
      <c r="DH158" s="59">
        <v>0</v>
      </c>
      <c r="DI158" s="59">
        <v>0.17599999999999999</v>
      </c>
      <c r="DJ158" s="59">
        <v>4.8099999999999997E-2</v>
      </c>
      <c r="DK158" s="59">
        <v>0.3458</v>
      </c>
      <c r="DL158" s="169">
        <v>0</v>
      </c>
      <c r="DM158" s="59">
        <v>0.11840000000000001</v>
      </c>
      <c r="DN158" s="169">
        <v>0</v>
      </c>
      <c r="DO158" s="184">
        <v>0.84189999999999998</v>
      </c>
      <c r="DP158" s="171">
        <f t="shared" si="161"/>
        <v>1.5429999999999999</v>
      </c>
      <c r="DQ158" s="59">
        <v>0.14000000000000001</v>
      </c>
      <c r="DR158" s="59">
        <v>0.2954</v>
      </c>
      <c r="DS158" s="59">
        <v>2.2200000000000001E-2</v>
      </c>
      <c r="DT158" s="59">
        <v>5.2900000000000003E-2</v>
      </c>
      <c r="DU158" s="59">
        <v>0</v>
      </c>
      <c r="DV158" s="59">
        <v>2.29E-2</v>
      </c>
      <c r="DW158" s="59">
        <v>1.09E-2</v>
      </c>
      <c r="DX158" s="169">
        <v>0</v>
      </c>
      <c r="DY158" s="59">
        <v>1.1986000000000001</v>
      </c>
      <c r="DZ158" s="171">
        <f t="shared" si="162"/>
        <v>1.895377940931086</v>
      </c>
      <c r="EA158" s="59">
        <v>1.3373999999999999</v>
      </c>
      <c r="EB158" s="171">
        <f t="shared" si="163"/>
        <v>1.7954987288769255</v>
      </c>
      <c r="EC158" s="59">
        <v>0.43240000000000001</v>
      </c>
      <c r="ED158" s="171">
        <f t="shared" si="164"/>
        <v>1.7069842738205365</v>
      </c>
      <c r="EE158" s="169">
        <v>0</v>
      </c>
      <c r="EF158" s="169">
        <v>0</v>
      </c>
      <c r="EG158" s="59">
        <v>0.95469999999999999</v>
      </c>
      <c r="EH158" s="59">
        <v>0</v>
      </c>
      <c r="EI158" s="195">
        <v>0.16719999999999999</v>
      </c>
      <c r="EJ158" s="172">
        <v>6.855500000000001</v>
      </c>
      <c r="EK158" s="173"/>
      <c r="EL158" s="169">
        <v>0</v>
      </c>
      <c r="EM158" s="169">
        <v>0</v>
      </c>
      <c r="EN158" s="59"/>
      <c r="EO158" s="172"/>
      <c r="ES158" s="57">
        <f t="shared" si="174"/>
        <v>6.855500000000001</v>
      </c>
      <c r="ET158" s="57">
        <f t="shared" si="175"/>
        <v>0</v>
      </c>
      <c r="EU158" s="31"/>
      <c r="EV158" s="231">
        <f t="shared" si="165"/>
        <v>1.6267376558967248</v>
      </c>
      <c r="EW158" s="62"/>
      <c r="EX158" s="159">
        <f t="shared" si="205"/>
        <v>-1.5717876190476179</v>
      </c>
      <c r="EY158" s="32">
        <f t="shared" si="206"/>
        <v>-1.6503769999999989</v>
      </c>
      <c r="EZ158" s="158">
        <f t="shared" si="166"/>
        <v>11.152099999999999</v>
      </c>
      <c r="FA158" s="159">
        <f t="shared" si="167"/>
        <v>11.152099999999999</v>
      </c>
      <c r="FB158" s="158">
        <f t="shared" ref="FB158:FB159" si="209">ES158*1.34</f>
        <v>9.1863700000000019</v>
      </c>
      <c r="FC158" s="158">
        <f t="shared" ref="FC158:FC159" si="210">EZ158-FB158</f>
        <v>1.9657299999999971</v>
      </c>
      <c r="FD158" s="158"/>
      <c r="FE158" s="158"/>
      <c r="FF158" s="158"/>
      <c r="FG158" s="174"/>
      <c r="FH158" s="174">
        <f t="shared" si="176"/>
        <v>11783.308859999997</v>
      </c>
      <c r="FI158" s="174"/>
      <c r="FJ158" s="87">
        <v>1.3549558748450148</v>
      </c>
      <c r="FK158" s="176">
        <f t="shared" si="177"/>
        <v>1.2005834921250091</v>
      </c>
      <c r="FM158" s="87" t="e">
        <f t="shared" si="178"/>
        <v>#DIV/0!</v>
      </c>
      <c r="FO158" s="88">
        <f t="shared" si="168"/>
        <v>11783.308859999997</v>
      </c>
      <c r="FP158" s="79">
        <f t="shared" si="169"/>
        <v>0</v>
      </c>
      <c r="FS158" s="79">
        <f t="shared" si="170"/>
        <v>7243.5213000000003</v>
      </c>
      <c r="FT158" s="79">
        <f t="shared" si="171"/>
        <v>0</v>
      </c>
      <c r="FU158" s="79">
        <f t="shared" si="179"/>
        <v>1.6267376558967248</v>
      </c>
      <c r="FV158" s="79" t="e">
        <f t="shared" si="179"/>
        <v>#DIV/0!</v>
      </c>
      <c r="FY158" s="79">
        <f t="shared" si="180"/>
        <v>11783.308859999997</v>
      </c>
      <c r="FZ158" s="79">
        <f t="shared" si="181"/>
        <v>0</v>
      </c>
      <c r="GB158" s="178">
        <f t="shared" si="182"/>
        <v>1056.5999999999999</v>
      </c>
      <c r="GC158" s="178">
        <f t="shared" si="183"/>
        <v>0</v>
      </c>
      <c r="GG158" s="14">
        <v>8.7817000000000025</v>
      </c>
      <c r="GH158" s="175">
        <f t="shared" si="184"/>
        <v>1.2699249575822444</v>
      </c>
      <c r="GI158" s="14">
        <v>8.7817000000000025</v>
      </c>
      <c r="GJ158" s="175">
        <f t="shared" si="185"/>
        <v>1.2699249575822444</v>
      </c>
      <c r="GK158" s="175">
        <f t="shared" si="150"/>
        <v>0</v>
      </c>
      <c r="GN158" s="17">
        <v>11.1051</v>
      </c>
      <c r="GO158" s="175">
        <f t="shared" si="186"/>
        <v>1.2645729186831705</v>
      </c>
      <c r="GP158" s="179">
        <f t="shared" si="187"/>
        <v>1.0042322896687106</v>
      </c>
      <c r="GQ158" s="14">
        <v>11.1051</v>
      </c>
      <c r="GR158" s="175">
        <f t="shared" si="188"/>
        <v>1.2645729186831705</v>
      </c>
      <c r="GS158" s="175">
        <f t="shared" si="189"/>
        <v>1.0042322896687106</v>
      </c>
      <c r="GV158" s="32">
        <f t="shared" si="190"/>
        <v>11783.308859999997</v>
      </c>
      <c r="GW158" s="32">
        <f t="shared" si="191"/>
        <v>0</v>
      </c>
      <c r="GX158" s="180">
        <f t="shared" si="192"/>
        <v>11783.308859999997</v>
      </c>
      <c r="GZ158" s="32">
        <f t="shared" si="193"/>
        <v>11.152099999999999</v>
      </c>
      <c r="HA158" s="32" t="e">
        <f t="shared" si="194"/>
        <v>#DIV/0!</v>
      </c>
      <c r="HB158" s="32">
        <f t="shared" si="195"/>
        <v>11.152099999999999</v>
      </c>
    </row>
    <row r="159" spans="1:210" ht="19.2" customHeight="1" x14ac:dyDescent="0.3">
      <c r="A159" s="50">
        <v>151</v>
      </c>
      <c r="B159" s="51" t="s">
        <v>764</v>
      </c>
      <c r="C159" s="51"/>
      <c r="D159" s="52">
        <v>2</v>
      </c>
      <c r="E159" s="52">
        <v>4</v>
      </c>
      <c r="F159" s="63">
        <v>16</v>
      </c>
      <c r="G159" s="54" t="s">
        <v>22</v>
      </c>
      <c r="H159" s="181" t="s">
        <v>19</v>
      </c>
      <c r="I159" s="55">
        <f t="shared" si="172"/>
        <v>935.9</v>
      </c>
      <c r="J159" s="55">
        <f t="shared" si="152"/>
        <v>0</v>
      </c>
      <c r="K159" s="55">
        <f t="shared" si="153"/>
        <v>0</v>
      </c>
      <c r="L159" s="56">
        <v>935.9</v>
      </c>
      <c r="M159" s="56">
        <v>935.9</v>
      </c>
      <c r="N159" s="56">
        <f t="shared" si="173"/>
        <v>935.9</v>
      </c>
      <c r="O159" s="56">
        <v>0</v>
      </c>
      <c r="P159" s="56">
        <v>0</v>
      </c>
      <c r="Q159" s="55"/>
      <c r="R159" s="55">
        <v>935.9</v>
      </c>
      <c r="S159" s="55"/>
      <c r="T159" s="55">
        <v>0</v>
      </c>
      <c r="U159" s="152">
        <v>935.9</v>
      </c>
      <c r="V159" s="57">
        <v>0.15540000000000001</v>
      </c>
      <c r="W159" s="153">
        <v>8.5599999999999996E-2</v>
      </c>
      <c r="X159" s="57">
        <v>0.32469999999999999</v>
      </c>
      <c r="Y159" s="57">
        <v>6.3600000000000004E-2</v>
      </c>
      <c r="Z159" s="153">
        <v>0</v>
      </c>
      <c r="AA159" s="57">
        <v>0.71579999999999999</v>
      </c>
      <c r="AB159" s="153">
        <v>0</v>
      </c>
      <c r="AC159" s="57">
        <v>0.63149999999999995</v>
      </c>
      <c r="AD159" s="57">
        <v>0.13519999999999999</v>
      </c>
      <c r="AE159" s="57">
        <v>0</v>
      </c>
      <c r="AF159" s="57">
        <v>1.0494000000000001</v>
      </c>
      <c r="AG159" s="57">
        <v>0.20180000000000001</v>
      </c>
      <c r="AH159" s="57">
        <v>0.18190000000000001</v>
      </c>
      <c r="AI159" s="153">
        <v>9.3799999999999994E-2</v>
      </c>
      <c r="AJ159" s="153">
        <v>4.1300000000000003E-2</v>
      </c>
      <c r="AK159" s="153">
        <v>0</v>
      </c>
      <c r="AL159" s="57">
        <v>0.1133</v>
      </c>
      <c r="AM159" s="153">
        <v>4.4299999999999999E-2</v>
      </c>
      <c r="AN159" s="57">
        <v>0</v>
      </c>
      <c r="AO159" s="153">
        <v>2.8249</v>
      </c>
      <c r="AP159" s="57">
        <v>1.6173</v>
      </c>
      <c r="AQ159" s="57">
        <v>8.09E-2</v>
      </c>
      <c r="AR159" s="153">
        <v>1.361</v>
      </c>
      <c r="AS159" s="57">
        <v>0.1142</v>
      </c>
      <c r="AT159" s="57">
        <v>1.8499999999999999E-2</v>
      </c>
      <c r="AU159" s="153">
        <v>0.56410000000000005</v>
      </c>
      <c r="AV159" s="153">
        <v>0</v>
      </c>
      <c r="AW159" s="154">
        <v>10.4185</v>
      </c>
      <c r="AX159" s="58">
        <v>0.52090000000000003</v>
      </c>
      <c r="AY159" s="155">
        <f t="shared" si="154"/>
        <v>0.51690000000000003</v>
      </c>
      <c r="AZ159" s="155">
        <f t="shared" si="155"/>
        <v>4.0000000000000036E-3</v>
      </c>
      <c r="BA159" s="14">
        <v>10.939399999999999</v>
      </c>
      <c r="BB159" s="59">
        <f>BA159-'[1]Тариф 26 свод без  ПДВ'!AU159</f>
        <v>4.9999999999990052E-3</v>
      </c>
      <c r="BC159" s="57">
        <v>0</v>
      </c>
      <c r="BD159" s="57">
        <v>0</v>
      </c>
      <c r="BE159" s="57">
        <v>0</v>
      </c>
      <c r="BF159" s="156">
        <v>10.4185</v>
      </c>
      <c r="BG159" s="59">
        <v>0.52090000000000003</v>
      </c>
      <c r="BH159" s="59"/>
      <c r="BI159" s="59"/>
      <c r="BJ159" s="14">
        <v>10.939399999999999</v>
      </c>
      <c r="BK159" s="60"/>
      <c r="BL159" s="60">
        <v>4.0511999999999997</v>
      </c>
      <c r="BM159" s="60">
        <v>0.2026</v>
      </c>
      <c r="BN159" s="14">
        <v>4.2538</v>
      </c>
      <c r="BO159" s="14"/>
      <c r="BP159" s="157"/>
      <c r="BQ159" s="158">
        <f>BJ159-'[1]Тариф 26 свод без  ПДВ'!BG159</f>
        <v>4.9999999999990052E-3</v>
      </c>
      <c r="BR159" s="77">
        <f>'[1]Тариф 26 свод без  ПДВ'!BG159</f>
        <v>10.9344</v>
      </c>
      <c r="BS159" s="159">
        <f t="shared" si="156"/>
        <v>4.9999999999990052E-3</v>
      </c>
      <c r="BU159" s="77">
        <f>'[1]Тариф 26 свод без  ПДВ'!AU159</f>
        <v>10.9344</v>
      </c>
      <c r="BV159" s="159">
        <f t="shared" si="157"/>
        <v>4.9999999999990052E-3</v>
      </c>
      <c r="BX159" s="95">
        <v>4.657</v>
      </c>
      <c r="BY159" s="95">
        <v>4.657</v>
      </c>
      <c r="BZ159" s="95"/>
      <c r="CA159" s="200">
        <f t="shared" si="158"/>
        <v>2.3490229761649126</v>
      </c>
      <c r="CB159" s="200">
        <f t="shared" si="159"/>
        <v>2.3490229761649126</v>
      </c>
      <c r="CI159" s="160">
        <f>'[1]0 СВОД'!AYY174</f>
        <v>10238.088584641921</v>
      </c>
      <c r="CJ159" s="77">
        <f t="shared" si="160"/>
        <v>122857.06301570305</v>
      </c>
      <c r="CM159" s="161">
        <v>157</v>
      </c>
      <c r="CN159" s="162" t="s">
        <v>765</v>
      </c>
      <c r="CO159" s="163">
        <v>2</v>
      </c>
      <c r="CP159" s="163">
        <v>4</v>
      </c>
      <c r="CQ159" s="164" t="s">
        <v>22</v>
      </c>
      <c r="CR159" s="165" t="s">
        <v>19</v>
      </c>
      <c r="CS159" s="166">
        <v>934.5</v>
      </c>
      <c r="CT159" s="166">
        <v>0</v>
      </c>
      <c r="CU159" s="167">
        <v>0</v>
      </c>
      <c r="CV159" s="168">
        <v>934.5</v>
      </c>
      <c r="CW159" s="166">
        <v>934.5</v>
      </c>
      <c r="CX159" s="167">
        <v>0</v>
      </c>
      <c r="CY159" s="166">
        <v>0</v>
      </c>
      <c r="CZ159" s="166"/>
      <c r="DA159" s="166">
        <v>934.5</v>
      </c>
      <c r="DB159" s="166"/>
      <c r="DC159" s="166">
        <v>0</v>
      </c>
      <c r="DD159" s="59">
        <v>0.10440000000000001</v>
      </c>
      <c r="DE159" s="59">
        <v>8.3500000000000005E-2</v>
      </c>
      <c r="DF159" s="59">
        <v>0.21329999999999999</v>
      </c>
      <c r="DG159" s="59">
        <v>3.7600000000000001E-2</v>
      </c>
      <c r="DH159" s="59">
        <v>0</v>
      </c>
      <c r="DI159" s="170">
        <v>0.25469999999999998</v>
      </c>
      <c r="DJ159" s="59">
        <v>4.8099999999999997E-2</v>
      </c>
      <c r="DK159" s="59">
        <v>0.3458</v>
      </c>
      <c r="DL159" s="169">
        <v>0</v>
      </c>
      <c r="DM159" s="59">
        <v>8.2400000000000001E-2</v>
      </c>
      <c r="DN159" s="169">
        <v>0</v>
      </c>
      <c r="DO159" s="170">
        <v>0.71300000000000008</v>
      </c>
      <c r="DP159" s="171">
        <f t="shared" si="161"/>
        <v>1.0494000000000001</v>
      </c>
      <c r="DQ159" s="59">
        <v>6.6900000000000001E-2</v>
      </c>
      <c r="DR159" s="59">
        <v>0.109</v>
      </c>
      <c r="DS159" s="59">
        <v>2.46E-2</v>
      </c>
      <c r="DT159" s="59">
        <v>1.9400000000000001E-2</v>
      </c>
      <c r="DU159" s="59">
        <v>0</v>
      </c>
      <c r="DV159" s="59">
        <v>0.04</v>
      </c>
      <c r="DW159" s="59">
        <v>1.43E-2</v>
      </c>
      <c r="DX159" s="169">
        <v>0</v>
      </c>
      <c r="DY159" s="59">
        <v>1.6516999999999999</v>
      </c>
      <c r="DZ159" s="171">
        <f t="shared" si="162"/>
        <v>1.7102984803535752</v>
      </c>
      <c r="EA159" s="59">
        <v>0.99719999999999998</v>
      </c>
      <c r="EB159" s="171">
        <f t="shared" si="163"/>
        <v>1.7029683112715603</v>
      </c>
      <c r="EC159" s="170">
        <v>0.68800000000000006</v>
      </c>
      <c r="ED159" s="171">
        <f t="shared" si="164"/>
        <v>1.9781976744186045</v>
      </c>
      <c r="EE159" s="59">
        <v>8.7499999999999994E-2</v>
      </c>
      <c r="EF159" s="59">
        <v>1.2200000000000001E-2</v>
      </c>
      <c r="EG159" s="59">
        <v>0.30280000000000001</v>
      </c>
      <c r="EH159" s="59">
        <v>0</v>
      </c>
      <c r="EI159" s="195">
        <v>0.1474</v>
      </c>
      <c r="EJ159" s="172">
        <v>6.0438000000000009</v>
      </c>
      <c r="EK159" s="173"/>
      <c r="EL159" s="169">
        <v>0</v>
      </c>
      <c r="EM159" s="169">
        <v>0</v>
      </c>
      <c r="EN159" s="59"/>
      <c r="EO159" s="172"/>
      <c r="ES159" s="57">
        <f t="shared" si="174"/>
        <v>6.0438000000000009</v>
      </c>
      <c r="ET159" s="57">
        <f t="shared" si="175"/>
        <v>0</v>
      </c>
      <c r="EU159" s="31"/>
      <c r="EV159" s="61">
        <f t="shared" si="165"/>
        <v>1.8100201859757101</v>
      </c>
      <c r="EW159" s="62"/>
      <c r="EX159" s="159">
        <f t="shared" si="205"/>
        <v>-2.4406601904761889</v>
      </c>
      <c r="EY159" s="32">
        <f t="shared" si="206"/>
        <v>-2.5626931999999982</v>
      </c>
      <c r="EZ159" s="158">
        <f t="shared" si="166"/>
        <v>10.939399999999999</v>
      </c>
      <c r="FA159" s="159">
        <f t="shared" si="167"/>
        <v>10.939399999999999</v>
      </c>
      <c r="FB159" s="158">
        <f t="shared" si="209"/>
        <v>8.0986920000000016</v>
      </c>
      <c r="FC159" s="158">
        <f t="shared" si="210"/>
        <v>2.8407079999999976</v>
      </c>
      <c r="FD159" s="158"/>
      <c r="FE159" s="158"/>
      <c r="FF159" s="158"/>
      <c r="FG159" s="174"/>
      <c r="FH159" s="174">
        <f t="shared" si="176"/>
        <v>10238.184459999999</v>
      </c>
      <c r="FI159" s="174"/>
      <c r="FJ159" s="87">
        <v>1.4577583639432146</v>
      </c>
      <c r="FK159" s="176">
        <f t="shared" si="177"/>
        <v>1.2416462362662304</v>
      </c>
      <c r="FM159" s="87" t="e">
        <f t="shared" si="178"/>
        <v>#DIV/0!</v>
      </c>
      <c r="FO159" s="88">
        <f t="shared" si="168"/>
        <v>10238.184459999999</v>
      </c>
      <c r="FP159" s="79">
        <f t="shared" si="169"/>
        <v>0</v>
      </c>
      <c r="FS159" s="79">
        <f t="shared" si="170"/>
        <v>5656.392420000001</v>
      </c>
      <c r="FT159" s="79">
        <f t="shared" si="171"/>
        <v>0</v>
      </c>
      <c r="FU159" s="79">
        <f t="shared" si="179"/>
        <v>1.8100201859757101</v>
      </c>
      <c r="FV159" s="79" t="e">
        <f t="shared" si="179"/>
        <v>#DIV/0!</v>
      </c>
      <c r="FY159" s="79">
        <f t="shared" si="180"/>
        <v>10238.184459999999</v>
      </c>
      <c r="FZ159" s="79">
        <f t="shared" si="181"/>
        <v>0</v>
      </c>
      <c r="GB159" s="178">
        <f t="shared" si="182"/>
        <v>935.9</v>
      </c>
      <c r="GC159" s="178">
        <f t="shared" si="183"/>
        <v>0</v>
      </c>
      <c r="GG159" s="14">
        <v>8.6141999999999985</v>
      </c>
      <c r="GH159" s="175">
        <f t="shared" si="184"/>
        <v>1.2699264005943676</v>
      </c>
      <c r="GI159" s="14">
        <v>8.6141999999999985</v>
      </c>
      <c r="GJ159" s="175">
        <f t="shared" si="185"/>
        <v>1.2699264005943676</v>
      </c>
      <c r="GK159" s="175">
        <f t="shared" si="150"/>
        <v>0</v>
      </c>
      <c r="GN159" s="14">
        <v>11.228000000000002</v>
      </c>
      <c r="GO159" s="175">
        <f t="shared" si="186"/>
        <v>1.303429221517959</v>
      </c>
      <c r="GP159" s="179">
        <f t="shared" si="187"/>
        <v>0.97429640185251132</v>
      </c>
      <c r="GQ159" s="14">
        <v>11.228000000000002</v>
      </c>
      <c r="GR159" s="175">
        <f t="shared" si="188"/>
        <v>1.303429221517959</v>
      </c>
      <c r="GS159" s="175">
        <f t="shared" si="189"/>
        <v>0.97429640185251132</v>
      </c>
      <c r="GV159" s="32">
        <f t="shared" si="190"/>
        <v>10238.184459999999</v>
      </c>
      <c r="GW159" s="32">
        <f t="shared" si="191"/>
        <v>0</v>
      </c>
      <c r="GX159" s="180">
        <f t="shared" si="192"/>
        <v>10238.184459999999</v>
      </c>
      <c r="GZ159" s="32">
        <f t="shared" si="193"/>
        <v>10.939399999999999</v>
      </c>
      <c r="HA159" s="32" t="e">
        <f t="shared" si="194"/>
        <v>#DIV/0!</v>
      </c>
      <c r="HB159" s="32">
        <f t="shared" si="195"/>
        <v>10.939399999999999</v>
      </c>
    </row>
    <row r="160" spans="1:210" ht="19.2" customHeight="1" x14ac:dyDescent="0.3">
      <c r="A160" s="50">
        <v>152</v>
      </c>
      <c r="B160" s="51" t="s">
        <v>766</v>
      </c>
      <c r="C160" s="51"/>
      <c r="D160" s="52">
        <v>4</v>
      </c>
      <c r="E160" s="52">
        <v>7</v>
      </c>
      <c r="F160" s="63">
        <v>72</v>
      </c>
      <c r="G160" s="54" t="s">
        <v>46</v>
      </c>
      <c r="H160" s="181" t="s">
        <v>47</v>
      </c>
      <c r="I160" s="55">
        <f t="shared" si="172"/>
        <v>4541.8</v>
      </c>
      <c r="J160" s="55">
        <f t="shared" si="152"/>
        <v>0</v>
      </c>
      <c r="K160" s="55">
        <f t="shared" si="153"/>
        <v>0</v>
      </c>
      <c r="L160" s="56">
        <v>4541.8</v>
      </c>
      <c r="M160" s="56">
        <v>4541.8</v>
      </c>
      <c r="N160" s="56">
        <f t="shared" si="173"/>
        <v>4541.8</v>
      </c>
      <c r="O160" s="56">
        <v>0</v>
      </c>
      <c r="P160" s="56">
        <v>0</v>
      </c>
      <c r="Q160" s="55"/>
      <c r="R160" s="55">
        <v>4541.8</v>
      </c>
      <c r="S160" s="55"/>
      <c r="T160" s="55">
        <v>0</v>
      </c>
      <c r="U160" s="152">
        <v>4541.8</v>
      </c>
      <c r="V160" s="57">
        <v>0.1946</v>
      </c>
      <c r="W160" s="153">
        <v>0.1026</v>
      </c>
      <c r="X160" s="57">
        <v>0.32829999999999998</v>
      </c>
      <c r="Y160" s="57">
        <v>7.5300000000000006E-2</v>
      </c>
      <c r="Z160" s="153">
        <v>0</v>
      </c>
      <c r="AA160" s="57">
        <v>0.6835</v>
      </c>
      <c r="AB160" s="153">
        <v>0</v>
      </c>
      <c r="AC160" s="57">
        <v>0.63149999999999995</v>
      </c>
      <c r="AD160" s="57">
        <v>0.12540000000000001</v>
      </c>
      <c r="AE160" s="57">
        <v>0</v>
      </c>
      <c r="AF160" s="57">
        <v>1.4207000000000001</v>
      </c>
      <c r="AG160" s="57">
        <v>0.27760000000000001</v>
      </c>
      <c r="AH160" s="57">
        <v>0.36370000000000002</v>
      </c>
      <c r="AI160" s="153">
        <v>8.5699999999999998E-2</v>
      </c>
      <c r="AJ160" s="153">
        <v>0.10489999999999999</v>
      </c>
      <c r="AK160" s="153">
        <v>0</v>
      </c>
      <c r="AL160" s="57">
        <v>0.27739999999999998</v>
      </c>
      <c r="AM160" s="153">
        <v>2.75E-2</v>
      </c>
      <c r="AN160" s="57">
        <v>0</v>
      </c>
      <c r="AO160" s="153">
        <v>1.6094999999999999</v>
      </c>
      <c r="AP160" s="57">
        <v>1.0814999999999999</v>
      </c>
      <c r="AQ160" s="57">
        <v>5.4699999999999999E-2</v>
      </c>
      <c r="AR160" s="153">
        <v>0.53190000000000004</v>
      </c>
      <c r="AS160" s="57">
        <v>7.7299999999999994E-2</v>
      </c>
      <c r="AT160" s="57">
        <v>1.2500000000000001E-2</v>
      </c>
      <c r="AU160" s="153">
        <v>0.26669999999999999</v>
      </c>
      <c r="AV160" s="153">
        <v>0</v>
      </c>
      <c r="AW160" s="154">
        <v>8.3327999999999989</v>
      </c>
      <c r="AX160" s="58">
        <v>0.41660000000000003</v>
      </c>
      <c r="AY160" s="155">
        <f t="shared" si="154"/>
        <v>0.41389999999999999</v>
      </c>
      <c r="AZ160" s="155">
        <f t="shared" si="155"/>
        <v>2.7000000000000357E-3</v>
      </c>
      <c r="BA160" s="18">
        <v>8.7493999999999996</v>
      </c>
      <c r="BB160" s="59">
        <f>BA160-'[1]Тариф 26 свод без  ПДВ'!AU160</f>
        <v>-3.5000000000007248E-3</v>
      </c>
      <c r="BC160" s="57">
        <v>0</v>
      </c>
      <c r="BD160" s="57">
        <v>0</v>
      </c>
      <c r="BE160" s="57">
        <v>0</v>
      </c>
      <c r="BF160" s="156">
        <v>8.3327999999999989</v>
      </c>
      <c r="BG160" s="59">
        <v>0.41660000000000003</v>
      </c>
      <c r="BH160" s="59"/>
      <c r="BI160" s="59"/>
      <c r="BJ160" s="18">
        <v>8.7493999999999996</v>
      </c>
      <c r="BK160" s="60"/>
      <c r="BL160" s="60">
        <v>4.8431999999999986</v>
      </c>
      <c r="BM160" s="60">
        <v>0.2422</v>
      </c>
      <c r="BN160" s="14">
        <v>5.085399999999999</v>
      </c>
      <c r="BO160" s="18"/>
      <c r="BP160" s="232"/>
      <c r="BQ160" s="158">
        <f>BJ160-'[1]Тариф 26 свод без  ПДВ'!BG160</f>
        <v>-3.5000000000007248E-3</v>
      </c>
      <c r="BR160" s="77">
        <f>'[1]Тариф 26 свод без  ПДВ'!BG160</f>
        <v>8.7529000000000003</v>
      </c>
      <c r="BS160" s="159">
        <f t="shared" si="156"/>
        <v>-3.5000000000007248E-3</v>
      </c>
      <c r="BU160" s="77">
        <f>'[1]Тариф 26 свод без  ПДВ'!AU160</f>
        <v>8.7529000000000003</v>
      </c>
      <c r="BV160" s="159">
        <f t="shared" si="157"/>
        <v>-3.5000000000007248E-3</v>
      </c>
      <c r="BX160" s="95">
        <v>4.6010999999999997</v>
      </c>
      <c r="BY160" s="95">
        <v>4.6010999999999997</v>
      </c>
      <c r="BZ160" s="95"/>
      <c r="CA160" s="233">
        <f t="shared" si="158"/>
        <v>1.901588750516181</v>
      </c>
      <c r="CB160" s="233">
        <f t="shared" si="159"/>
        <v>1.901588750516181</v>
      </c>
      <c r="CI160" s="160">
        <f>'[1]0 СВОД'!AYY175</f>
        <v>39737.774294846575</v>
      </c>
      <c r="CJ160" s="77">
        <f t="shared" si="160"/>
        <v>476853.2915381589</v>
      </c>
      <c r="CM160" s="161">
        <v>158</v>
      </c>
      <c r="CN160" s="183" t="s">
        <v>767</v>
      </c>
      <c r="CO160" s="163">
        <v>4</v>
      </c>
      <c r="CP160" s="163">
        <v>7</v>
      </c>
      <c r="CQ160" s="164" t="s">
        <v>46</v>
      </c>
      <c r="CR160" s="165" t="s">
        <v>47</v>
      </c>
      <c r="CS160" s="166">
        <v>4539</v>
      </c>
      <c r="CT160" s="166">
        <v>0</v>
      </c>
      <c r="CU160" s="167">
        <v>0</v>
      </c>
      <c r="CV160" s="168">
        <v>4539</v>
      </c>
      <c r="CW160" s="166">
        <v>4539</v>
      </c>
      <c r="CX160" s="167">
        <v>0</v>
      </c>
      <c r="CY160" s="166">
        <v>0</v>
      </c>
      <c r="CZ160" s="166"/>
      <c r="DA160" s="166">
        <v>4539</v>
      </c>
      <c r="DB160" s="166"/>
      <c r="DC160" s="166">
        <v>0</v>
      </c>
      <c r="DD160" s="59">
        <v>0.1862</v>
      </c>
      <c r="DE160" s="59">
        <v>0.16669999999999999</v>
      </c>
      <c r="DF160" s="59">
        <v>0.216</v>
      </c>
      <c r="DG160" s="59">
        <v>4.4499999999999998E-2</v>
      </c>
      <c r="DH160" s="59">
        <v>0</v>
      </c>
      <c r="DI160" s="59">
        <v>0.3024</v>
      </c>
      <c r="DJ160" s="59">
        <v>4.8099999999999997E-2</v>
      </c>
      <c r="DK160" s="59">
        <v>0.3458</v>
      </c>
      <c r="DL160" s="169">
        <v>0</v>
      </c>
      <c r="DM160" s="59">
        <v>7.6300000000000007E-2</v>
      </c>
      <c r="DN160" s="169">
        <v>0</v>
      </c>
      <c r="DO160" s="184">
        <v>0.80120000000000002</v>
      </c>
      <c r="DP160" s="171">
        <f t="shared" si="161"/>
        <v>1.4207000000000001</v>
      </c>
      <c r="DQ160" s="59">
        <v>0.1338</v>
      </c>
      <c r="DR160" s="59">
        <v>0.2177</v>
      </c>
      <c r="DS160" s="59">
        <v>2.23E-2</v>
      </c>
      <c r="DT160" s="59">
        <v>4.9299999999999997E-2</v>
      </c>
      <c r="DU160" s="59">
        <v>0</v>
      </c>
      <c r="DV160" s="59">
        <v>9.7000000000000003E-2</v>
      </c>
      <c r="DW160" s="59">
        <v>6.3E-3</v>
      </c>
      <c r="DX160" s="169">
        <v>0</v>
      </c>
      <c r="DY160" s="59">
        <v>0.86990000000000001</v>
      </c>
      <c r="DZ160" s="171">
        <f t="shared" si="162"/>
        <v>1.8502126681227726</v>
      </c>
      <c r="EA160" s="59">
        <v>0.63649999999999995</v>
      </c>
      <c r="EB160" s="171">
        <f t="shared" si="163"/>
        <v>1.7850746268656716</v>
      </c>
      <c r="EC160" s="59">
        <v>0.31869999999999998</v>
      </c>
      <c r="ED160" s="171">
        <f t="shared" si="164"/>
        <v>1.668967681204895</v>
      </c>
      <c r="EE160" s="59">
        <v>5.9200000000000003E-2</v>
      </c>
      <c r="EF160" s="59">
        <v>8.2000000000000007E-3</v>
      </c>
      <c r="EG160" s="59">
        <v>0.31969999999999998</v>
      </c>
      <c r="EH160" s="59">
        <v>0</v>
      </c>
      <c r="EI160" s="234">
        <v>0.1231</v>
      </c>
      <c r="EJ160" s="172">
        <v>5.0488999999999997</v>
      </c>
      <c r="EK160" s="173"/>
      <c r="EL160" s="169">
        <v>0</v>
      </c>
      <c r="EM160" s="169">
        <v>0</v>
      </c>
      <c r="EN160" s="59"/>
      <c r="EO160" s="172"/>
      <c r="ES160" s="57">
        <f t="shared" si="174"/>
        <v>5.0488999999999997</v>
      </c>
      <c r="ET160" s="57">
        <f t="shared" si="175"/>
        <v>0</v>
      </c>
      <c r="EU160" s="31"/>
      <c r="EV160" s="65">
        <f t="shared" si="165"/>
        <v>1.7329319257660085</v>
      </c>
      <c r="EW160" s="62"/>
      <c r="EX160" s="203"/>
      <c r="EY160" s="32"/>
      <c r="EZ160" s="158">
        <f t="shared" si="166"/>
        <v>8.7493999999999996</v>
      </c>
      <c r="FA160" s="235">
        <f t="shared" si="167"/>
        <v>8.7493999999999996</v>
      </c>
      <c r="FH160" s="174">
        <f t="shared" si="176"/>
        <v>39738.024920000003</v>
      </c>
      <c r="FJ160" s="87">
        <v>1.279565846025867</v>
      </c>
      <c r="FK160" s="176">
        <f t="shared" si="177"/>
        <v>1.3543124264751409</v>
      </c>
      <c r="FM160" s="87" t="e">
        <f t="shared" si="178"/>
        <v>#DIV/0!</v>
      </c>
      <c r="FO160" s="88">
        <f t="shared" si="168"/>
        <v>39738.024920000003</v>
      </c>
      <c r="FP160" s="79">
        <f t="shared" si="169"/>
        <v>0</v>
      </c>
      <c r="FS160" s="178">
        <f t="shared" si="170"/>
        <v>22931.09402</v>
      </c>
      <c r="FT160" s="79">
        <f t="shared" si="171"/>
        <v>0</v>
      </c>
      <c r="FU160" s="79">
        <f>FO160/FS160</f>
        <v>1.7329319257660085</v>
      </c>
      <c r="FV160" s="79" t="e">
        <f t="shared" si="179"/>
        <v>#DIV/0!</v>
      </c>
      <c r="FY160" s="79">
        <f t="shared" si="180"/>
        <v>39738.024920000003</v>
      </c>
      <c r="FZ160" s="79">
        <f t="shared" si="181"/>
        <v>0</v>
      </c>
      <c r="GB160" s="178">
        <f t="shared" si="182"/>
        <v>4541.8</v>
      </c>
      <c r="GC160" s="178">
        <f t="shared" si="183"/>
        <v>0</v>
      </c>
      <c r="GG160" s="14">
        <v>6.8900000000000006</v>
      </c>
      <c r="GH160" s="175">
        <f t="shared" si="184"/>
        <v>1.2698693759071116</v>
      </c>
      <c r="GI160" s="14">
        <v>6.8900000000000006</v>
      </c>
      <c r="GJ160" s="175">
        <f t="shared" si="185"/>
        <v>1.2698693759071116</v>
      </c>
      <c r="GK160" s="175">
        <f t="shared" si="150"/>
        <v>0</v>
      </c>
      <c r="GN160" s="18">
        <v>8.8225000000000016</v>
      </c>
      <c r="GO160" s="175">
        <f t="shared" si="186"/>
        <v>1.2804789550072571</v>
      </c>
      <c r="GP160" s="179">
        <f t="shared" si="187"/>
        <v>0.99171436667611201</v>
      </c>
      <c r="GQ160" s="18">
        <v>8.8225000000000016</v>
      </c>
      <c r="GR160" s="175">
        <f t="shared" si="188"/>
        <v>1.2804789550072571</v>
      </c>
      <c r="GS160" s="175">
        <f t="shared" si="189"/>
        <v>0.99171436667611201</v>
      </c>
      <c r="GV160" s="32">
        <f t="shared" si="190"/>
        <v>39738.024920000003</v>
      </c>
      <c r="GW160" s="32">
        <f t="shared" si="191"/>
        <v>0</v>
      </c>
      <c r="GX160" s="180">
        <f t="shared" si="192"/>
        <v>39738.024920000003</v>
      </c>
      <c r="GZ160" s="32">
        <f t="shared" si="193"/>
        <v>8.7493999999999996</v>
      </c>
      <c r="HA160" s="32" t="e">
        <f t="shared" si="194"/>
        <v>#DIV/0!</v>
      </c>
      <c r="HB160" s="32">
        <f t="shared" si="195"/>
        <v>8.7493999999999996</v>
      </c>
    </row>
    <row r="161" spans="1:210" ht="19.2" customHeight="1" x14ac:dyDescent="0.3">
      <c r="A161" s="50">
        <v>153</v>
      </c>
      <c r="B161" s="51" t="s">
        <v>768</v>
      </c>
      <c r="C161" s="51"/>
      <c r="D161" s="52">
        <v>2</v>
      </c>
      <c r="E161" s="52">
        <v>2</v>
      </c>
      <c r="F161" s="187">
        <v>26</v>
      </c>
      <c r="G161" s="54" t="s">
        <v>23</v>
      </c>
      <c r="H161" s="181" t="s">
        <v>19</v>
      </c>
      <c r="I161" s="55">
        <f t="shared" si="172"/>
        <v>1071.8</v>
      </c>
      <c r="J161" s="55">
        <f t="shared" si="152"/>
        <v>0</v>
      </c>
      <c r="K161" s="55">
        <f t="shared" si="153"/>
        <v>0</v>
      </c>
      <c r="L161" s="56">
        <v>1071.8</v>
      </c>
      <c r="M161" s="56">
        <v>1071.8</v>
      </c>
      <c r="N161" s="56">
        <f t="shared" si="173"/>
        <v>1071.8</v>
      </c>
      <c r="O161" s="56">
        <v>0</v>
      </c>
      <c r="P161" s="56">
        <v>0</v>
      </c>
      <c r="Q161" s="55"/>
      <c r="R161" s="55">
        <v>1071.8</v>
      </c>
      <c r="S161" s="55"/>
      <c r="T161" s="55">
        <v>0</v>
      </c>
      <c r="U161" s="152">
        <v>1071.8</v>
      </c>
      <c r="V161" s="57">
        <v>0.2117</v>
      </c>
      <c r="W161" s="153">
        <v>0.13719999999999999</v>
      </c>
      <c r="X161" s="57">
        <v>0.31490000000000001</v>
      </c>
      <c r="Y161" s="57">
        <v>7.1800000000000003E-2</v>
      </c>
      <c r="Z161" s="153">
        <v>0</v>
      </c>
      <c r="AA161" s="57">
        <v>0.4708</v>
      </c>
      <c r="AB161" s="153">
        <v>0</v>
      </c>
      <c r="AC161" s="57">
        <v>0.63149999999999995</v>
      </c>
      <c r="AD161" s="57">
        <v>0.14760000000000001</v>
      </c>
      <c r="AE161" s="57">
        <v>0</v>
      </c>
      <c r="AF161" s="57">
        <v>0.9073</v>
      </c>
      <c r="AG161" s="57">
        <v>0.24829999999999999</v>
      </c>
      <c r="AH161" s="57">
        <v>0.33050000000000002</v>
      </c>
      <c r="AI161" s="153">
        <v>6.8599999999999994E-2</v>
      </c>
      <c r="AJ161" s="153">
        <v>7.8899999999999998E-2</v>
      </c>
      <c r="AK161" s="153">
        <v>0</v>
      </c>
      <c r="AL161" s="57">
        <v>4.1700000000000001E-2</v>
      </c>
      <c r="AM161" s="153">
        <v>0</v>
      </c>
      <c r="AN161" s="57">
        <v>0</v>
      </c>
      <c r="AO161" s="153">
        <v>3.3744000000000001</v>
      </c>
      <c r="AP161" s="57">
        <v>2.3065000000000002</v>
      </c>
      <c r="AQ161" s="57">
        <v>0</v>
      </c>
      <c r="AR161" s="153">
        <v>0.73509999999999998</v>
      </c>
      <c r="AS161" s="57">
        <v>0</v>
      </c>
      <c r="AT161" s="57">
        <v>0</v>
      </c>
      <c r="AU161" s="153">
        <v>0.47810000000000002</v>
      </c>
      <c r="AV161" s="153">
        <v>0</v>
      </c>
      <c r="AW161" s="154">
        <v>10.554899999999998</v>
      </c>
      <c r="AX161" s="58">
        <v>0.52769999999999995</v>
      </c>
      <c r="AY161" s="155">
        <f t="shared" si="154"/>
        <v>0.52769999999999995</v>
      </c>
      <c r="AZ161" s="155">
        <f t="shared" si="155"/>
        <v>0</v>
      </c>
      <c r="BA161" s="14">
        <v>11.082599999999998</v>
      </c>
      <c r="BB161" s="59">
        <f>BA161-'[1]Тариф 26 свод без  ПДВ'!AU161</f>
        <v>-1.0000000000331966E-4</v>
      </c>
      <c r="BC161" s="57">
        <v>0</v>
      </c>
      <c r="BD161" s="57">
        <v>0</v>
      </c>
      <c r="BE161" s="57">
        <v>0</v>
      </c>
      <c r="BF161" s="156">
        <v>10.554899999999998</v>
      </c>
      <c r="BG161" s="59">
        <v>0.52769999999999995</v>
      </c>
      <c r="BH161" s="59"/>
      <c r="BI161" s="59"/>
      <c r="BJ161" s="14">
        <v>11.082599999999998</v>
      </c>
      <c r="BK161" s="60"/>
      <c r="BL161" s="60">
        <v>3.6607999999999996</v>
      </c>
      <c r="BM161" s="60">
        <v>0.183</v>
      </c>
      <c r="BN161" s="14">
        <v>3.8437999999999994</v>
      </c>
      <c r="BO161" s="14"/>
      <c r="BP161" s="157"/>
      <c r="BQ161" s="158">
        <f>BJ161-'[1]Тариф 26 свод без  ПДВ'!BG161</f>
        <v>-1.0000000000331966E-4</v>
      </c>
      <c r="BR161" s="77">
        <f>'[1]Тариф 26 свод без  ПДВ'!BG161</f>
        <v>11.082700000000001</v>
      </c>
      <c r="BS161" s="159">
        <f t="shared" si="156"/>
        <v>-1.0000000000331966E-4</v>
      </c>
      <c r="BU161" s="77">
        <f>'[1]Тариф 26 свод без  ПДВ'!AU161</f>
        <v>11.082700000000001</v>
      </c>
      <c r="BV161" s="159">
        <f t="shared" si="157"/>
        <v>-1.0000000000331966E-4</v>
      </c>
      <c r="BX161" s="95">
        <v>4.8320000000000007</v>
      </c>
      <c r="BY161" s="95">
        <v>4.8320000000000007</v>
      </c>
      <c r="BZ161" s="95"/>
      <c r="CA161" s="233">
        <f t="shared" si="158"/>
        <v>2.2935844370860918</v>
      </c>
      <c r="CB161" s="233">
        <f t="shared" si="159"/>
        <v>2.2935844370860918</v>
      </c>
      <c r="CI161" s="160">
        <f>'[1]0 СВОД'!AYY176</f>
        <v>11878.154005470959</v>
      </c>
      <c r="CJ161" s="77">
        <f t="shared" si="160"/>
        <v>142537.84806565149</v>
      </c>
      <c r="CM161" s="161">
        <v>159</v>
      </c>
      <c r="CN161" s="162" t="s">
        <v>769</v>
      </c>
      <c r="CO161" s="163">
        <v>2</v>
      </c>
      <c r="CP161" s="163">
        <v>2</v>
      </c>
      <c r="CQ161" s="164" t="s">
        <v>23</v>
      </c>
      <c r="CR161" s="165" t="s">
        <v>19</v>
      </c>
      <c r="CS161" s="166">
        <v>1071.8</v>
      </c>
      <c r="CT161" s="166">
        <v>0</v>
      </c>
      <c r="CU161" s="167">
        <v>0</v>
      </c>
      <c r="CV161" s="168">
        <v>1071.8</v>
      </c>
      <c r="CW161" s="166">
        <v>1071.8</v>
      </c>
      <c r="CX161" s="167">
        <v>0</v>
      </c>
      <c r="CY161" s="166">
        <v>0</v>
      </c>
      <c r="CZ161" s="166"/>
      <c r="DA161" s="166">
        <v>1071.8</v>
      </c>
      <c r="DB161" s="166"/>
      <c r="DC161" s="166">
        <v>0</v>
      </c>
      <c r="DD161" s="59">
        <v>0.1633</v>
      </c>
      <c r="DE161" s="59">
        <v>0.17419999999999999</v>
      </c>
      <c r="DF161" s="59">
        <v>0.20660000000000001</v>
      </c>
      <c r="DG161" s="59">
        <v>4.2099999999999999E-2</v>
      </c>
      <c r="DH161" s="59">
        <v>0</v>
      </c>
      <c r="DI161" s="59">
        <v>0.2069</v>
      </c>
      <c r="DJ161" s="59">
        <v>0</v>
      </c>
      <c r="DK161" s="59">
        <v>0.3458</v>
      </c>
      <c r="DL161" s="169">
        <v>0</v>
      </c>
      <c r="DM161" s="59">
        <v>8.9800000000000005E-2</v>
      </c>
      <c r="DN161" s="169">
        <v>0</v>
      </c>
      <c r="DO161" s="59">
        <v>0.59409999999999996</v>
      </c>
      <c r="DP161" s="171">
        <f t="shared" si="161"/>
        <v>0.9073</v>
      </c>
      <c r="DQ161" s="59">
        <v>9.9699999999999997E-2</v>
      </c>
      <c r="DR161" s="59">
        <v>0.22750000000000001</v>
      </c>
      <c r="DS161" s="59">
        <v>1.7500000000000002E-2</v>
      </c>
      <c r="DT161" s="59">
        <v>3.73E-2</v>
      </c>
      <c r="DU161" s="59">
        <v>0</v>
      </c>
      <c r="DV161" s="59">
        <v>1.49E-2</v>
      </c>
      <c r="DW161" s="59">
        <v>0</v>
      </c>
      <c r="DX161" s="169">
        <v>0</v>
      </c>
      <c r="DY161" s="170">
        <v>1.6520000000000001</v>
      </c>
      <c r="DZ161" s="171">
        <f t="shared" si="162"/>
        <v>2.0426150121065376</v>
      </c>
      <c r="EA161" s="170">
        <v>1.2275</v>
      </c>
      <c r="EB161" s="171">
        <f t="shared" si="163"/>
        <v>1.879022403258656</v>
      </c>
      <c r="EC161" s="170">
        <v>0.36869999999999997</v>
      </c>
      <c r="ED161" s="171">
        <f t="shared" si="164"/>
        <v>1.993761866015731</v>
      </c>
      <c r="EE161" s="169">
        <v>0</v>
      </c>
      <c r="EF161" s="169">
        <v>0</v>
      </c>
      <c r="EG161" s="59">
        <v>0.44719999999999999</v>
      </c>
      <c r="EH161" s="59">
        <v>0</v>
      </c>
      <c r="EI161" s="195">
        <v>0.1479</v>
      </c>
      <c r="EJ161" s="172">
        <v>6.0629999999999988</v>
      </c>
      <c r="EK161" s="173"/>
      <c r="EL161" s="169">
        <v>0</v>
      </c>
      <c r="EM161" s="169">
        <v>0</v>
      </c>
      <c r="EN161" s="59"/>
      <c r="EO161" s="172"/>
      <c r="ES161" s="57">
        <f t="shared" si="174"/>
        <v>6.0629999999999988</v>
      </c>
      <c r="ET161" s="57">
        <f t="shared" si="175"/>
        <v>0</v>
      </c>
      <c r="EU161" s="31"/>
      <c r="EV161" s="61">
        <f t="shared" si="165"/>
        <v>1.827906976744186</v>
      </c>
      <c r="EW161" s="62"/>
      <c r="EX161" s="159">
        <f t="shared" ref="EX161:EX173" si="211">EY161/1.05</f>
        <v>-2.5516971428571433</v>
      </c>
      <c r="EY161" s="32">
        <f t="shared" ref="EY161:EY173" si="212">ES161*1.386-BJ161</f>
        <v>-2.6792820000000006</v>
      </c>
      <c r="EZ161" s="158">
        <f t="shared" si="166"/>
        <v>11.082599999999998</v>
      </c>
      <c r="FA161" s="159">
        <f t="shared" si="167"/>
        <v>11.082599999999998</v>
      </c>
      <c r="FB161" s="158">
        <f>ES161*1.34</f>
        <v>8.1244199999999989</v>
      </c>
      <c r="FC161" s="158">
        <f>EZ161-FB161</f>
        <v>2.9581799999999987</v>
      </c>
      <c r="FD161" s="158"/>
      <c r="FE161" s="158"/>
      <c r="FF161" s="158"/>
      <c r="FG161" s="174"/>
      <c r="FH161" s="174">
        <f t="shared" si="176"/>
        <v>11878.330679999997</v>
      </c>
      <c r="FI161" s="174"/>
      <c r="FJ161" s="87">
        <v>1.5415141019297376</v>
      </c>
      <c r="FK161" s="176">
        <f t="shared" si="177"/>
        <v>1.1857867368556205</v>
      </c>
      <c r="FM161" s="87" t="e">
        <f t="shared" si="178"/>
        <v>#DIV/0!</v>
      </c>
      <c r="FO161" s="88">
        <f t="shared" si="168"/>
        <v>11878.330679999997</v>
      </c>
      <c r="FP161" s="79">
        <f t="shared" si="169"/>
        <v>0</v>
      </c>
      <c r="FS161" s="79">
        <f t="shared" si="170"/>
        <v>6498.3233999999984</v>
      </c>
      <c r="FT161" s="79">
        <f t="shared" si="171"/>
        <v>0</v>
      </c>
      <c r="FU161" s="79">
        <f t="shared" si="179"/>
        <v>1.827906976744186</v>
      </c>
      <c r="FV161" s="79" t="e">
        <f t="shared" si="179"/>
        <v>#DIV/0!</v>
      </c>
      <c r="FY161" s="79">
        <f t="shared" si="180"/>
        <v>11878.330679999997</v>
      </c>
      <c r="FZ161" s="79">
        <f t="shared" si="181"/>
        <v>0</v>
      </c>
      <c r="GB161" s="178">
        <f t="shared" si="182"/>
        <v>1071.8</v>
      </c>
      <c r="GC161" s="178">
        <f t="shared" si="183"/>
        <v>0</v>
      </c>
      <c r="GG161" s="14">
        <v>8.7268999999999988</v>
      </c>
      <c r="GH161" s="175">
        <f t="shared" si="184"/>
        <v>1.2699354868280832</v>
      </c>
      <c r="GI161" s="14">
        <v>8.7268999999999988</v>
      </c>
      <c r="GJ161" s="175">
        <f t="shared" si="185"/>
        <v>1.2699354868280832</v>
      </c>
      <c r="GK161" s="175">
        <f t="shared" si="150"/>
        <v>0</v>
      </c>
      <c r="GN161" s="14">
        <v>11.148200000000001</v>
      </c>
      <c r="GO161" s="175">
        <f t="shared" si="186"/>
        <v>1.2774524745327669</v>
      </c>
      <c r="GP161" s="179">
        <f t="shared" si="187"/>
        <v>0.99411564198704694</v>
      </c>
      <c r="GQ161" s="14">
        <v>11.148200000000001</v>
      </c>
      <c r="GR161" s="175">
        <f t="shared" si="188"/>
        <v>1.2774524745327669</v>
      </c>
      <c r="GS161" s="175">
        <f t="shared" si="189"/>
        <v>0.99411564198704694</v>
      </c>
      <c r="GV161" s="32">
        <f t="shared" si="190"/>
        <v>11878.330679999997</v>
      </c>
      <c r="GW161" s="32">
        <f t="shared" si="191"/>
        <v>0</v>
      </c>
      <c r="GX161" s="180">
        <f t="shared" si="192"/>
        <v>11878.330679999997</v>
      </c>
      <c r="GZ161" s="32">
        <f t="shared" si="193"/>
        <v>11.082599999999998</v>
      </c>
      <c r="HA161" s="32" t="e">
        <f t="shared" si="194"/>
        <v>#DIV/0!</v>
      </c>
      <c r="HB161" s="32">
        <f t="shared" si="195"/>
        <v>11.082599999999998</v>
      </c>
    </row>
    <row r="162" spans="1:210" ht="19.2" customHeight="1" x14ac:dyDescent="0.3">
      <c r="A162" s="50">
        <v>154</v>
      </c>
      <c r="B162" s="51" t="s">
        <v>770</v>
      </c>
      <c r="C162" s="51"/>
      <c r="D162" s="52">
        <v>3</v>
      </c>
      <c r="E162" s="52">
        <v>4</v>
      </c>
      <c r="F162" s="63">
        <v>24</v>
      </c>
      <c r="G162" s="54" t="s">
        <v>40</v>
      </c>
      <c r="H162" s="181" t="s">
        <v>37</v>
      </c>
      <c r="I162" s="55">
        <f t="shared" si="172"/>
        <v>1611.5</v>
      </c>
      <c r="J162" s="55">
        <f t="shared" si="152"/>
        <v>0</v>
      </c>
      <c r="K162" s="55">
        <f t="shared" si="153"/>
        <v>0</v>
      </c>
      <c r="L162" s="56">
        <v>1611.5</v>
      </c>
      <c r="M162" s="56">
        <v>1611.5</v>
      </c>
      <c r="N162" s="56">
        <f t="shared" si="173"/>
        <v>1611.5</v>
      </c>
      <c r="O162" s="56">
        <v>0</v>
      </c>
      <c r="P162" s="56">
        <v>0</v>
      </c>
      <c r="Q162" s="55"/>
      <c r="R162" s="55">
        <v>1611.5</v>
      </c>
      <c r="S162" s="55"/>
      <c r="T162" s="55">
        <v>0</v>
      </c>
      <c r="U162" s="152">
        <v>1611.5</v>
      </c>
      <c r="V162" s="57">
        <v>0.19989999999999999</v>
      </c>
      <c r="W162" s="153">
        <v>0.11459999999999999</v>
      </c>
      <c r="X162" s="57">
        <v>0.33910000000000001</v>
      </c>
      <c r="Y162" s="57">
        <v>7.46E-2</v>
      </c>
      <c r="Z162" s="153">
        <v>0</v>
      </c>
      <c r="AA162" s="57">
        <v>0.53700000000000003</v>
      </c>
      <c r="AB162" s="153">
        <v>0</v>
      </c>
      <c r="AC162" s="57">
        <v>0.63149999999999995</v>
      </c>
      <c r="AD162" s="57">
        <v>0.1178</v>
      </c>
      <c r="AE162" s="57">
        <v>0</v>
      </c>
      <c r="AF162" s="57">
        <v>1.9066000000000001</v>
      </c>
      <c r="AG162" s="57">
        <v>0.2356</v>
      </c>
      <c r="AH162" s="57">
        <v>0.40639999999999998</v>
      </c>
      <c r="AI162" s="153">
        <v>8.48E-2</v>
      </c>
      <c r="AJ162" s="153">
        <v>6.6699999999999995E-2</v>
      </c>
      <c r="AK162" s="153">
        <v>0</v>
      </c>
      <c r="AL162" s="57">
        <v>0.13370000000000001</v>
      </c>
      <c r="AM162" s="153">
        <v>3.3099999999999997E-2</v>
      </c>
      <c r="AN162" s="57">
        <v>0</v>
      </c>
      <c r="AO162" s="153">
        <v>1.7967</v>
      </c>
      <c r="AP162" s="57">
        <v>1.6372</v>
      </c>
      <c r="AQ162" s="57">
        <v>5.9200000000000003E-2</v>
      </c>
      <c r="AR162" s="153">
        <v>1.002</v>
      </c>
      <c r="AS162" s="57">
        <v>0.11360000000000001</v>
      </c>
      <c r="AT162" s="57">
        <v>1.84E-2</v>
      </c>
      <c r="AU162" s="153">
        <v>0.33400000000000002</v>
      </c>
      <c r="AV162" s="153">
        <v>0</v>
      </c>
      <c r="AW162" s="154">
        <v>9.8425000000000011</v>
      </c>
      <c r="AX162" s="58">
        <v>0.49209999999999998</v>
      </c>
      <c r="AY162" s="155">
        <f t="shared" si="154"/>
        <v>0.48920000000000002</v>
      </c>
      <c r="AZ162" s="155">
        <f t="shared" si="155"/>
        <v>2.8999999999999582E-3</v>
      </c>
      <c r="BA162" s="14">
        <v>10.334600000000002</v>
      </c>
      <c r="BB162" s="59">
        <f>BA162-'[1]Тариф 26 свод без  ПДВ'!AU162</f>
        <v>0</v>
      </c>
      <c r="BC162" s="57">
        <v>0</v>
      </c>
      <c r="BD162" s="57">
        <v>0</v>
      </c>
      <c r="BE162" s="57">
        <v>0</v>
      </c>
      <c r="BF162" s="156">
        <v>9.8425000000000011</v>
      </c>
      <c r="BG162" s="59">
        <v>0.49209999999999998</v>
      </c>
      <c r="BH162" s="59"/>
      <c r="BI162" s="59"/>
      <c r="BJ162" s="14">
        <v>10.334600000000002</v>
      </c>
      <c r="BK162" s="60"/>
      <c r="BL162" s="60">
        <v>5.0726000000000013</v>
      </c>
      <c r="BM162" s="60">
        <v>0.25359999999999999</v>
      </c>
      <c r="BN162" s="14">
        <v>5.3262000000000009</v>
      </c>
      <c r="BO162" s="14"/>
      <c r="BP162" s="157"/>
      <c r="BQ162" s="158">
        <f>BJ162-'[1]Тариф 26 свод без  ПДВ'!BG162</f>
        <v>0</v>
      </c>
      <c r="BR162" s="77">
        <f>'[1]Тариф 26 свод без  ПДВ'!BG162</f>
        <v>10.3346</v>
      </c>
      <c r="BS162" s="159">
        <f t="shared" si="156"/>
        <v>0</v>
      </c>
      <c r="BU162" s="77">
        <f>'[1]Тариф 26 свод без  ПДВ'!AU162</f>
        <v>10.3346</v>
      </c>
      <c r="BV162" s="159">
        <f t="shared" si="157"/>
        <v>0</v>
      </c>
      <c r="BX162" s="95">
        <v>4.5583</v>
      </c>
      <c r="BY162" s="95">
        <v>4.5583</v>
      </c>
      <c r="BZ162" s="95"/>
      <c r="CA162" s="200">
        <f t="shared" si="158"/>
        <v>2.2672048790119126</v>
      </c>
      <c r="CB162" s="200">
        <f t="shared" si="159"/>
        <v>2.2672048790119126</v>
      </c>
      <c r="CI162" s="160">
        <f>'[1]0 СВОД'!AYY177</f>
        <v>16654.380090959239</v>
      </c>
      <c r="CJ162" s="77">
        <f t="shared" si="160"/>
        <v>199852.56109151087</v>
      </c>
      <c r="CM162" s="161">
        <v>160</v>
      </c>
      <c r="CN162" s="183" t="s">
        <v>771</v>
      </c>
      <c r="CO162" s="163">
        <v>3</v>
      </c>
      <c r="CP162" s="163">
        <v>4</v>
      </c>
      <c r="CQ162" s="164" t="s">
        <v>40</v>
      </c>
      <c r="CR162" s="165" t="s">
        <v>37</v>
      </c>
      <c r="CS162" s="166">
        <v>1611.5</v>
      </c>
      <c r="CT162" s="166">
        <v>0</v>
      </c>
      <c r="CU162" s="167">
        <v>0</v>
      </c>
      <c r="CV162" s="168">
        <v>1611.5</v>
      </c>
      <c r="CW162" s="166">
        <v>1611.5</v>
      </c>
      <c r="CX162" s="167">
        <v>0</v>
      </c>
      <c r="CY162" s="166">
        <v>0</v>
      </c>
      <c r="CZ162" s="166"/>
      <c r="DA162" s="166">
        <v>1611.5</v>
      </c>
      <c r="DB162" s="166"/>
      <c r="DC162" s="166">
        <v>0</v>
      </c>
      <c r="DD162" s="184">
        <v>0.18540000000000001</v>
      </c>
      <c r="DE162" s="59">
        <v>0.1862</v>
      </c>
      <c r="DF162" s="59">
        <v>0.2228</v>
      </c>
      <c r="DG162" s="59">
        <v>4.3900000000000002E-2</v>
      </c>
      <c r="DH162" s="59">
        <v>0</v>
      </c>
      <c r="DI162" s="59">
        <v>0.23330000000000001</v>
      </c>
      <c r="DJ162" s="59">
        <v>4.8099999999999997E-2</v>
      </c>
      <c r="DK162" s="59">
        <v>0.3458</v>
      </c>
      <c r="DL162" s="169">
        <v>0</v>
      </c>
      <c r="DM162" s="59">
        <v>7.17E-2</v>
      </c>
      <c r="DN162" s="169">
        <v>0</v>
      </c>
      <c r="DO162" s="59">
        <v>1.0973999999999999</v>
      </c>
      <c r="DP162" s="171">
        <f t="shared" si="161"/>
        <v>1.9066000000000001</v>
      </c>
      <c r="DQ162" s="59">
        <v>0.1133</v>
      </c>
      <c r="DR162" s="59">
        <v>0.24310000000000001</v>
      </c>
      <c r="DS162" s="59">
        <v>2.2100000000000002E-2</v>
      </c>
      <c r="DT162" s="59">
        <v>3.1399999999999997E-2</v>
      </c>
      <c r="DU162" s="59">
        <v>0</v>
      </c>
      <c r="DV162" s="59">
        <v>4.6800000000000001E-2</v>
      </c>
      <c r="DW162" s="59">
        <v>8.9999999999999993E-3</v>
      </c>
      <c r="DX162" s="169">
        <v>0</v>
      </c>
      <c r="DY162" s="59">
        <v>0.88129999999999997</v>
      </c>
      <c r="DZ162" s="171">
        <f t="shared" si="162"/>
        <v>2.0386928401225464</v>
      </c>
      <c r="EA162" s="59">
        <v>0.95889999999999997</v>
      </c>
      <c r="EB162" s="171">
        <f t="shared" si="163"/>
        <v>1.7691104390447387</v>
      </c>
      <c r="EC162" s="59">
        <v>0.47810000000000002</v>
      </c>
      <c r="ED162" s="171">
        <f t="shared" si="164"/>
        <v>2.0957958586069858</v>
      </c>
      <c r="EE162" s="59">
        <v>8.6900000000000005E-2</v>
      </c>
      <c r="EF162" s="59">
        <v>1.21E-2</v>
      </c>
      <c r="EG162" s="59">
        <v>0.27589999999999998</v>
      </c>
      <c r="EH162" s="59">
        <v>0</v>
      </c>
      <c r="EI162" s="230">
        <v>0.13980000000000001</v>
      </c>
      <c r="EJ162" s="172">
        <v>5.7333000000000016</v>
      </c>
      <c r="EK162" s="173"/>
      <c r="EL162" s="169">
        <v>0</v>
      </c>
      <c r="EM162" s="169">
        <v>0</v>
      </c>
      <c r="EN162" s="59"/>
      <c r="EO162" s="172"/>
      <c r="ES162" s="57">
        <f t="shared" si="174"/>
        <v>5.7333000000000016</v>
      </c>
      <c r="ET162" s="57">
        <f t="shared" si="175"/>
        <v>0</v>
      </c>
      <c r="EU162" s="31"/>
      <c r="EV162" s="61">
        <f t="shared" si="165"/>
        <v>1.802556991610416</v>
      </c>
      <c r="EW162" s="61"/>
      <c r="EX162" s="159">
        <f t="shared" si="211"/>
        <v>-2.2745201904761907</v>
      </c>
      <c r="EY162" s="32">
        <f t="shared" si="212"/>
        <v>-2.3882462000000002</v>
      </c>
      <c r="EZ162" s="158">
        <f t="shared" si="166"/>
        <v>10.334600000000002</v>
      </c>
      <c r="FA162" s="158">
        <f t="shared" si="167"/>
        <v>10.334600000000002</v>
      </c>
      <c r="FB162" s="32">
        <f>(BJ162-EZ162)*L162</f>
        <v>0</v>
      </c>
      <c r="FH162" s="174">
        <f t="shared" si="176"/>
        <v>16654.207900000001</v>
      </c>
      <c r="FJ162" s="87">
        <v>1.3101180820818723</v>
      </c>
      <c r="FK162" s="176">
        <f t="shared" si="177"/>
        <v>1.3758736836499674</v>
      </c>
      <c r="FM162" s="87" t="e">
        <f t="shared" si="178"/>
        <v>#DIV/0!</v>
      </c>
      <c r="FO162" s="88">
        <f t="shared" si="168"/>
        <v>16654.207900000001</v>
      </c>
      <c r="FP162" s="79">
        <f t="shared" si="169"/>
        <v>0</v>
      </c>
      <c r="FS162" s="79">
        <f t="shared" si="170"/>
        <v>9239.2129500000028</v>
      </c>
      <c r="FT162" s="79">
        <f t="shared" si="171"/>
        <v>0</v>
      </c>
      <c r="FU162" s="79">
        <f t="shared" si="179"/>
        <v>1.8025569916104158</v>
      </c>
      <c r="FV162" s="79" t="e">
        <f t="shared" si="179"/>
        <v>#DIV/0!</v>
      </c>
      <c r="FY162" s="79">
        <f t="shared" si="180"/>
        <v>16654.207900000001</v>
      </c>
      <c r="FZ162" s="79">
        <f t="shared" si="181"/>
        <v>0</v>
      </c>
      <c r="GB162" s="178">
        <f t="shared" si="182"/>
        <v>1611.5</v>
      </c>
      <c r="GC162" s="178">
        <f t="shared" si="183"/>
        <v>0</v>
      </c>
      <c r="GG162" s="14">
        <v>8.1381000000000014</v>
      </c>
      <c r="GH162" s="175">
        <f t="shared" si="184"/>
        <v>1.2699032943807522</v>
      </c>
      <c r="GI162" s="14">
        <v>8.1381000000000014</v>
      </c>
      <c r="GJ162" s="175">
        <f t="shared" si="185"/>
        <v>1.2699032943807522</v>
      </c>
      <c r="GK162" s="175">
        <f t="shared" si="150"/>
        <v>0</v>
      </c>
      <c r="GN162" s="14">
        <v>10.469899999999999</v>
      </c>
      <c r="GO162" s="175">
        <f t="shared" si="186"/>
        <v>1.2865287966478658</v>
      </c>
      <c r="GP162" s="179">
        <f t="shared" si="187"/>
        <v>0.98707724047030088</v>
      </c>
      <c r="GQ162" s="14">
        <v>10.469899999999999</v>
      </c>
      <c r="GR162" s="175">
        <f t="shared" si="188"/>
        <v>1.2865287966478658</v>
      </c>
      <c r="GS162" s="175">
        <f t="shared" si="189"/>
        <v>0.98707724047030088</v>
      </c>
      <c r="GV162" s="32">
        <f t="shared" si="190"/>
        <v>16654.207900000001</v>
      </c>
      <c r="GW162" s="32">
        <f t="shared" si="191"/>
        <v>0</v>
      </c>
      <c r="GX162" s="180">
        <f t="shared" si="192"/>
        <v>16654.207900000001</v>
      </c>
      <c r="GZ162" s="32">
        <f t="shared" si="193"/>
        <v>10.3346</v>
      </c>
      <c r="HA162" s="32" t="e">
        <f t="shared" si="194"/>
        <v>#DIV/0!</v>
      </c>
      <c r="HB162" s="32">
        <f t="shared" si="195"/>
        <v>10.3346</v>
      </c>
    </row>
    <row r="163" spans="1:210" ht="19.2" customHeight="1" x14ac:dyDescent="0.3">
      <c r="A163" s="50">
        <v>155</v>
      </c>
      <c r="B163" s="51" t="s">
        <v>772</v>
      </c>
      <c r="C163" s="51"/>
      <c r="D163" s="52">
        <v>2</v>
      </c>
      <c r="E163" s="52">
        <v>3</v>
      </c>
      <c r="F163" s="63">
        <v>16</v>
      </c>
      <c r="G163" s="54" t="s">
        <v>24</v>
      </c>
      <c r="H163" s="181" t="s">
        <v>8</v>
      </c>
      <c r="I163" s="55">
        <f t="shared" si="172"/>
        <v>787.7</v>
      </c>
      <c r="J163" s="55">
        <f t="shared" si="152"/>
        <v>0</v>
      </c>
      <c r="K163" s="55">
        <f t="shared" si="153"/>
        <v>0</v>
      </c>
      <c r="L163" s="56">
        <v>787.7</v>
      </c>
      <c r="M163" s="56">
        <v>787.7</v>
      </c>
      <c r="N163" s="56">
        <f t="shared" si="173"/>
        <v>787.7</v>
      </c>
      <c r="O163" s="56">
        <v>0</v>
      </c>
      <c r="P163" s="56">
        <v>0</v>
      </c>
      <c r="Q163" s="55"/>
      <c r="R163" s="55">
        <v>787.7</v>
      </c>
      <c r="S163" s="55"/>
      <c r="T163" s="55">
        <v>0</v>
      </c>
      <c r="U163" s="152">
        <v>787.7</v>
      </c>
      <c r="V163" s="12">
        <v>0.18459999999999999</v>
      </c>
      <c r="W163" s="12">
        <v>0.1167</v>
      </c>
      <c r="X163" s="12">
        <v>0.3372</v>
      </c>
      <c r="Y163" s="12">
        <v>7.2599999999999998E-2</v>
      </c>
      <c r="Z163" s="12">
        <v>0</v>
      </c>
      <c r="AA163" s="12">
        <v>0.62050000000000005</v>
      </c>
      <c r="AB163" s="12">
        <v>0</v>
      </c>
      <c r="AC163" s="12">
        <v>0.63149999999999995</v>
      </c>
      <c r="AD163" s="12">
        <v>0.16059999999999999</v>
      </c>
      <c r="AE163" s="12">
        <v>0</v>
      </c>
      <c r="AF163" s="12">
        <v>1.2257</v>
      </c>
      <c r="AG163" s="12">
        <v>0.23980000000000001</v>
      </c>
      <c r="AH163" s="12">
        <v>0.30449999999999999</v>
      </c>
      <c r="AI163" s="12">
        <v>8.3699999999999997E-2</v>
      </c>
      <c r="AJ163" s="12">
        <v>0.1241</v>
      </c>
      <c r="AK163" s="12">
        <v>0</v>
      </c>
      <c r="AL163" s="12">
        <v>0.1484</v>
      </c>
      <c r="AM163" s="12">
        <v>4.3099999999999999E-2</v>
      </c>
      <c r="AN163" s="12">
        <v>0</v>
      </c>
      <c r="AO163" s="12">
        <v>2.6859999999999999</v>
      </c>
      <c r="AP163" s="12">
        <v>1.5328999999999999</v>
      </c>
      <c r="AQ163" s="12">
        <v>7.9600000000000004E-2</v>
      </c>
      <c r="AR163" s="12">
        <v>1.1194999999999999</v>
      </c>
      <c r="AS163" s="12">
        <v>0.11749999999999999</v>
      </c>
      <c r="AT163" s="12">
        <v>1.9099999999999999E-2</v>
      </c>
      <c r="AU163" s="12">
        <v>0.31540000000000001</v>
      </c>
      <c r="AV163" s="12">
        <v>0</v>
      </c>
      <c r="AW163" s="188">
        <v>10.162999999999998</v>
      </c>
      <c r="AX163" s="13">
        <v>0.50819999999999999</v>
      </c>
      <c r="AY163" s="189">
        <f t="shared" si="154"/>
        <v>0.50419999999999998</v>
      </c>
      <c r="AZ163" s="189">
        <f t="shared" si="155"/>
        <v>4.0000000000000036E-3</v>
      </c>
      <c r="BA163" s="14">
        <v>10.671199999999999</v>
      </c>
      <c r="BB163" s="190">
        <f>BA163-'[1]Тариф 26 свод без  ПДВ'!AU163</f>
        <v>4.3999999999986272E-3</v>
      </c>
      <c r="BC163" s="12">
        <v>0</v>
      </c>
      <c r="BD163" s="12">
        <v>0</v>
      </c>
      <c r="BE163" s="12">
        <v>0</v>
      </c>
      <c r="BF163" s="191">
        <v>10.162999999999998</v>
      </c>
      <c r="BG163" s="190">
        <v>0.50819999999999999</v>
      </c>
      <c r="BH163" s="190"/>
      <c r="BI163" s="190"/>
      <c r="BJ163" s="14">
        <v>10.671199999999999</v>
      </c>
      <c r="BK163" s="60"/>
      <c r="BL163" s="60">
        <v>4.5091999999999981</v>
      </c>
      <c r="BM163" s="60">
        <v>0.22550000000000001</v>
      </c>
      <c r="BN163" s="14">
        <v>4.7346999999999984</v>
      </c>
      <c r="BO163" s="14"/>
      <c r="BP163" s="157"/>
      <c r="BQ163" s="158">
        <f>BJ163-'[1]Тариф 26 свод без  ПДВ'!BG163</f>
        <v>4.3999999999986272E-3</v>
      </c>
      <c r="BR163" s="77">
        <f>'[1]Тариф 26 свод без  ПДВ'!BG163</f>
        <v>10.6668</v>
      </c>
      <c r="BS163" s="159">
        <f t="shared" si="156"/>
        <v>4.3999999999986272E-3</v>
      </c>
      <c r="BU163" s="77">
        <f>'[1]Тариф 26 свод без  ПДВ'!AU163</f>
        <v>10.6668</v>
      </c>
      <c r="BV163" s="159">
        <f t="shared" si="157"/>
        <v>4.3999999999986272E-3</v>
      </c>
      <c r="BX163" s="95">
        <v>4.5770999999999997</v>
      </c>
      <c r="BY163" s="95">
        <v>4.5770999999999997</v>
      </c>
      <c r="BZ163" s="95"/>
      <c r="CA163" s="233">
        <f t="shared" si="158"/>
        <v>2.3314325664722202</v>
      </c>
      <c r="CB163" s="233">
        <f t="shared" si="159"/>
        <v>2.3314325664722202</v>
      </c>
      <c r="CI163" s="160">
        <f>'[1]0 СВОД'!AYY178</f>
        <v>8405.6095198815674</v>
      </c>
      <c r="CJ163" s="77">
        <f t="shared" si="160"/>
        <v>100867.31423857881</v>
      </c>
      <c r="CM163" s="161">
        <v>161</v>
      </c>
      <c r="CN163" s="162" t="s">
        <v>773</v>
      </c>
      <c r="CO163" s="163">
        <v>2</v>
      </c>
      <c r="CP163" s="163">
        <v>3</v>
      </c>
      <c r="CQ163" s="164" t="s">
        <v>24</v>
      </c>
      <c r="CR163" s="165" t="s">
        <v>8</v>
      </c>
      <c r="CS163" s="166">
        <v>787.7</v>
      </c>
      <c r="CT163" s="166">
        <v>0</v>
      </c>
      <c r="CU163" s="167">
        <v>0</v>
      </c>
      <c r="CV163" s="168">
        <v>787.7</v>
      </c>
      <c r="CW163" s="166">
        <v>787.7</v>
      </c>
      <c r="CX163" s="167">
        <v>0</v>
      </c>
      <c r="CY163" s="166">
        <v>0</v>
      </c>
      <c r="CZ163" s="166"/>
      <c r="DA163" s="166">
        <v>787.7</v>
      </c>
      <c r="DB163" s="166"/>
      <c r="DC163" s="166">
        <v>0</v>
      </c>
      <c r="DD163" s="59">
        <v>0.13689999999999999</v>
      </c>
      <c r="DE163" s="59">
        <v>0.13950000000000001</v>
      </c>
      <c r="DF163" s="59">
        <v>0.22109999999999999</v>
      </c>
      <c r="DG163" s="59">
        <v>4.2599999999999999E-2</v>
      </c>
      <c r="DH163" s="59">
        <v>0</v>
      </c>
      <c r="DI163" s="170">
        <v>0.21779999999999999</v>
      </c>
      <c r="DJ163" s="59">
        <v>4.8099999999999997E-2</v>
      </c>
      <c r="DK163" s="59">
        <v>0.3458</v>
      </c>
      <c r="DL163" s="169">
        <v>0</v>
      </c>
      <c r="DM163" s="59">
        <v>9.7699999999999995E-2</v>
      </c>
      <c r="DN163" s="169">
        <v>0</v>
      </c>
      <c r="DO163" s="170">
        <v>0.71300000000000008</v>
      </c>
      <c r="DP163" s="171">
        <f t="shared" si="161"/>
        <v>1.2257</v>
      </c>
      <c r="DQ163" s="59">
        <v>9.0300000000000005E-2</v>
      </c>
      <c r="DR163" s="59">
        <v>0.1822</v>
      </c>
      <c r="DS163" s="59">
        <v>2.1600000000000001E-2</v>
      </c>
      <c r="DT163" s="59">
        <v>5.8700000000000002E-2</v>
      </c>
      <c r="DU163" s="59">
        <v>0</v>
      </c>
      <c r="DV163" s="59">
        <v>5.1900000000000002E-2</v>
      </c>
      <c r="DW163" s="59">
        <v>1.37E-2</v>
      </c>
      <c r="DX163" s="169">
        <v>0</v>
      </c>
      <c r="DY163" s="170">
        <v>1.4936</v>
      </c>
      <c r="DZ163" s="171">
        <f t="shared" si="162"/>
        <v>1.798339582217461</v>
      </c>
      <c r="EA163" s="59">
        <v>0.94730000000000003</v>
      </c>
      <c r="EB163" s="171">
        <f t="shared" si="163"/>
        <v>1.7022062704528658</v>
      </c>
      <c r="EC163" s="59">
        <v>0.62649999999999995</v>
      </c>
      <c r="ED163" s="171">
        <f t="shared" si="164"/>
        <v>1.7869114126097367</v>
      </c>
      <c r="EE163" s="59">
        <v>8.9899999999999994E-2</v>
      </c>
      <c r="EF163" s="59">
        <v>1.2500000000000001E-2</v>
      </c>
      <c r="EG163" s="59">
        <v>7.8200000000000006E-2</v>
      </c>
      <c r="EH163" s="59">
        <v>0</v>
      </c>
      <c r="EI163" s="195">
        <v>0.14069999999999999</v>
      </c>
      <c r="EJ163" s="172">
        <v>5.7695999999999996</v>
      </c>
      <c r="EK163" s="173"/>
      <c r="EL163" s="169">
        <v>0</v>
      </c>
      <c r="EM163" s="169">
        <v>0</v>
      </c>
      <c r="EN163" s="59"/>
      <c r="EO163" s="172"/>
      <c r="ES163" s="57">
        <f t="shared" si="174"/>
        <v>5.7695999999999996</v>
      </c>
      <c r="ET163" s="57">
        <f t="shared" si="175"/>
        <v>0</v>
      </c>
      <c r="EU163" s="31"/>
      <c r="EV163" s="61">
        <f t="shared" si="165"/>
        <v>1.8495562950637825</v>
      </c>
      <c r="EW163" s="62"/>
      <c r="EX163" s="159">
        <f t="shared" si="211"/>
        <v>-2.5471756190476187</v>
      </c>
      <c r="EY163" s="32">
        <f t="shared" si="212"/>
        <v>-2.6745343999999998</v>
      </c>
      <c r="EZ163" s="158">
        <f t="shared" si="166"/>
        <v>10.671199999999999</v>
      </c>
      <c r="FA163" s="159">
        <f t="shared" si="167"/>
        <v>10.671199999999999</v>
      </c>
      <c r="FB163" s="158">
        <f>ES163*1.34</f>
        <v>7.7312640000000004</v>
      </c>
      <c r="FC163" s="158">
        <f>EZ163-FB163</f>
        <v>2.9399359999999986</v>
      </c>
      <c r="FD163" s="158"/>
      <c r="FE163" s="158"/>
      <c r="FF163" s="158"/>
      <c r="FG163" s="174"/>
      <c r="FH163" s="174">
        <f t="shared" si="176"/>
        <v>8405.7042399999991</v>
      </c>
      <c r="FI163" s="174"/>
      <c r="FJ163" s="87">
        <v>1.4967068774265115</v>
      </c>
      <c r="FK163" s="176">
        <f t="shared" si="177"/>
        <v>1.2357505153206567</v>
      </c>
      <c r="FM163" s="87" t="e">
        <f t="shared" si="178"/>
        <v>#DIV/0!</v>
      </c>
      <c r="FO163" s="88">
        <f t="shared" si="168"/>
        <v>8405.7042399999991</v>
      </c>
      <c r="FP163" s="79">
        <f t="shared" si="169"/>
        <v>0</v>
      </c>
      <c r="FS163" s="79">
        <f t="shared" si="170"/>
        <v>4544.7139200000001</v>
      </c>
      <c r="FT163" s="79">
        <f t="shared" si="171"/>
        <v>0</v>
      </c>
      <c r="FU163" s="79">
        <f t="shared" si="179"/>
        <v>1.8495562950637823</v>
      </c>
      <c r="FV163" s="79" t="e">
        <f t="shared" si="179"/>
        <v>#DIV/0!</v>
      </c>
      <c r="FY163" s="79">
        <f t="shared" si="180"/>
        <v>8405.7042399999991</v>
      </c>
      <c r="FZ163" s="79">
        <f t="shared" si="181"/>
        <v>0</v>
      </c>
      <c r="GB163" s="178">
        <f t="shared" si="182"/>
        <v>787.7</v>
      </c>
      <c r="GC163" s="178">
        <f t="shared" si="183"/>
        <v>0</v>
      </c>
      <c r="GE163" s="196"/>
      <c r="GF163" s="196"/>
      <c r="GG163" s="14">
        <v>8.4029000000000007</v>
      </c>
      <c r="GH163" s="197">
        <f t="shared" si="184"/>
        <v>1.2699425198443393</v>
      </c>
      <c r="GI163" s="14">
        <v>8.4029000000000007</v>
      </c>
      <c r="GJ163" s="197">
        <f t="shared" si="185"/>
        <v>1.2699425198443393</v>
      </c>
      <c r="GK163" s="197">
        <f t="shared" si="150"/>
        <v>0</v>
      </c>
      <c r="GL163" s="196"/>
      <c r="GM163" s="196"/>
      <c r="GN163" s="14">
        <v>10.947100000000001</v>
      </c>
      <c r="GO163" s="197">
        <f t="shared" si="186"/>
        <v>1.3027764224255911</v>
      </c>
      <c r="GP163" s="198">
        <f t="shared" si="187"/>
        <v>0.97479697819513822</v>
      </c>
      <c r="GQ163" s="14">
        <v>10.947100000000001</v>
      </c>
      <c r="GR163" s="197">
        <f t="shared" si="188"/>
        <v>1.3027764224255911</v>
      </c>
      <c r="GS163" s="197">
        <f t="shared" si="189"/>
        <v>0.97479697819513822</v>
      </c>
      <c r="GT163" s="196"/>
      <c r="GV163" s="32">
        <f t="shared" si="190"/>
        <v>8405.7042399999991</v>
      </c>
      <c r="GW163" s="32">
        <f t="shared" si="191"/>
        <v>0</v>
      </c>
      <c r="GX163" s="180">
        <f t="shared" si="192"/>
        <v>8405.7042399999991</v>
      </c>
      <c r="GZ163" s="32">
        <f t="shared" si="193"/>
        <v>10.671199999999999</v>
      </c>
      <c r="HA163" s="32" t="e">
        <f t="shared" si="194"/>
        <v>#DIV/0!</v>
      </c>
      <c r="HB163" s="32">
        <f t="shared" si="195"/>
        <v>10.671199999999999</v>
      </c>
    </row>
    <row r="164" spans="1:210" ht="19.2" customHeight="1" x14ac:dyDescent="0.3">
      <c r="A164" s="50">
        <v>156</v>
      </c>
      <c r="B164" s="51" t="s">
        <v>774</v>
      </c>
      <c r="C164" s="51"/>
      <c r="D164" s="52">
        <v>3</v>
      </c>
      <c r="E164" s="52">
        <v>3</v>
      </c>
      <c r="F164" s="63">
        <v>24</v>
      </c>
      <c r="G164" s="54" t="s">
        <v>41</v>
      </c>
      <c r="H164" s="181" t="s">
        <v>42</v>
      </c>
      <c r="I164" s="55">
        <f t="shared" si="172"/>
        <v>1399.2</v>
      </c>
      <c r="J164" s="55">
        <f t="shared" si="152"/>
        <v>0</v>
      </c>
      <c r="K164" s="55">
        <f t="shared" si="153"/>
        <v>0</v>
      </c>
      <c r="L164" s="56">
        <v>1399.2</v>
      </c>
      <c r="M164" s="56">
        <v>1399.2</v>
      </c>
      <c r="N164" s="56">
        <f t="shared" si="173"/>
        <v>1399.2</v>
      </c>
      <c r="O164" s="56">
        <v>0</v>
      </c>
      <c r="P164" s="56">
        <v>0</v>
      </c>
      <c r="Q164" s="55"/>
      <c r="R164" s="55">
        <v>1399.2</v>
      </c>
      <c r="S164" s="55"/>
      <c r="T164" s="55">
        <v>0</v>
      </c>
      <c r="U164" s="152">
        <v>1399.2</v>
      </c>
      <c r="V164" s="57">
        <v>0.23019999999999999</v>
      </c>
      <c r="W164" s="153">
        <v>0.1158</v>
      </c>
      <c r="X164" s="57">
        <v>0.32550000000000001</v>
      </c>
      <c r="Y164" s="57">
        <v>7.7100000000000002E-2</v>
      </c>
      <c r="Z164" s="153">
        <v>0</v>
      </c>
      <c r="AA164" s="57">
        <v>0.46110000000000001</v>
      </c>
      <c r="AB164" s="153">
        <v>0</v>
      </c>
      <c r="AC164" s="57">
        <v>0.63149999999999995</v>
      </c>
      <c r="AD164" s="57">
        <v>0.1356</v>
      </c>
      <c r="AE164" s="57">
        <v>0</v>
      </c>
      <c r="AF164" s="57">
        <v>1.4544999999999999</v>
      </c>
      <c r="AG164" s="57">
        <v>0.24030000000000001</v>
      </c>
      <c r="AH164" s="57">
        <v>0.4108</v>
      </c>
      <c r="AI164" s="153">
        <v>8.4199999999999997E-2</v>
      </c>
      <c r="AJ164" s="153">
        <v>0.1012</v>
      </c>
      <c r="AK164" s="153">
        <v>0</v>
      </c>
      <c r="AL164" s="57">
        <v>0.1149</v>
      </c>
      <c r="AM164" s="153">
        <v>3.4099999999999998E-2</v>
      </c>
      <c r="AN164" s="57">
        <v>0</v>
      </c>
      <c r="AO164" s="153">
        <v>2.5104000000000002</v>
      </c>
      <c r="AP164" s="57">
        <v>1.3066</v>
      </c>
      <c r="AQ164" s="57">
        <v>5.8500000000000003E-2</v>
      </c>
      <c r="AR164" s="153">
        <v>0.7944</v>
      </c>
      <c r="AS164" s="57">
        <v>0.11260000000000001</v>
      </c>
      <c r="AT164" s="57">
        <v>1.83E-2</v>
      </c>
      <c r="AU164" s="153">
        <v>0.185</v>
      </c>
      <c r="AV164" s="153">
        <v>0</v>
      </c>
      <c r="AW164" s="154">
        <v>9.4025999999999996</v>
      </c>
      <c r="AX164" s="58">
        <v>0.47010000000000002</v>
      </c>
      <c r="AY164" s="155">
        <f t="shared" si="154"/>
        <v>0.4672</v>
      </c>
      <c r="AZ164" s="155">
        <f t="shared" si="155"/>
        <v>2.9000000000000137E-3</v>
      </c>
      <c r="BA164" s="14">
        <v>9.8727</v>
      </c>
      <c r="BB164" s="59">
        <f>BA164-'[1]Тариф 26 свод без  ПДВ'!AU164</f>
        <v>2.4999999999995026E-3</v>
      </c>
      <c r="BC164" s="57">
        <v>0</v>
      </c>
      <c r="BD164" s="57">
        <v>0</v>
      </c>
      <c r="BE164" s="57">
        <v>0</v>
      </c>
      <c r="BF164" s="156">
        <v>9.4025999999999996</v>
      </c>
      <c r="BG164" s="59">
        <v>0.47010000000000002</v>
      </c>
      <c r="BH164" s="59"/>
      <c r="BI164" s="59"/>
      <c r="BJ164" s="14">
        <v>9.8727</v>
      </c>
      <c r="BK164" s="60"/>
      <c r="BL164" s="60">
        <v>4.6061999999999994</v>
      </c>
      <c r="BM164" s="60">
        <v>0.2303</v>
      </c>
      <c r="BN164" s="14">
        <v>4.8364999999999991</v>
      </c>
      <c r="BO164" s="14"/>
      <c r="BP164" s="157"/>
      <c r="BQ164" s="158">
        <f>BJ164-'[1]Тариф 26 свод без  ПДВ'!BG164</f>
        <v>2.4999999999995026E-3</v>
      </c>
      <c r="BR164" s="77">
        <f>'[1]Тариф 26 свод без  ПДВ'!BG164</f>
        <v>9.8702000000000005</v>
      </c>
      <c r="BS164" s="159">
        <f t="shared" si="156"/>
        <v>2.4999999999995026E-3</v>
      </c>
      <c r="BU164" s="77">
        <f>'[1]Тариф 26 свод без  ПДВ'!AU164</f>
        <v>9.8702000000000005</v>
      </c>
      <c r="BV164" s="159">
        <f t="shared" si="157"/>
        <v>2.4999999999995026E-3</v>
      </c>
      <c r="BX164" s="95">
        <v>5.4843999999999999</v>
      </c>
      <c r="BY164" s="95">
        <v>5.4843999999999999</v>
      </c>
      <c r="BZ164" s="95"/>
      <c r="CA164" s="207">
        <f t="shared" si="158"/>
        <v>1.8001422215739187</v>
      </c>
      <c r="CB164" s="207">
        <f t="shared" si="159"/>
        <v>1.8001422215739187</v>
      </c>
      <c r="CI164" s="160">
        <f>'[1]0 СВОД'!AYY179</f>
        <v>13813.882699255617</v>
      </c>
      <c r="CJ164" s="77">
        <f t="shared" si="160"/>
        <v>165766.59239106742</v>
      </c>
      <c r="CM164" s="161">
        <v>162</v>
      </c>
      <c r="CN164" s="228" t="s">
        <v>775</v>
      </c>
      <c r="CO164" s="163">
        <v>3</v>
      </c>
      <c r="CP164" s="163">
        <v>3</v>
      </c>
      <c r="CQ164" s="164" t="s">
        <v>41</v>
      </c>
      <c r="CR164" s="165" t="s">
        <v>42</v>
      </c>
      <c r="CS164" s="166">
        <v>1392.6</v>
      </c>
      <c r="CT164" s="166">
        <v>0</v>
      </c>
      <c r="CU164" s="167">
        <v>0</v>
      </c>
      <c r="CV164" s="168">
        <v>1392.6</v>
      </c>
      <c r="CW164" s="166">
        <v>1392.6</v>
      </c>
      <c r="CX164" s="167">
        <v>0</v>
      </c>
      <c r="CY164" s="166">
        <v>0</v>
      </c>
      <c r="CZ164" s="166"/>
      <c r="DA164" s="166">
        <v>1392.6</v>
      </c>
      <c r="DB164" s="166"/>
      <c r="DC164" s="166">
        <v>0</v>
      </c>
      <c r="DD164" s="59">
        <v>0.18260000000000001</v>
      </c>
      <c r="DE164" s="59">
        <v>0.18909999999999999</v>
      </c>
      <c r="DF164" s="59">
        <v>0.21479999999999999</v>
      </c>
      <c r="DG164" s="59">
        <v>4.5699999999999998E-2</v>
      </c>
      <c r="DH164" s="59">
        <v>0</v>
      </c>
      <c r="DI164" s="59">
        <v>0.20230000000000001</v>
      </c>
      <c r="DJ164" s="59">
        <v>4.8099999999999997E-2</v>
      </c>
      <c r="DK164" s="59">
        <v>0.3458</v>
      </c>
      <c r="DL164" s="169">
        <v>0</v>
      </c>
      <c r="DM164" s="59">
        <v>8.2900000000000001E-2</v>
      </c>
      <c r="DN164" s="169">
        <v>0</v>
      </c>
      <c r="DO164" s="229">
        <v>0.79559999999999997</v>
      </c>
      <c r="DP164" s="171">
        <f t="shared" si="161"/>
        <v>1.4544999999999999</v>
      </c>
      <c r="DQ164" s="59">
        <v>0.1162</v>
      </c>
      <c r="DR164" s="59">
        <v>0.24690000000000001</v>
      </c>
      <c r="DS164" s="59">
        <v>2.1899999999999999E-2</v>
      </c>
      <c r="DT164" s="59">
        <v>4.7800000000000002E-2</v>
      </c>
      <c r="DU164" s="59">
        <v>0</v>
      </c>
      <c r="DV164" s="59">
        <v>4.0399999999999998E-2</v>
      </c>
      <c r="DW164" s="59">
        <v>9.4999999999999998E-3</v>
      </c>
      <c r="DX164" s="169">
        <v>0</v>
      </c>
      <c r="DY164" s="59">
        <v>1.2911999999999999</v>
      </c>
      <c r="DZ164" s="171">
        <f t="shared" si="162"/>
        <v>1.9442379182156138</v>
      </c>
      <c r="EA164" s="59">
        <v>0.77790000000000004</v>
      </c>
      <c r="EB164" s="171">
        <f t="shared" si="163"/>
        <v>1.7548528088443243</v>
      </c>
      <c r="EC164" s="59">
        <v>0.3725</v>
      </c>
      <c r="ED164" s="171">
        <f t="shared" si="164"/>
        <v>2.1326174496644295</v>
      </c>
      <c r="EE164" s="59">
        <v>8.6599999999999996E-2</v>
      </c>
      <c r="EF164" s="59">
        <v>1.2E-2</v>
      </c>
      <c r="EG164" s="59">
        <v>0.1424</v>
      </c>
      <c r="EH164" s="59">
        <v>0</v>
      </c>
      <c r="EI164" s="230">
        <v>0.1318</v>
      </c>
      <c r="EJ164" s="172">
        <v>5.4039999999999999</v>
      </c>
      <c r="EK164" s="173"/>
      <c r="EL164" s="169">
        <v>0</v>
      </c>
      <c r="EM164" s="169">
        <v>0</v>
      </c>
      <c r="EN164" s="59"/>
      <c r="EO164" s="172"/>
      <c r="ES164" s="57">
        <f t="shared" si="174"/>
        <v>5.4039999999999999</v>
      </c>
      <c r="ET164" s="57">
        <f t="shared" si="175"/>
        <v>0</v>
      </c>
      <c r="EU164" s="31"/>
      <c r="EV164" s="61">
        <f t="shared" si="165"/>
        <v>1.8269245003700962</v>
      </c>
      <c r="EW164" s="236" t="s">
        <v>776</v>
      </c>
      <c r="EX164" s="159">
        <f t="shared" si="211"/>
        <v>-2.269291428571429</v>
      </c>
      <c r="EY164" s="32">
        <f t="shared" si="212"/>
        <v>-2.3827560000000005</v>
      </c>
      <c r="EZ164" s="237">
        <f t="shared" si="166"/>
        <v>9.8727</v>
      </c>
      <c r="FA164" s="158">
        <f t="shared" si="167"/>
        <v>9.8727</v>
      </c>
      <c r="FB164" s="32">
        <f>(BJ164-EZ164)*L164</f>
        <v>0</v>
      </c>
      <c r="FH164" s="174">
        <f t="shared" si="176"/>
        <v>13813.88184</v>
      </c>
      <c r="FJ164" s="87">
        <v>1.3546447076239823</v>
      </c>
      <c r="FK164" s="176">
        <f t="shared" si="177"/>
        <v>1.3486373881565468</v>
      </c>
      <c r="FM164" s="87" t="e">
        <f t="shared" si="178"/>
        <v>#VALUE!</v>
      </c>
      <c r="FO164" s="88">
        <f t="shared" si="168"/>
        <v>13813.88184</v>
      </c>
      <c r="FP164" s="79">
        <f t="shared" si="169"/>
        <v>0</v>
      </c>
      <c r="FS164" s="79">
        <f t="shared" si="170"/>
        <v>7561.2768000000005</v>
      </c>
      <c r="FT164" s="79">
        <f t="shared" si="171"/>
        <v>0</v>
      </c>
      <c r="FU164" s="79">
        <f t="shared" si="179"/>
        <v>1.826924500370096</v>
      </c>
      <c r="FV164" s="79" t="e">
        <f t="shared" si="179"/>
        <v>#DIV/0!</v>
      </c>
      <c r="FY164" s="79">
        <f t="shared" si="180"/>
        <v>13813.88184</v>
      </c>
      <c r="FZ164" s="79">
        <f t="shared" si="181"/>
        <v>0</v>
      </c>
      <c r="GB164" s="178">
        <f t="shared" si="182"/>
        <v>1399.2</v>
      </c>
      <c r="GC164" s="178">
        <f t="shared" si="183"/>
        <v>0</v>
      </c>
      <c r="GG164" s="14">
        <v>7.7743000000000002</v>
      </c>
      <c r="GH164" s="175">
        <f t="shared" si="184"/>
        <v>1.2699149762679598</v>
      </c>
      <c r="GI164" s="14">
        <v>7.7743000000000002</v>
      </c>
      <c r="GJ164" s="175">
        <f t="shared" si="185"/>
        <v>1.2699149762679598</v>
      </c>
      <c r="GK164" s="175">
        <f t="shared" si="150"/>
        <v>0</v>
      </c>
      <c r="GN164" s="14">
        <v>10.139200000000002</v>
      </c>
      <c r="GO164" s="175">
        <f t="shared" si="186"/>
        <v>1.3041945898666121</v>
      </c>
      <c r="GP164" s="179">
        <f t="shared" si="187"/>
        <v>0.97371587501972523</v>
      </c>
      <c r="GQ164" s="14">
        <v>10.139200000000002</v>
      </c>
      <c r="GR164" s="175">
        <f t="shared" si="188"/>
        <v>1.3041945898666121</v>
      </c>
      <c r="GS164" s="175">
        <f t="shared" si="189"/>
        <v>0.97371587501972523</v>
      </c>
      <c r="GV164" s="32">
        <f t="shared" si="190"/>
        <v>13813.88184</v>
      </c>
      <c r="GW164" s="32">
        <f t="shared" si="191"/>
        <v>0</v>
      </c>
      <c r="GX164" s="180">
        <f t="shared" si="192"/>
        <v>13813.88184</v>
      </c>
      <c r="GZ164" s="32">
        <f t="shared" si="193"/>
        <v>9.8727</v>
      </c>
      <c r="HA164" s="32" t="e">
        <f t="shared" si="194"/>
        <v>#DIV/0!</v>
      </c>
      <c r="HB164" s="32">
        <f t="shared" si="195"/>
        <v>9.8727</v>
      </c>
    </row>
    <row r="165" spans="1:210" ht="19.2" customHeight="1" x14ac:dyDescent="0.3">
      <c r="A165" s="50">
        <v>157</v>
      </c>
      <c r="B165" s="51" t="s">
        <v>777</v>
      </c>
      <c r="C165" s="51"/>
      <c r="D165" s="52">
        <v>3</v>
      </c>
      <c r="E165" s="52">
        <v>2</v>
      </c>
      <c r="F165" s="63">
        <v>12</v>
      </c>
      <c r="G165" s="54" t="s">
        <v>43</v>
      </c>
      <c r="H165" s="181" t="s">
        <v>37</v>
      </c>
      <c r="I165" s="55">
        <f t="shared" si="172"/>
        <v>711.7</v>
      </c>
      <c r="J165" s="55">
        <f t="shared" si="152"/>
        <v>0</v>
      </c>
      <c r="K165" s="55">
        <f t="shared" si="153"/>
        <v>0</v>
      </c>
      <c r="L165" s="56">
        <v>711.7</v>
      </c>
      <c r="M165" s="56">
        <v>711.7</v>
      </c>
      <c r="N165" s="56">
        <f t="shared" si="173"/>
        <v>711.7</v>
      </c>
      <c r="O165" s="56">
        <v>0</v>
      </c>
      <c r="P165" s="56">
        <v>0</v>
      </c>
      <c r="Q165" s="55"/>
      <c r="R165" s="55">
        <v>711.7</v>
      </c>
      <c r="S165" s="55"/>
      <c r="T165" s="55">
        <v>0</v>
      </c>
      <c r="U165" s="152">
        <v>711.7</v>
      </c>
      <c r="V165" s="57">
        <v>0.2263</v>
      </c>
      <c r="W165" s="153">
        <v>9.06E-2</v>
      </c>
      <c r="X165" s="57">
        <v>0.33639999999999998</v>
      </c>
      <c r="Y165" s="57">
        <v>7.8100000000000003E-2</v>
      </c>
      <c r="Z165" s="153">
        <v>0</v>
      </c>
      <c r="AA165" s="57">
        <v>0.60799999999999998</v>
      </c>
      <c r="AB165" s="153">
        <v>0</v>
      </c>
      <c r="AC165" s="57">
        <v>0.63149999999999995</v>
      </c>
      <c r="AD165" s="57">
        <v>0.1333</v>
      </c>
      <c r="AE165" s="57">
        <v>0</v>
      </c>
      <c r="AF165" s="57">
        <v>1.59</v>
      </c>
      <c r="AG165" s="57">
        <v>0.25390000000000001</v>
      </c>
      <c r="AH165" s="57">
        <v>0.32129999999999997</v>
      </c>
      <c r="AI165" s="153">
        <v>8.2799999999999999E-2</v>
      </c>
      <c r="AJ165" s="153">
        <v>0.10489999999999999</v>
      </c>
      <c r="AK165" s="153">
        <v>0</v>
      </c>
      <c r="AL165" s="57">
        <v>9.0399999999999994E-2</v>
      </c>
      <c r="AM165" s="153">
        <v>3.2599999999999997E-2</v>
      </c>
      <c r="AN165" s="57">
        <v>0</v>
      </c>
      <c r="AO165" s="153">
        <v>2.0360999999999998</v>
      </c>
      <c r="AP165" s="57">
        <v>1.8149999999999999</v>
      </c>
      <c r="AQ165" s="57">
        <v>6.5100000000000005E-2</v>
      </c>
      <c r="AR165" s="153">
        <v>0.69099999999999995</v>
      </c>
      <c r="AS165" s="57">
        <v>9.1999999999999998E-2</v>
      </c>
      <c r="AT165" s="57">
        <v>1.49E-2</v>
      </c>
      <c r="AU165" s="153">
        <v>0.4073</v>
      </c>
      <c r="AV165" s="153">
        <v>0</v>
      </c>
      <c r="AW165" s="154">
        <v>9.7014999999999993</v>
      </c>
      <c r="AX165" s="58">
        <v>0.48509999999999998</v>
      </c>
      <c r="AY165" s="155">
        <f t="shared" si="154"/>
        <v>0.48180000000000001</v>
      </c>
      <c r="AZ165" s="155">
        <f t="shared" si="155"/>
        <v>3.2999999999999696E-3</v>
      </c>
      <c r="BA165" s="14">
        <v>10.186599999999999</v>
      </c>
      <c r="BB165" s="59">
        <f>BA165-'[1]Тариф 26 свод без  ПДВ'!AU165</f>
        <v>5.0999999999987722E-3</v>
      </c>
      <c r="BC165" s="57">
        <v>0</v>
      </c>
      <c r="BD165" s="57">
        <v>0</v>
      </c>
      <c r="BE165" s="57">
        <v>0</v>
      </c>
      <c r="BF165" s="156">
        <v>9.7014999999999993</v>
      </c>
      <c r="BG165" s="59">
        <v>0.48509999999999998</v>
      </c>
      <c r="BH165" s="59"/>
      <c r="BI165" s="59"/>
      <c r="BJ165" s="14">
        <v>10.186599999999999</v>
      </c>
      <c r="BK165" s="60"/>
      <c r="BL165" s="60">
        <v>4.7521000000000004</v>
      </c>
      <c r="BM165" s="60">
        <v>0.23760000000000001</v>
      </c>
      <c r="BN165" s="14">
        <v>4.9897</v>
      </c>
      <c r="BO165" s="14"/>
      <c r="BP165" s="157"/>
      <c r="BQ165" s="158">
        <f>BJ165-'[1]Тариф 26 свод без  ПДВ'!BG165</f>
        <v>5.0999999999987722E-3</v>
      </c>
      <c r="BR165" s="77">
        <f>'[1]Тариф 26 свод без  ПДВ'!BG165</f>
        <v>10.1815</v>
      </c>
      <c r="BS165" s="159">
        <f t="shared" si="156"/>
        <v>5.0999999999987722E-3</v>
      </c>
      <c r="BU165" s="77">
        <f>'[1]Тариф 26 свод без  ПДВ'!AU165</f>
        <v>10.1815</v>
      </c>
      <c r="BV165" s="159">
        <f t="shared" si="157"/>
        <v>5.0999999999987722E-3</v>
      </c>
      <c r="BX165" s="95">
        <v>4.835</v>
      </c>
      <c r="BY165" s="95">
        <v>4.835</v>
      </c>
      <c r="BZ165" s="95"/>
      <c r="CA165" s="200">
        <f t="shared" si="158"/>
        <v>2.1068459152016543</v>
      </c>
      <c r="CB165" s="200">
        <f t="shared" si="159"/>
        <v>2.1068459152016543</v>
      </c>
      <c r="CI165" s="160">
        <f>'[1]0 СВОД'!AYY180</f>
        <v>7249.7097875911522</v>
      </c>
      <c r="CJ165" s="77">
        <f t="shared" si="160"/>
        <v>86996.517451093823</v>
      </c>
      <c r="CM165" s="161">
        <v>163</v>
      </c>
      <c r="CN165" s="228" t="s">
        <v>778</v>
      </c>
      <c r="CO165" s="163">
        <v>3</v>
      </c>
      <c r="CP165" s="163">
        <v>2</v>
      </c>
      <c r="CQ165" s="164" t="s">
        <v>43</v>
      </c>
      <c r="CR165" s="165" t="s">
        <v>37</v>
      </c>
      <c r="CS165" s="166">
        <v>711.7</v>
      </c>
      <c r="CT165" s="166">
        <v>0</v>
      </c>
      <c r="CU165" s="167">
        <v>0</v>
      </c>
      <c r="CV165" s="168">
        <v>711.7</v>
      </c>
      <c r="CW165" s="166">
        <v>711.7</v>
      </c>
      <c r="CX165" s="167">
        <v>0</v>
      </c>
      <c r="CY165" s="166">
        <v>0</v>
      </c>
      <c r="CZ165" s="166"/>
      <c r="DA165" s="166">
        <v>711.7</v>
      </c>
      <c r="DB165" s="166"/>
      <c r="DC165" s="166">
        <v>0</v>
      </c>
      <c r="DD165" s="59">
        <v>0.1835</v>
      </c>
      <c r="DE165" s="59">
        <v>0.1472</v>
      </c>
      <c r="DF165" s="59">
        <v>0.2205</v>
      </c>
      <c r="DG165" s="59">
        <v>4.5999999999999999E-2</v>
      </c>
      <c r="DH165" s="59">
        <v>0</v>
      </c>
      <c r="DI165" s="59">
        <v>0.18340000000000001</v>
      </c>
      <c r="DJ165" s="59">
        <v>4.8099999999999997E-2</v>
      </c>
      <c r="DK165" s="59">
        <v>0.3458</v>
      </c>
      <c r="DL165" s="169">
        <v>0</v>
      </c>
      <c r="DM165" s="59">
        <v>8.1100000000000005E-2</v>
      </c>
      <c r="DN165" s="169">
        <v>0</v>
      </c>
      <c r="DO165" s="229">
        <v>0.8831</v>
      </c>
      <c r="DP165" s="171">
        <f t="shared" si="161"/>
        <v>1.59</v>
      </c>
      <c r="DQ165" s="59">
        <v>0.1222</v>
      </c>
      <c r="DR165" s="59">
        <v>0.19220000000000001</v>
      </c>
      <c r="DS165" s="59">
        <v>2.1499999999999998E-2</v>
      </c>
      <c r="DT165" s="59">
        <v>4.9399999999999999E-2</v>
      </c>
      <c r="DU165" s="59">
        <v>0</v>
      </c>
      <c r="DV165" s="59">
        <v>3.1600000000000003E-2</v>
      </c>
      <c r="DW165" s="59">
        <v>8.6999999999999994E-3</v>
      </c>
      <c r="DX165" s="169">
        <v>0</v>
      </c>
      <c r="DY165" s="59">
        <v>0.99960000000000004</v>
      </c>
      <c r="DZ165" s="171">
        <f t="shared" si="162"/>
        <v>2.0369147659063622</v>
      </c>
      <c r="EA165" s="59">
        <v>1.0490999999999999</v>
      </c>
      <c r="EB165" s="171">
        <f t="shared" si="163"/>
        <v>1.792107520732056</v>
      </c>
      <c r="EC165" s="59">
        <v>0.33500000000000002</v>
      </c>
      <c r="ED165" s="171">
        <f t="shared" si="164"/>
        <v>2.062686567164179</v>
      </c>
      <c r="EE165" s="59">
        <v>7.0400000000000004E-2</v>
      </c>
      <c r="EF165" s="59">
        <v>9.7999999999999997E-3</v>
      </c>
      <c r="EG165" s="59">
        <v>0.4219</v>
      </c>
      <c r="EH165" s="59">
        <v>0</v>
      </c>
      <c r="EI165" s="230">
        <v>0.1363</v>
      </c>
      <c r="EJ165" s="172">
        <v>5.5864000000000011</v>
      </c>
      <c r="EK165" s="173"/>
      <c r="EL165" s="169">
        <v>0</v>
      </c>
      <c r="EM165" s="169">
        <v>0</v>
      </c>
      <c r="EN165" s="59"/>
      <c r="EO165" s="172"/>
      <c r="ES165" s="57">
        <f t="shared" si="174"/>
        <v>5.5864000000000011</v>
      </c>
      <c r="ET165" s="57">
        <f t="shared" si="175"/>
        <v>0</v>
      </c>
      <c r="EU165" s="31"/>
      <c r="EV165" s="61">
        <f t="shared" si="165"/>
        <v>1.8234641271659739</v>
      </c>
      <c r="EW165" s="61"/>
      <c r="EX165" s="159">
        <f t="shared" si="211"/>
        <v>-2.3274758095238068</v>
      </c>
      <c r="EY165" s="32">
        <f t="shared" si="212"/>
        <v>-2.4438495999999974</v>
      </c>
      <c r="EZ165" s="158">
        <f t="shared" si="166"/>
        <v>10.186599999999999</v>
      </c>
      <c r="FA165" s="158">
        <f t="shared" si="167"/>
        <v>10.186599999999999</v>
      </c>
      <c r="FB165" s="32">
        <f>(BJ165-EZ165)*L165</f>
        <v>0</v>
      </c>
      <c r="FH165" s="174">
        <f t="shared" si="176"/>
        <v>7249.8032199999998</v>
      </c>
      <c r="FJ165" s="87">
        <v>1.4496097665759697</v>
      </c>
      <c r="FK165" s="176">
        <f t="shared" si="177"/>
        <v>1.2579000012348576</v>
      </c>
      <c r="FM165" s="87" t="e">
        <f t="shared" si="178"/>
        <v>#DIV/0!</v>
      </c>
      <c r="FO165" s="88">
        <f t="shared" si="168"/>
        <v>7249.8032199999998</v>
      </c>
      <c r="FP165" s="79">
        <f t="shared" si="169"/>
        <v>0</v>
      </c>
      <c r="FS165" s="79">
        <f t="shared" si="170"/>
        <v>3975.8408800000011</v>
      </c>
      <c r="FT165" s="79">
        <f t="shared" si="171"/>
        <v>0</v>
      </c>
      <c r="FU165" s="79">
        <f t="shared" si="179"/>
        <v>1.8234641271659739</v>
      </c>
      <c r="FV165" s="79" t="e">
        <f t="shared" si="179"/>
        <v>#DIV/0!</v>
      </c>
      <c r="FY165" s="79">
        <f t="shared" si="180"/>
        <v>7249.8032199999998</v>
      </c>
      <c r="FZ165" s="79">
        <f t="shared" si="181"/>
        <v>0</v>
      </c>
      <c r="GB165" s="178">
        <f t="shared" si="182"/>
        <v>711.7</v>
      </c>
      <c r="GC165" s="178">
        <f t="shared" si="183"/>
        <v>0</v>
      </c>
      <c r="GG165" s="14">
        <v>8.0213999999999999</v>
      </c>
      <c r="GH165" s="175">
        <f t="shared" si="184"/>
        <v>1.2699279427531351</v>
      </c>
      <c r="GI165" s="14">
        <v>8.0213999999999999</v>
      </c>
      <c r="GJ165" s="175">
        <f t="shared" si="185"/>
        <v>1.2699279427531351</v>
      </c>
      <c r="GK165" s="175">
        <f t="shared" si="150"/>
        <v>0</v>
      </c>
      <c r="GN165" s="14">
        <v>9.9835000000000029</v>
      </c>
      <c r="GO165" s="175">
        <f t="shared" si="186"/>
        <v>1.2446081731368592</v>
      </c>
      <c r="GP165" s="179">
        <f t="shared" si="187"/>
        <v>1.0203435668853604</v>
      </c>
      <c r="GQ165" s="14">
        <v>9.9835000000000029</v>
      </c>
      <c r="GR165" s="175">
        <f t="shared" si="188"/>
        <v>1.2446081731368592</v>
      </c>
      <c r="GS165" s="175">
        <f t="shared" si="189"/>
        <v>1.0203435668853604</v>
      </c>
      <c r="GV165" s="32">
        <f t="shared" si="190"/>
        <v>7249.8032199999998</v>
      </c>
      <c r="GW165" s="32">
        <f t="shared" si="191"/>
        <v>0</v>
      </c>
      <c r="GX165" s="180">
        <f t="shared" si="192"/>
        <v>7249.8032199999998</v>
      </c>
      <c r="GZ165" s="32">
        <f t="shared" si="193"/>
        <v>10.186599999999999</v>
      </c>
      <c r="HA165" s="32" t="e">
        <f t="shared" si="194"/>
        <v>#DIV/0!</v>
      </c>
      <c r="HB165" s="32">
        <f t="shared" si="195"/>
        <v>10.186599999999999</v>
      </c>
    </row>
    <row r="166" spans="1:210" ht="19.2" customHeight="1" x14ac:dyDescent="0.3">
      <c r="A166" s="50">
        <v>158</v>
      </c>
      <c r="B166" s="51" t="s">
        <v>779</v>
      </c>
      <c r="C166" s="51"/>
      <c r="D166" s="52">
        <v>2</v>
      </c>
      <c r="E166" s="52">
        <v>3</v>
      </c>
      <c r="F166" s="63">
        <v>16</v>
      </c>
      <c r="G166" s="54" t="s">
        <v>25</v>
      </c>
      <c r="H166" s="181" t="s">
        <v>8</v>
      </c>
      <c r="I166" s="55">
        <f t="shared" si="172"/>
        <v>929.4</v>
      </c>
      <c r="J166" s="55">
        <f t="shared" si="152"/>
        <v>0</v>
      </c>
      <c r="K166" s="55">
        <f t="shared" si="153"/>
        <v>0</v>
      </c>
      <c r="L166" s="56">
        <v>929.4</v>
      </c>
      <c r="M166" s="56">
        <v>929.4</v>
      </c>
      <c r="N166" s="56">
        <f t="shared" si="173"/>
        <v>929.4</v>
      </c>
      <c r="O166" s="56">
        <v>0</v>
      </c>
      <c r="P166" s="56">
        <v>0</v>
      </c>
      <c r="Q166" s="55"/>
      <c r="R166" s="55">
        <v>929.4</v>
      </c>
      <c r="S166" s="55"/>
      <c r="T166" s="55">
        <v>0</v>
      </c>
      <c r="U166" s="152">
        <v>929.4</v>
      </c>
      <c r="V166" s="12">
        <v>0.1565</v>
      </c>
      <c r="W166" s="12">
        <v>9.8900000000000002E-2</v>
      </c>
      <c r="X166" s="12">
        <v>0.34139999999999998</v>
      </c>
      <c r="Y166" s="12">
        <v>7.1400000000000005E-2</v>
      </c>
      <c r="Z166" s="12">
        <v>0</v>
      </c>
      <c r="AA166" s="12">
        <v>0.58679999999999999</v>
      </c>
      <c r="AB166" s="12">
        <v>0</v>
      </c>
      <c r="AC166" s="12">
        <v>0.63149999999999995</v>
      </c>
      <c r="AD166" s="12">
        <v>0.1361</v>
      </c>
      <c r="AE166" s="12">
        <v>0</v>
      </c>
      <c r="AF166" s="12">
        <v>0.93330000000000002</v>
      </c>
      <c r="AG166" s="12">
        <v>0.20319999999999999</v>
      </c>
      <c r="AH166" s="12">
        <v>0.33300000000000002</v>
      </c>
      <c r="AI166" s="12">
        <v>8.2199999999999995E-2</v>
      </c>
      <c r="AJ166" s="12">
        <v>0.12859999999999999</v>
      </c>
      <c r="AK166" s="12">
        <v>0</v>
      </c>
      <c r="AL166" s="12">
        <v>0.1444</v>
      </c>
      <c r="AM166" s="12">
        <v>4.4200000000000003E-2</v>
      </c>
      <c r="AN166" s="12">
        <v>0</v>
      </c>
      <c r="AO166" s="12">
        <v>3.52</v>
      </c>
      <c r="AP166" s="12">
        <v>1.194</v>
      </c>
      <c r="AQ166" s="12">
        <v>5.7000000000000002E-2</v>
      </c>
      <c r="AR166" s="12">
        <v>1.1385000000000001</v>
      </c>
      <c r="AS166" s="12">
        <v>8.0600000000000005E-2</v>
      </c>
      <c r="AT166" s="12">
        <v>1.3100000000000001E-2</v>
      </c>
      <c r="AU166" s="12">
        <v>0.27839999999999998</v>
      </c>
      <c r="AV166" s="12">
        <v>0</v>
      </c>
      <c r="AW166" s="188">
        <v>10.1731</v>
      </c>
      <c r="AX166" s="13">
        <v>0.50870000000000004</v>
      </c>
      <c r="AY166" s="189">
        <f t="shared" si="154"/>
        <v>0.50580000000000003</v>
      </c>
      <c r="AZ166" s="189">
        <f t="shared" si="155"/>
        <v>2.9000000000000137E-3</v>
      </c>
      <c r="BA166" s="14">
        <v>10.681799999999999</v>
      </c>
      <c r="BB166" s="190">
        <f>BA166-'[1]Тариф 26 свод без  ПДВ'!AU166</f>
        <v>4.6999999999997044E-3</v>
      </c>
      <c r="BC166" s="12">
        <v>0</v>
      </c>
      <c r="BD166" s="12">
        <v>0</v>
      </c>
      <c r="BE166" s="12">
        <v>0</v>
      </c>
      <c r="BF166" s="191">
        <v>10.1731</v>
      </c>
      <c r="BG166" s="190">
        <v>0.50870000000000004</v>
      </c>
      <c r="BH166" s="190"/>
      <c r="BI166" s="190"/>
      <c r="BJ166" s="14">
        <v>10.681799999999999</v>
      </c>
      <c r="BK166" s="60"/>
      <c r="BL166" s="60">
        <v>4.0421999999999993</v>
      </c>
      <c r="BM166" s="60">
        <v>0.2021</v>
      </c>
      <c r="BN166" s="14">
        <v>4.2442999999999991</v>
      </c>
      <c r="BO166" s="14"/>
      <c r="BP166" s="157"/>
      <c r="BQ166" s="158">
        <f>BJ166-'[1]Тариф 26 свод без  ПДВ'!BG166</f>
        <v>4.6999999999997044E-3</v>
      </c>
      <c r="BR166" s="77">
        <f>'[1]Тариф 26 свод без  ПДВ'!BG166</f>
        <v>10.677099999999999</v>
      </c>
      <c r="BS166" s="159">
        <f t="shared" si="156"/>
        <v>4.6999999999997044E-3</v>
      </c>
      <c r="BU166" s="77">
        <f>'[1]Тариф 26 свод без  ПДВ'!AU166</f>
        <v>10.677099999999999</v>
      </c>
      <c r="BV166" s="159">
        <f t="shared" si="157"/>
        <v>4.6999999999997044E-3</v>
      </c>
      <c r="BX166" s="95">
        <v>4.0391000000000004</v>
      </c>
      <c r="BY166" s="95">
        <v>4.0391000000000004</v>
      </c>
      <c r="BZ166" s="95"/>
      <c r="CA166" s="207">
        <f t="shared" si="158"/>
        <v>2.6445990443415606</v>
      </c>
      <c r="CB166" s="207">
        <f t="shared" si="159"/>
        <v>2.6445990443415606</v>
      </c>
      <c r="CI166" s="160">
        <f>'[1]0 СВОД'!AYY181</f>
        <v>9927.9096804462661</v>
      </c>
      <c r="CJ166" s="77">
        <f t="shared" si="160"/>
        <v>119134.91616535519</v>
      </c>
      <c r="CM166" s="161">
        <v>164</v>
      </c>
      <c r="CN166" s="183" t="s">
        <v>780</v>
      </c>
      <c r="CO166" s="163">
        <v>2</v>
      </c>
      <c r="CP166" s="163">
        <v>3</v>
      </c>
      <c r="CQ166" s="164" t="s">
        <v>25</v>
      </c>
      <c r="CR166" s="165" t="s">
        <v>8</v>
      </c>
      <c r="CS166" s="166">
        <v>929.4</v>
      </c>
      <c r="CT166" s="166">
        <v>0</v>
      </c>
      <c r="CU166" s="167">
        <v>0</v>
      </c>
      <c r="CV166" s="168">
        <v>929.4</v>
      </c>
      <c r="CW166" s="166">
        <v>929.4</v>
      </c>
      <c r="CX166" s="167">
        <v>0</v>
      </c>
      <c r="CY166" s="166">
        <v>0</v>
      </c>
      <c r="CZ166" s="166"/>
      <c r="DA166" s="166">
        <v>929.4</v>
      </c>
      <c r="DB166" s="166"/>
      <c r="DC166" s="166">
        <v>0</v>
      </c>
      <c r="DD166" s="59">
        <v>0.16800000000000001</v>
      </c>
      <c r="DE166" s="59">
        <v>0.15260000000000001</v>
      </c>
      <c r="DF166" s="59">
        <v>0.224</v>
      </c>
      <c r="DG166" s="59">
        <v>4.19E-2</v>
      </c>
      <c r="DH166" s="59">
        <v>0</v>
      </c>
      <c r="DI166" s="59">
        <v>0.254</v>
      </c>
      <c r="DJ166" s="59">
        <v>4.8099999999999997E-2</v>
      </c>
      <c r="DK166" s="59">
        <v>0.3458</v>
      </c>
      <c r="DL166" s="169">
        <v>0</v>
      </c>
      <c r="DM166" s="59">
        <v>8.2799999999999999E-2</v>
      </c>
      <c r="DN166" s="169">
        <v>0</v>
      </c>
      <c r="DO166" s="184">
        <v>0.81329999999999991</v>
      </c>
      <c r="DP166" s="171">
        <f t="shared" si="161"/>
        <v>0.93330000000000002</v>
      </c>
      <c r="DQ166" s="59">
        <v>0.1125</v>
      </c>
      <c r="DR166" s="59">
        <v>0.19919999999999999</v>
      </c>
      <c r="DS166" s="59">
        <v>2.12E-2</v>
      </c>
      <c r="DT166" s="59">
        <v>6.08E-2</v>
      </c>
      <c r="DU166" s="59">
        <v>0</v>
      </c>
      <c r="DV166" s="59">
        <v>5.0500000000000003E-2</v>
      </c>
      <c r="DW166" s="59">
        <v>1.43E-2</v>
      </c>
      <c r="DX166" s="169">
        <v>0</v>
      </c>
      <c r="DY166" s="59">
        <v>1.6973</v>
      </c>
      <c r="DZ166" s="171">
        <f t="shared" si="162"/>
        <v>2.0738820479585223</v>
      </c>
      <c r="EA166" s="59">
        <v>0.69830000000000003</v>
      </c>
      <c r="EB166" s="171">
        <f t="shared" si="163"/>
        <v>1.7914936273807816</v>
      </c>
      <c r="EC166" s="59">
        <v>0.54420000000000002</v>
      </c>
      <c r="ED166" s="171">
        <f t="shared" si="164"/>
        <v>2.0920617420066154</v>
      </c>
      <c r="EE166" s="59">
        <v>6.1600000000000002E-2</v>
      </c>
      <c r="EF166" s="59">
        <v>8.6E-3</v>
      </c>
      <c r="EG166" s="59">
        <v>0.18640000000000001</v>
      </c>
      <c r="EH166" s="59">
        <v>0</v>
      </c>
      <c r="EI166" s="195">
        <v>0.14460000000000001</v>
      </c>
      <c r="EJ166" s="172">
        <v>5.9299999999999988</v>
      </c>
      <c r="EK166" s="173"/>
      <c r="EL166" s="169">
        <v>0</v>
      </c>
      <c r="EM166" s="169">
        <v>0</v>
      </c>
      <c r="EN166" s="59"/>
      <c r="EO166" s="172"/>
      <c r="ES166" s="57">
        <f t="shared" si="174"/>
        <v>5.9299999999999988</v>
      </c>
      <c r="ET166" s="57">
        <f t="shared" si="175"/>
        <v>0</v>
      </c>
      <c r="EU166" s="31"/>
      <c r="EV166" s="61">
        <f t="shared" si="165"/>
        <v>1.8013153456998316</v>
      </c>
      <c r="EW166" s="62"/>
      <c r="EX166" s="159">
        <f t="shared" si="211"/>
        <v>-2.3455428571428576</v>
      </c>
      <c r="EY166" s="32">
        <f t="shared" si="212"/>
        <v>-2.4628200000000007</v>
      </c>
      <c r="EZ166" s="158">
        <f t="shared" si="166"/>
        <v>10.681799999999999</v>
      </c>
      <c r="FA166" s="159">
        <f t="shared" si="167"/>
        <v>10.681799999999999</v>
      </c>
      <c r="FB166" s="158">
        <f>ES166*1.34</f>
        <v>7.9461999999999993</v>
      </c>
      <c r="FC166" s="158">
        <f>EZ166-FB166</f>
        <v>2.7355999999999998</v>
      </c>
      <c r="FD166" s="158"/>
      <c r="FE166" s="158"/>
      <c r="FF166" s="158"/>
      <c r="FG166" s="174"/>
      <c r="FH166" s="174">
        <f t="shared" si="176"/>
        <v>9927.6649199999993</v>
      </c>
      <c r="FI166" s="174"/>
      <c r="FJ166" s="87">
        <v>1.3688532883642499</v>
      </c>
      <c r="FK166" s="176">
        <f t="shared" si="177"/>
        <v>1.3159301738262721</v>
      </c>
      <c r="FM166" s="87" t="e">
        <f t="shared" si="178"/>
        <v>#DIV/0!</v>
      </c>
      <c r="FO166" s="88">
        <f t="shared" si="168"/>
        <v>9927.6649199999993</v>
      </c>
      <c r="FP166" s="79">
        <f t="shared" si="169"/>
        <v>0</v>
      </c>
      <c r="FS166" s="79">
        <f t="shared" si="170"/>
        <v>5511.3419999999987</v>
      </c>
      <c r="FT166" s="79">
        <f t="shared" si="171"/>
        <v>0</v>
      </c>
      <c r="FU166" s="79">
        <f t="shared" si="179"/>
        <v>1.8013153456998316</v>
      </c>
      <c r="FV166" s="79" t="e">
        <f t="shared" si="179"/>
        <v>#DIV/0!</v>
      </c>
      <c r="FY166" s="79">
        <f t="shared" si="180"/>
        <v>9927.6649199999993</v>
      </c>
      <c r="FZ166" s="79">
        <f t="shared" si="181"/>
        <v>0</v>
      </c>
      <c r="GB166" s="178">
        <f t="shared" si="182"/>
        <v>929.4</v>
      </c>
      <c r="GC166" s="178">
        <f t="shared" si="183"/>
        <v>0</v>
      </c>
      <c r="GE166" s="196"/>
      <c r="GF166" s="196"/>
      <c r="GG166" s="14">
        <v>8.4112999999999989</v>
      </c>
      <c r="GH166" s="197">
        <f t="shared" si="184"/>
        <v>1.2699344928845719</v>
      </c>
      <c r="GI166" s="14">
        <v>8.4112999999999989</v>
      </c>
      <c r="GJ166" s="197">
        <f t="shared" si="185"/>
        <v>1.2699344928845719</v>
      </c>
      <c r="GK166" s="197">
        <f t="shared" si="150"/>
        <v>0</v>
      </c>
      <c r="GL166" s="196"/>
      <c r="GM166" s="196"/>
      <c r="GN166" s="14">
        <v>11.093399999999999</v>
      </c>
      <c r="GO166" s="197">
        <f t="shared" si="186"/>
        <v>1.3188686647723895</v>
      </c>
      <c r="GP166" s="198">
        <f t="shared" si="187"/>
        <v>0.96289685759100008</v>
      </c>
      <c r="GQ166" s="14">
        <v>11.093399999999999</v>
      </c>
      <c r="GR166" s="197">
        <f t="shared" si="188"/>
        <v>1.3188686647723895</v>
      </c>
      <c r="GS166" s="197">
        <f t="shared" si="189"/>
        <v>0.96289685759100008</v>
      </c>
      <c r="GT166" s="196"/>
      <c r="GV166" s="32">
        <f t="shared" si="190"/>
        <v>9927.6649199999993</v>
      </c>
      <c r="GW166" s="32">
        <f t="shared" si="191"/>
        <v>0</v>
      </c>
      <c r="GX166" s="180">
        <f t="shared" si="192"/>
        <v>9927.6649199999993</v>
      </c>
      <c r="GZ166" s="32">
        <f t="shared" si="193"/>
        <v>10.681799999999999</v>
      </c>
      <c r="HA166" s="32" t="e">
        <f t="shared" si="194"/>
        <v>#DIV/0!</v>
      </c>
      <c r="HB166" s="32">
        <f t="shared" si="195"/>
        <v>10.681799999999999</v>
      </c>
    </row>
    <row r="167" spans="1:210" ht="19.2" customHeight="1" x14ac:dyDescent="0.3">
      <c r="A167" s="50">
        <v>159</v>
      </c>
      <c r="B167" s="51" t="s">
        <v>408</v>
      </c>
      <c r="C167" s="51"/>
      <c r="D167" s="52">
        <v>3</v>
      </c>
      <c r="E167" s="52">
        <v>4</v>
      </c>
      <c r="F167" s="63">
        <v>24</v>
      </c>
      <c r="G167" s="54" t="s">
        <v>781</v>
      </c>
      <c r="H167" s="181" t="s">
        <v>37</v>
      </c>
      <c r="I167" s="55">
        <f t="shared" si="172"/>
        <v>1571.9</v>
      </c>
      <c r="J167" s="55">
        <f t="shared" si="152"/>
        <v>0</v>
      </c>
      <c r="K167" s="55">
        <f t="shared" si="153"/>
        <v>0</v>
      </c>
      <c r="L167" s="56">
        <v>1571.9</v>
      </c>
      <c r="M167" s="56">
        <v>1571.9</v>
      </c>
      <c r="N167" s="56">
        <f t="shared" si="173"/>
        <v>1571.9</v>
      </c>
      <c r="O167" s="56">
        <v>0</v>
      </c>
      <c r="P167" s="56">
        <v>0</v>
      </c>
      <c r="Q167" s="55"/>
      <c r="R167" s="55">
        <v>1571.9</v>
      </c>
      <c r="S167" s="55"/>
      <c r="T167" s="55">
        <v>0</v>
      </c>
      <c r="U167" s="152">
        <v>1571.9</v>
      </c>
      <c r="V167" s="57">
        <v>0.2049</v>
      </c>
      <c r="W167" s="153">
        <v>0.1477</v>
      </c>
      <c r="X167" s="57">
        <v>0.33579999999999999</v>
      </c>
      <c r="Y167" s="57">
        <v>7.7700000000000005E-2</v>
      </c>
      <c r="Z167" s="153">
        <v>0</v>
      </c>
      <c r="AA167" s="57">
        <v>0.55059999999999998</v>
      </c>
      <c r="AB167" s="153">
        <v>0</v>
      </c>
      <c r="AC167" s="57">
        <v>0.63149999999999995</v>
      </c>
      <c r="AD167" s="57">
        <v>0.1207</v>
      </c>
      <c r="AE167" s="57">
        <v>0</v>
      </c>
      <c r="AF167" s="57">
        <v>2.1825999999999999</v>
      </c>
      <c r="AG167" s="57">
        <v>0.29110000000000003</v>
      </c>
      <c r="AH167" s="57">
        <v>0.52370000000000005</v>
      </c>
      <c r="AI167" s="153">
        <v>8.6199999999999999E-2</v>
      </c>
      <c r="AJ167" s="153">
        <v>9.0200000000000002E-2</v>
      </c>
      <c r="AK167" s="153">
        <v>0</v>
      </c>
      <c r="AL167" s="57">
        <v>0.24410000000000001</v>
      </c>
      <c r="AM167" s="153">
        <v>3.3300000000000003E-2</v>
      </c>
      <c r="AN167" s="57">
        <v>0</v>
      </c>
      <c r="AO167" s="153">
        <v>1.2083999999999999</v>
      </c>
      <c r="AP167" s="57">
        <v>1.5170999999999999</v>
      </c>
      <c r="AQ167" s="57">
        <v>8.1100000000000005E-2</v>
      </c>
      <c r="AR167" s="153">
        <v>0.9718</v>
      </c>
      <c r="AS167" s="57">
        <v>9.5500000000000002E-2</v>
      </c>
      <c r="AT167" s="57">
        <v>1.55E-2</v>
      </c>
      <c r="AU167" s="153">
        <v>0.22059999999999999</v>
      </c>
      <c r="AV167" s="153">
        <v>0</v>
      </c>
      <c r="AW167" s="154">
        <v>9.630099999999997</v>
      </c>
      <c r="AX167" s="58">
        <v>0.48149999999999998</v>
      </c>
      <c r="AY167" s="155">
        <f t="shared" si="154"/>
        <v>0.47749999999999998</v>
      </c>
      <c r="AZ167" s="155">
        <f t="shared" si="155"/>
        <v>4.0000000000000036E-3</v>
      </c>
      <c r="BA167" s="14">
        <v>10.111599999999997</v>
      </c>
      <c r="BB167" s="59">
        <f>BA167-'[1]Тариф 26 свод без  ПДВ'!AU167</f>
        <v>1.0999999999974364E-3</v>
      </c>
      <c r="BC167" s="57">
        <v>0</v>
      </c>
      <c r="BD167" s="57">
        <v>0</v>
      </c>
      <c r="BE167" s="57">
        <v>0</v>
      </c>
      <c r="BF167" s="156">
        <v>9.630099999999997</v>
      </c>
      <c r="BG167" s="59">
        <v>0.48149999999999998</v>
      </c>
      <c r="BH167" s="59"/>
      <c r="BI167" s="59"/>
      <c r="BJ167" s="14">
        <v>10.111599999999997</v>
      </c>
      <c r="BK167" s="60"/>
      <c r="BL167" s="60">
        <v>5.7121999999999975</v>
      </c>
      <c r="BM167" s="60">
        <v>0.28560000000000002</v>
      </c>
      <c r="BN167" s="14">
        <v>5.9977999999999971</v>
      </c>
      <c r="BO167" s="14"/>
      <c r="BP167" s="157"/>
      <c r="BQ167" s="158">
        <f>BJ167-'[1]Тариф 26 свод без  ПДВ'!BG167</f>
        <v>1.0999999999974364E-3</v>
      </c>
      <c r="BR167" s="77">
        <f>'[1]Тариф 26 свод без  ПДВ'!BG167</f>
        <v>10.1105</v>
      </c>
      <c r="BS167" s="159">
        <f t="shared" si="156"/>
        <v>1.0999999999974364E-3</v>
      </c>
      <c r="BU167" s="77">
        <f>'[1]Тариф 26 свод без  ПДВ'!AU167</f>
        <v>10.1105</v>
      </c>
      <c r="BV167" s="159">
        <f t="shared" si="157"/>
        <v>1.0999999999974364E-3</v>
      </c>
      <c r="BX167" s="95">
        <v>4.8504000000000005</v>
      </c>
      <c r="BY167" s="95">
        <v>4.8504000000000005</v>
      </c>
      <c r="BZ167" s="95"/>
      <c r="CA167" s="200">
        <f t="shared" si="158"/>
        <v>2.0846940458518879</v>
      </c>
      <c r="CB167" s="200">
        <f t="shared" si="159"/>
        <v>2.0846940458518879</v>
      </c>
      <c r="CI167" s="160">
        <f>'[1]0 СВОД'!AYY182</f>
        <v>15894.811650875206</v>
      </c>
      <c r="CJ167" s="77">
        <f t="shared" si="160"/>
        <v>190737.73981050248</v>
      </c>
      <c r="CM167" s="238">
        <v>165</v>
      </c>
      <c r="CN167" s="239" t="s">
        <v>782</v>
      </c>
      <c r="CO167" s="240">
        <v>3</v>
      </c>
      <c r="CP167" s="240">
        <v>4</v>
      </c>
      <c r="CQ167" s="54" t="s">
        <v>382</v>
      </c>
      <c r="CR167" s="241" t="s">
        <v>37</v>
      </c>
      <c r="CS167" s="168">
        <v>1564.2</v>
      </c>
      <c r="CT167" s="168">
        <v>0</v>
      </c>
      <c r="CU167" s="168">
        <v>0</v>
      </c>
      <c r="CV167" s="168">
        <v>1564.2</v>
      </c>
      <c r="CW167" s="168">
        <v>1564.2</v>
      </c>
      <c r="CX167" s="168">
        <v>0</v>
      </c>
      <c r="CY167" s="168">
        <v>0</v>
      </c>
      <c r="CZ167" s="168"/>
      <c r="DA167" s="168">
        <v>1564.2</v>
      </c>
      <c r="DB167" s="168"/>
      <c r="DC167" s="168">
        <v>0</v>
      </c>
      <c r="DD167" s="59">
        <v>0.1961</v>
      </c>
      <c r="DE167" s="59">
        <v>0.24110000000000001</v>
      </c>
      <c r="DF167" s="59">
        <v>0.22170000000000001</v>
      </c>
      <c r="DG167" s="59">
        <v>4.5999999999999999E-2</v>
      </c>
      <c r="DH167" s="59">
        <v>0</v>
      </c>
      <c r="DI167" s="59">
        <v>0.27329999999999999</v>
      </c>
      <c r="DJ167" s="59">
        <v>4.8099999999999997E-2</v>
      </c>
      <c r="DK167" s="59">
        <v>0.3458</v>
      </c>
      <c r="DL167" s="169">
        <v>0</v>
      </c>
      <c r="DM167" s="59">
        <v>7.3800000000000004E-2</v>
      </c>
      <c r="DN167" s="169">
        <v>0</v>
      </c>
      <c r="DO167" s="229">
        <v>1.0371999999999999</v>
      </c>
      <c r="DP167" s="171">
        <f t="shared" si="161"/>
        <v>2.1825999999999999</v>
      </c>
      <c r="DQ167" s="59">
        <v>0.14080000000000001</v>
      </c>
      <c r="DR167" s="59">
        <v>0.31490000000000001</v>
      </c>
      <c r="DS167" s="59">
        <v>2.2499999999999999E-2</v>
      </c>
      <c r="DT167" s="59">
        <v>4.2599999999999999E-2</v>
      </c>
      <c r="DU167" s="59">
        <v>0</v>
      </c>
      <c r="DV167" s="59">
        <v>8.5500000000000007E-2</v>
      </c>
      <c r="DW167" s="59">
        <v>9.1000000000000004E-3</v>
      </c>
      <c r="DX167" s="169">
        <v>0</v>
      </c>
      <c r="DY167" s="59">
        <v>0.59089999999999998</v>
      </c>
      <c r="DZ167" s="171">
        <f t="shared" si="162"/>
        <v>2.045016077170418</v>
      </c>
      <c r="EA167" s="59">
        <v>0.94489999999999996</v>
      </c>
      <c r="EB167" s="171">
        <f t="shared" si="163"/>
        <v>1.6913959149116307</v>
      </c>
      <c r="EC167" s="59">
        <v>0.4602</v>
      </c>
      <c r="ED167" s="171">
        <f t="shared" si="164"/>
        <v>2.1116905693176879</v>
      </c>
      <c r="EE167" s="59">
        <v>7.3400000000000007E-2</v>
      </c>
      <c r="EF167" s="59">
        <v>1.0200000000000001E-2</v>
      </c>
      <c r="EG167" s="59">
        <v>0.30149999999999999</v>
      </c>
      <c r="EH167" s="59">
        <v>0</v>
      </c>
      <c r="EI167" s="230">
        <v>0.13700000000000001</v>
      </c>
      <c r="EJ167" s="242">
        <v>5.6166000000000018</v>
      </c>
      <c r="EK167" s="173"/>
      <c r="EL167" s="169">
        <v>0</v>
      </c>
      <c r="EM167" s="169">
        <v>0</v>
      </c>
      <c r="EN167" s="59"/>
      <c r="EO167" s="242">
        <v>5.6166000000000018</v>
      </c>
      <c r="ES167" s="57">
        <f t="shared" si="174"/>
        <v>5.6166000000000018</v>
      </c>
      <c r="ET167" s="57">
        <f t="shared" si="175"/>
        <v>5.6166000000000018</v>
      </c>
      <c r="EU167" s="31"/>
      <c r="EV167" s="61">
        <f t="shared" si="165"/>
        <v>1.8003062350888428</v>
      </c>
      <c r="EW167" s="62"/>
      <c r="EX167" s="159">
        <f t="shared" si="211"/>
        <v>-2.2161832380952338</v>
      </c>
      <c r="EY167" s="32">
        <f t="shared" si="212"/>
        <v>-2.3269923999999955</v>
      </c>
      <c r="EZ167" s="158">
        <f t="shared" si="166"/>
        <v>10.111599999999997</v>
      </c>
      <c r="FA167" s="158">
        <f t="shared" si="167"/>
        <v>10.111599999999997</v>
      </c>
      <c r="FB167" s="32">
        <f>(BJ167-EZ167)*L167</f>
        <v>0</v>
      </c>
      <c r="FH167" s="174">
        <f t="shared" si="176"/>
        <v>15894.424039999996</v>
      </c>
      <c r="FJ167" s="87">
        <v>1.3344906170993123</v>
      </c>
      <c r="FK167" s="176">
        <f t="shared" si="177"/>
        <v>1.3490587434792467</v>
      </c>
      <c r="FM167" s="87" t="e">
        <f t="shared" si="178"/>
        <v>#DIV/0!</v>
      </c>
      <c r="FO167" s="88">
        <f t="shared" si="168"/>
        <v>15894.424039999996</v>
      </c>
      <c r="FP167" s="79">
        <f t="shared" si="169"/>
        <v>0</v>
      </c>
      <c r="FS167" s="79">
        <f t="shared" si="170"/>
        <v>8828.7335400000029</v>
      </c>
      <c r="FT167" s="79">
        <f t="shared" si="171"/>
        <v>0</v>
      </c>
      <c r="FU167" s="79">
        <f t="shared" si="179"/>
        <v>1.8003062350888428</v>
      </c>
      <c r="FV167" s="79" t="e">
        <f t="shared" si="179"/>
        <v>#DIV/0!</v>
      </c>
      <c r="FY167" s="79">
        <f t="shared" si="180"/>
        <v>15894.424039999996</v>
      </c>
      <c r="FZ167" s="79">
        <f t="shared" si="181"/>
        <v>0</v>
      </c>
      <c r="GB167" s="178">
        <f t="shared" si="182"/>
        <v>1571.9</v>
      </c>
      <c r="GC167" s="178">
        <f t="shared" si="183"/>
        <v>0</v>
      </c>
      <c r="GG167" s="14">
        <v>8.0213000000000001</v>
      </c>
      <c r="GH167" s="175">
        <f t="shared" si="184"/>
        <v>1.260593669355341</v>
      </c>
      <c r="GI167" s="14">
        <v>8.0213000000000001</v>
      </c>
      <c r="GJ167" s="175">
        <f t="shared" si="185"/>
        <v>1.260593669355341</v>
      </c>
      <c r="GK167" s="175">
        <f t="shared" si="150"/>
        <v>0</v>
      </c>
      <c r="GN167" s="14">
        <v>10.029800000000002</v>
      </c>
      <c r="GO167" s="175">
        <f t="shared" si="186"/>
        <v>1.2503958211262516</v>
      </c>
      <c r="GP167" s="179">
        <f t="shared" si="187"/>
        <v>1.0081556960258427</v>
      </c>
      <c r="GQ167" s="14">
        <v>10.029800000000002</v>
      </c>
      <c r="GR167" s="175">
        <f t="shared" si="188"/>
        <v>1.2503958211262516</v>
      </c>
      <c r="GS167" s="175">
        <f t="shared" si="189"/>
        <v>1.0081556960258427</v>
      </c>
      <c r="GV167" s="32">
        <f t="shared" si="190"/>
        <v>15894.424039999996</v>
      </c>
      <c r="GW167" s="32">
        <f t="shared" si="191"/>
        <v>0</v>
      </c>
      <c r="GX167" s="180">
        <f t="shared" si="192"/>
        <v>15894.424039999996</v>
      </c>
      <c r="GZ167" s="32">
        <f t="shared" si="193"/>
        <v>10.111599999999997</v>
      </c>
      <c r="HA167" s="32" t="e">
        <f t="shared" si="194"/>
        <v>#DIV/0!</v>
      </c>
      <c r="HB167" s="32">
        <f t="shared" si="195"/>
        <v>10.111599999999997</v>
      </c>
    </row>
    <row r="168" spans="1:210" ht="19.2" customHeight="1" x14ac:dyDescent="0.3">
      <c r="A168" s="50">
        <v>160</v>
      </c>
      <c r="B168" s="51" t="s">
        <v>783</v>
      </c>
      <c r="C168" s="51"/>
      <c r="D168" s="52">
        <v>2</v>
      </c>
      <c r="E168" s="52">
        <v>3</v>
      </c>
      <c r="F168" s="201">
        <v>16</v>
      </c>
      <c r="G168" s="54" t="s">
        <v>26</v>
      </c>
      <c r="H168" s="181" t="s">
        <v>8</v>
      </c>
      <c r="I168" s="55">
        <f t="shared" si="172"/>
        <v>846.7</v>
      </c>
      <c r="J168" s="55">
        <f t="shared" si="152"/>
        <v>0</v>
      </c>
      <c r="K168" s="55">
        <f t="shared" si="153"/>
        <v>0</v>
      </c>
      <c r="L168" s="56">
        <v>846.7</v>
      </c>
      <c r="M168" s="56">
        <v>846.7</v>
      </c>
      <c r="N168" s="56">
        <f t="shared" si="173"/>
        <v>846.7</v>
      </c>
      <c r="O168" s="56">
        <v>0</v>
      </c>
      <c r="P168" s="56">
        <v>0</v>
      </c>
      <c r="Q168" s="55"/>
      <c r="R168" s="55">
        <v>846.7</v>
      </c>
      <c r="S168" s="55"/>
      <c r="T168" s="55">
        <v>0</v>
      </c>
      <c r="U168" s="152">
        <v>846.7</v>
      </c>
      <c r="V168" s="12">
        <v>0.17169999999999999</v>
      </c>
      <c r="W168" s="12">
        <v>0.1086</v>
      </c>
      <c r="X168" s="12">
        <v>0.33929999999999999</v>
      </c>
      <c r="Y168" s="12">
        <v>0</v>
      </c>
      <c r="Z168" s="12">
        <v>0</v>
      </c>
      <c r="AA168" s="12">
        <v>0.64410000000000001</v>
      </c>
      <c r="AB168" s="12">
        <v>0</v>
      </c>
      <c r="AC168" s="12">
        <v>0.62080000000000002</v>
      </c>
      <c r="AD168" s="12">
        <v>0.44829999999999998</v>
      </c>
      <c r="AE168" s="12">
        <v>0</v>
      </c>
      <c r="AF168" s="12">
        <v>1.4353</v>
      </c>
      <c r="AG168" s="12">
        <v>0.22309999999999999</v>
      </c>
      <c r="AH168" s="12">
        <v>0.33460000000000001</v>
      </c>
      <c r="AI168" s="12">
        <v>7.6600000000000001E-2</v>
      </c>
      <c r="AJ168" s="12">
        <v>0</v>
      </c>
      <c r="AK168" s="12">
        <v>0</v>
      </c>
      <c r="AL168" s="12">
        <v>0.1492</v>
      </c>
      <c r="AM168" s="12">
        <v>4.4400000000000002E-2</v>
      </c>
      <c r="AN168" s="12">
        <v>0</v>
      </c>
      <c r="AO168" s="12">
        <v>2.8959000000000001</v>
      </c>
      <c r="AP168" s="12">
        <v>1.3995</v>
      </c>
      <c r="AQ168" s="12">
        <v>9.0999999999999998E-2</v>
      </c>
      <c r="AR168" s="12">
        <v>0.98729999999999996</v>
      </c>
      <c r="AS168" s="12">
        <v>0.1709</v>
      </c>
      <c r="AT168" s="12">
        <v>2.7699999999999999E-2</v>
      </c>
      <c r="AU168" s="12">
        <v>0.34229999999999999</v>
      </c>
      <c r="AV168" s="12">
        <v>0</v>
      </c>
      <c r="AW168" s="188">
        <v>10.510599999999998</v>
      </c>
      <c r="AX168" s="13">
        <v>0.52549999999999997</v>
      </c>
      <c r="AY168" s="189">
        <f t="shared" si="154"/>
        <v>0.52100000000000002</v>
      </c>
      <c r="AZ168" s="189">
        <f t="shared" si="155"/>
        <v>4.4999999999999485E-3</v>
      </c>
      <c r="BA168" s="14">
        <v>11.036099999999998</v>
      </c>
      <c r="BB168" s="190">
        <f>BA168-'[1]Тариф 26 свод без  ПДВ'!AU168</f>
        <v>-2.2000000000019782E-3</v>
      </c>
      <c r="BC168" s="12">
        <v>0</v>
      </c>
      <c r="BD168" s="12">
        <v>0</v>
      </c>
      <c r="BE168" s="12">
        <v>0</v>
      </c>
      <c r="BF168" s="191">
        <v>10.510599999999998</v>
      </c>
      <c r="BG168" s="190">
        <v>0.52549999999999997</v>
      </c>
      <c r="BH168" s="190"/>
      <c r="BI168" s="190"/>
      <c r="BJ168" s="14">
        <v>11.036099999999998</v>
      </c>
      <c r="BK168" s="60"/>
      <c r="BL168" s="60">
        <v>4.8855999999999993</v>
      </c>
      <c r="BM168" s="60">
        <v>0.24429999999999999</v>
      </c>
      <c r="BN168" s="14">
        <v>5.1298999999999992</v>
      </c>
      <c r="BO168" s="14"/>
      <c r="BP168" s="157"/>
      <c r="BQ168" s="158">
        <f>BJ168-'[1]Тариф 26 свод без  ПДВ'!BG168</f>
        <v>-2.2000000000019782E-3</v>
      </c>
      <c r="BR168" s="77">
        <f>'[1]Тариф 26 свод без  ПДВ'!BG168</f>
        <v>11.0383</v>
      </c>
      <c r="BS168" s="159">
        <f t="shared" si="156"/>
        <v>-2.2000000000019782E-3</v>
      </c>
      <c r="BU168" s="77">
        <f>'[1]Тариф 26 свод без  ПДВ'!AU168</f>
        <v>11.0383</v>
      </c>
      <c r="BV168" s="159">
        <f t="shared" si="157"/>
        <v>-2.2000000000019782E-3</v>
      </c>
      <c r="BX168" s="95">
        <v>4.5865999999999998</v>
      </c>
      <c r="BY168" s="95">
        <v>4.5865999999999998</v>
      </c>
      <c r="BZ168" s="95"/>
      <c r="CA168" s="207">
        <f t="shared" si="158"/>
        <v>2.4061614267649234</v>
      </c>
      <c r="CB168" s="207">
        <f t="shared" si="159"/>
        <v>2.4061614267649234</v>
      </c>
      <c r="CI168" s="160">
        <f>'[1]0 СВОД'!AYY183</f>
        <v>9344.3015876245427</v>
      </c>
      <c r="CJ168" s="77">
        <f t="shared" si="160"/>
        <v>112131.61905149452</v>
      </c>
      <c r="CM168" s="161">
        <v>166</v>
      </c>
      <c r="CN168" s="183" t="s">
        <v>784</v>
      </c>
      <c r="CO168" s="163">
        <v>2</v>
      </c>
      <c r="CP168" s="163">
        <v>3</v>
      </c>
      <c r="CQ168" s="164" t="s">
        <v>26</v>
      </c>
      <c r="CR168" s="165" t="s">
        <v>8</v>
      </c>
      <c r="CS168" s="166">
        <v>846.7</v>
      </c>
      <c r="CT168" s="166">
        <v>0</v>
      </c>
      <c r="CU168" s="167">
        <v>0</v>
      </c>
      <c r="CV168" s="168">
        <v>846.7</v>
      </c>
      <c r="CW168" s="166">
        <v>846.7</v>
      </c>
      <c r="CX168" s="167">
        <v>0</v>
      </c>
      <c r="CY168" s="166">
        <v>0</v>
      </c>
      <c r="CZ168" s="166"/>
      <c r="DA168" s="166">
        <v>846.7</v>
      </c>
      <c r="DB168" s="166"/>
      <c r="DC168" s="166">
        <v>0</v>
      </c>
      <c r="DD168" s="184">
        <v>0.17269999999999999</v>
      </c>
      <c r="DE168" s="59">
        <v>0.15329999999999999</v>
      </c>
      <c r="DF168" s="59">
        <v>0.2225</v>
      </c>
      <c r="DG168" s="59">
        <v>0</v>
      </c>
      <c r="DH168" s="59">
        <v>0</v>
      </c>
      <c r="DI168" s="59">
        <v>0.26529999999999998</v>
      </c>
      <c r="DJ168" s="59">
        <v>4.8099999999999997E-2</v>
      </c>
      <c r="DK168" s="59">
        <v>0.33839999999999998</v>
      </c>
      <c r="DL168" s="169">
        <v>0</v>
      </c>
      <c r="DM168" s="59">
        <v>0.27279999999999999</v>
      </c>
      <c r="DN168" s="169">
        <v>0</v>
      </c>
      <c r="DO168" s="59">
        <v>0.99370000000000003</v>
      </c>
      <c r="DP168" s="171">
        <f t="shared" si="161"/>
        <v>1.4353</v>
      </c>
      <c r="DQ168" s="59">
        <v>0.1028</v>
      </c>
      <c r="DR168" s="59">
        <v>0.20019999999999999</v>
      </c>
      <c r="DS168" s="59">
        <v>1.9800000000000002E-2</v>
      </c>
      <c r="DT168" s="59">
        <v>0</v>
      </c>
      <c r="DU168" s="59">
        <v>0</v>
      </c>
      <c r="DV168" s="59">
        <v>5.2200000000000003E-2</v>
      </c>
      <c r="DW168" s="59">
        <v>1.43E-2</v>
      </c>
      <c r="DX168" s="169">
        <v>0</v>
      </c>
      <c r="DY168" s="59">
        <v>1.4349000000000001</v>
      </c>
      <c r="DZ168" s="171">
        <f t="shared" si="162"/>
        <v>2.0181894208655655</v>
      </c>
      <c r="EA168" s="59">
        <v>0.85019999999999996</v>
      </c>
      <c r="EB168" s="171">
        <f t="shared" si="163"/>
        <v>1.7531169136673723</v>
      </c>
      <c r="EC168" s="59">
        <v>0.46589999999999998</v>
      </c>
      <c r="ED168" s="171">
        <f t="shared" si="164"/>
        <v>2.1191242755956212</v>
      </c>
      <c r="EE168" s="59">
        <v>0.13070000000000001</v>
      </c>
      <c r="EF168" s="59">
        <v>1.8200000000000001E-2</v>
      </c>
      <c r="EG168" s="59">
        <v>0.21820000000000001</v>
      </c>
      <c r="EH168" s="59">
        <v>0</v>
      </c>
      <c r="EI168" s="195">
        <v>0.14940000000000001</v>
      </c>
      <c r="EJ168" s="172">
        <v>6.1236000000000015</v>
      </c>
      <c r="EK168" s="173"/>
      <c r="EL168" s="169">
        <v>0</v>
      </c>
      <c r="EM168" s="169">
        <v>0</v>
      </c>
      <c r="EN168" s="59"/>
      <c r="EO168" s="172"/>
      <c r="ES168" s="57">
        <f t="shared" si="174"/>
        <v>6.1236000000000015</v>
      </c>
      <c r="ET168" s="57">
        <f t="shared" si="175"/>
        <v>0</v>
      </c>
      <c r="EU168" s="31"/>
      <c r="EV168" s="61">
        <f t="shared" si="165"/>
        <v>1.8022241818538107</v>
      </c>
      <c r="EW168" s="62"/>
      <c r="EX168" s="159">
        <f t="shared" si="211"/>
        <v>-2.4274194285714246</v>
      </c>
      <c r="EY168" s="32">
        <f t="shared" si="212"/>
        <v>-2.5487903999999961</v>
      </c>
      <c r="EZ168" s="158">
        <f t="shared" si="166"/>
        <v>11.036099999999998</v>
      </c>
      <c r="FA168" s="159">
        <f t="shared" si="167"/>
        <v>11.036099999999998</v>
      </c>
      <c r="FB168" s="158">
        <f t="shared" ref="FB168:FB169" si="213">ES168*1.34</f>
        <v>8.205624000000002</v>
      </c>
      <c r="FC168" s="158">
        <f t="shared" ref="FC168:FC169" si="214">EZ168-FB168</f>
        <v>2.8304759999999956</v>
      </c>
      <c r="FD168" s="158"/>
      <c r="FE168" s="158"/>
      <c r="FF168" s="158"/>
      <c r="FG168" s="174"/>
      <c r="FH168" s="174">
        <f t="shared" si="176"/>
        <v>9344.2658699999993</v>
      </c>
      <c r="FI168" s="174"/>
      <c r="FJ168" s="87">
        <v>1.4141844666536019</v>
      </c>
      <c r="FK168" s="176">
        <f t="shared" si="177"/>
        <v>1.2743911592512616</v>
      </c>
      <c r="FM168" s="87" t="e">
        <f t="shared" si="178"/>
        <v>#DIV/0!</v>
      </c>
      <c r="FO168" s="88">
        <f t="shared" si="168"/>
        <v>9344.2658699999993</v>
      </c>
      <c r="FP168" s="79">
        <f t="shared" si="169"/>
        <v>0</v>
      </c>
      <c r="FS168" s="79">
        <f t="shared" si="170"/>
        <v>5184.8521200000014</v>
      </c>
      <c r="FT168" s="79">
        <f t="shared" si="171"/>
        <v>0</v>
      </c>
      <c r="FU168" s="79">
        <f t="shared" si="179"/>
        <v>1.8022241818538109</v>
      </c>
      <c r="FV168" s="79" t="e">
        <f t="shared" si="179"/>
        <v>#DIV/0!</v>
      </c>
      <c r="FY168" s="79">
        <f t="shared" si="180"/>
        <v>9344.2658699999993</v>
      </c>
      <c r="FZ168" s="79">
        <f t="shared" si="181"/>
        <v>0</v>
      </c>
      <c r="GB168" s="178">
        <f t="shared" si="182"/>
        <v>846.7</v>
      </c>
      <c r="GC168" s="178">
        <f t="shared" si="183"/>
        <v>0</v>
      </c>
      <c r="GE168" s="196"/>
      <c r="GF168" s="196"/>
      <c r="GG168" s="14">
        <v>8.6904000000000003</v>
      </c>
      <c r="GH168" s="197">
        <f t="shared" si="184"/>
        <v>1.2699185307925984</v>
      </c>
      <c r="GI168" s="14">
        <v>8.6904000000000003</v>
      </c>
      <c r="GJ168" s="197">
        <f t="shared" si="185"/>
        <v>1.2699185307925984</v>
      </c>
      <c r="GK168" s="197">
        <f t="shared" si="150"/>
        <v>0</v>
      </c>
      <c r="GL168" s="196"/>
      <c r="GM168" s="196"/>
      <c r="GN168" s="14">
        <v>11.226799999999997</v>
      </c>
      <c r="GO168" s="197">
        <f t="shared" si="186"/>
        <v>1.291862284820031</v>
      </c>
      <c r="GP168" s="198">
        <f t="shared" si="187"/>
        <v>0.9830138596928778</v>
      </c>
      <c r="GQ168" s="14">
        <v>11.226799999999997</v>
      </c>
      <c r="GR168" s="197">
        <f t="shared" si="188"/>
        <v>1.291862284820031</v>
      </c>
      <c r="GS168" s="197">
        <f t="shared" si="189"/>
        <v>0.9830138596928778</v>
      </c>
      <c r="GT168" s="196"/>
      <c r="GV168" s="32">
        <f t="shared" si="190"/>
        <v>9344.2658699999993</v>
      </c>
      <c r="GW168" s="32">
        <f t="shared" si="191"/>
        <v>0</v>
      </c>
      <c r="GX168" s="180">
        <f t="shared" si="192"/>
        <v>9344.2658699999993</v>
      </c>
      <c r="GZ168" s="32">
        <f t="shared" si="193"/>
        <v>11.036099999999999</v>
      </c>
      <c r="HA168" s="32" t="e">
        <f t="shared" si="194"/>
        <v>#DIV/0!</v>
      </c>
      <c r="HB168" s="32">
        <f t="shared" si="195"/>
        <v>11.036099999999999</v>
      </c>
    </row>
    <row r="169" spans="1:210" ht="19.2" customHeight="1" x14ac:dyDescent="0.3">
      <c r="A169" s="50">
        <v>161</v>
      </c>
      <c r="B169" s="51" t="s">
        <v>785</v>
      </c>
      <c r="C169" s="51"/>
      <c r="D169" s="52">
        <v>2</v>
      </c>
      <c r="E169" s="52">
        <v>3</v>
      </c>
      <c r="F169" s="63">
        <v>16</v>
      </c>
      <c r="G169" s="54" t="s">
        <v>27</v>
      </c>
      <c r="H169" s="181" t="s">
        <v>8</v>
      </c>
      <c r="I169" s="55">
        <f t="shared" si="172"/>
        <v>929.1</v>
      </c>
      <c r="J169" s="55">
        <f t="shared" si="152"/>
        <v>0</v>
      </c>
      <c r="K169" s="55">
        <f t="shared" si="153"/>
        <v>0</v>
      </c>
      <c r="L169" s="56">
        <v>929.1</v>
      </c>
      <c r="M169" s="56">
        <v>929.1</v>
      </c>
      <c r="N169" s="56">
        <f t="shared" si="173"/>
        <v>929.1</v>
      </c>
      <c r="O169" s="56">
        <v>0</v>
      </c>
      <c r="P169" s="56">
        <v>0</v>
      </c>
      <c r="Q169" s="55"/>
      <c r="R169" s="55">
        <v>929.1</v>
      </c>
      <c r="S169" s="55"/>
      <c r="T169" s="55">
        <v>0</v>
      </c>
      <c r="U169" s="152">
        <v>929.1</v>
      </c>
      <c r="V169" s="12">
        <v>0.1565</v>
      </c>
      <c r="W169" s="12">
        <v>9.9000000000000005E-2</v>
      </c>
      <c r="X169" s="12">
        <v>0.34250000000000003</v>
      </c>
      <c r="Y169" s="12">
        <v>7.1900000000000006E-2</v>
      </c>
      <c r="Z169" s="12">
        <v>0</v>
      </c>
      <c r="AA169" s="12">
        <v>0.58699999999999997</v>
      </c>
      <c r="AB169" s="12">
        <v>0</v>
      </c>
      <c r="AC169" s="12">
        <v>0.63149999999999995</v>
      </c>
      <c r="AD169" s="12">
        <v>0.13619999999999999</v>
      </c>
      <c r="AE169" s="12">
        <v>0</v>
      </c>
      <c r="AF169" s="12">
        <v>0.99450000000000005</v>
      </c>
      <c r="AG169" s="12">
        <v>0.20330000000000001</v>
      </c>
      <c r="AH169" s="12">
        <v>0.45069999999999999</v>
      </c>
      <c r="AI169" s="12">
        <v>8.2799999999999999E-2</v>
      </c>
      <c r="AJ169" s="12">
        <v>0.13689999999999999</v>
      </c>
      <c r="AK169" s="12">
        <v>0</v>
      </c>
      <c r="AL169" s="12">
        <v>0.14280000000000001</v>
      </c>
      <c r="AM169" s="12">
        <v>4.3700000000000003E-2</v>
      </c>
      <c r="AN169" s="12">
        <v>0</v>
      </c>
      <c r="AO169" s="12">
        <v>3.0139</v>
      </c>
      <c r="AP169" s="12">
        <v>1.1149</v>
      </c>
      <c r="AQ169" s="12">
        <v>0.11020000000000001</v>
      </c>
      <c r="AR169" s="12">
        <v>0.9546</v>
      </c>
      <c r="AS169" s="12">
        <v>0.16769999999999999</v>
      </c>
      <c r="AT169" s="12">
        <v>2.7199999999999998E-2</v>
      </c>
      <c r="AU169" s="12">
        <v>0.59050000000000002</v>
      </c>
      <c r="AV169" s="12">
        <v>0</v>
      </c>
      <c r="AW169" s="188">
        <v>10.058300000000001</v>
      </c>
      <c r="AX169" s="13">
        <v>0.50290000000000001</v>
      </c>
      <c r="AY169" s="189">
        <f t="shared" si="154"/>
        <v>0.49740000000000001</v>
      </c>
      <c r="AZ169" s="189">
        <f t="shared" si="155"/>
        <v>5.5000000000000049E-3</v>
      </c>
      <c r="BA169" s="14">
        <v>10.561200000000001</v>
      </c>
      <c r="BB169" s="190">
        <f>BA169-'[1]Тариф 26 свод без  ПДВ'!AU169</f>
        <v>-1.1999999999989797E-3</v>
      </c>
      <c r="BC169" s="12">
        <v>0</v>
      </c>
      <c r="BD169" s="12">
        <v>0</v>
      </c>
      <c r="BE169" s="12">
        <v>0</v>
      </c>
      <c r="BF169" s="191">
        <v>10.058300000000001</v>
      </c>
      <c r="BG169" s="190">
        <v>0.50290000000000001</v>
      </c>
      <c r="BH169" s="190"/>
      <c r="BI169" s="190"/>
      <c r="BJ169" s="14">
        <v>10.561200000000001</v>
      </c>
      <c r="BK169" s="60"/>
      <c r="BL169" s="60">
        <v>4.3844000000000012</v>
      </c>
      <c r="BM169" s="60">
        <v>0.21920000000000001</v>
      </c>
      <c r="BN169" s="14">
        <v>4.603600000000001</v>
      </c>
      <c r="BO169" s="14"/>
      <c r="BP169" s="157"/>
      <c r="BQ169" s="158">
        <f>BJ169-'[1]Тариф 26 свод без  ПДВ'!BG169</f>
        <v>-1.1999999999989797E-3</v>
      </c>
      <c r="BR169" s="77">
        <f>'[1]Тариф 26 свод без  ПДВ'!BG169</f>
        <v>10.5624</v>
      </c>
      <c r="BS169" s="159">
        <f t="shared" si="156"/>
        <v>-1.1999999999989797E-3</v>
      </c>
      <c r="BU169" s="77">
        <f>'[1]Тариф 26 свод без  ПДВ'!AU169</f>
        <v>10.5624</v>
      </c>
      <c r="BV169" s="159">
        <f t="shared" si="157"/>
        <v>-1.1999999999989797E-3</v>
      </c>
      <c r="BX169" s="95">
        <v>4.6157000000000004</v>
      </c>
      <c r="BY169" s="95">
        <v>4.6157000000000004</v>
      </c>
      <c r="BZ169" s="95"/>
      <c r="CA169" s="200">
        <f t="shared" si="158"/>
        <v>2.2881036462508395</v>
      </c>
      <c r="CB169" s="200">
        <f t="shared" si="159"/>
        <v>2.2881036462508395</v>
      </c>
      <c r="CI169" s="160">
        <f>'[1]0 СВОД'!AYY184</f>
        <v>9812.4310681456172</v>
      </c>
      <c r="CJ169" s="77">
        <f t="shared" si="160"/>
        <v>117749.1728177474</v>
      </c>
      <c r="CM169" s="161">
        <v>167</v>
      </c>
      <c r="CN169" s="162" t="s">
        <v>786</v>
      </c>
      <c r="CO169" s="163">
        <v>2</v>
      </c>
      <c r="CP169" s="163">
        <v>3</v>
      </c>
      <c r="CQ169" s="164" t="s">
        <v>27</v>
      </c>
      <c r="CR169" s="165" t="s">
        <v>8</v>
      </c>
      <c r="CS169" s="166">
        <v>929.1</v>
      </c>
      <c r="CT169" s="166">
        <v>0</v>
      </c>
      <c r="CU169" s="167">
        <v>0</v>
      </c>
      <c r="CV169" s="168">
        <v>929.1</v>
      </c>
      <c r="CW169" s="166">
        <v>929.1</v>
      </c>
      <c r="CX169" s="167">
        <v>0</v>
      </c>
      <c r="CY169" s="166">
        <v>0</v>
      </c>
      <c r="CZ169" s="166"/>
      <c r="DA169" s="166">
        <v>929.1</v>
      </c>
      <c r="DB169" s="166"/>
      <c r="DC169" s="166">
        <v>0</v>
      </c>
      <c r="DD169" s="59">
        <v>0.14829999999999999</v>
      </c>
      <c r="DE169" s="59">
        <v>0.20649999999999999</v>
      </c>
      <c r="DF169" s="59">
        <v>0.22470000000000001</v>
      </c>
      <c r="DG169" s="59">
        <v>4.2200000000000001E-2</v>
      </c>
      <c r="DH169" s="59">
        <v>0</v>
      </c>
      <c r="DI169" s="59">
        <v>0.25159999999999999</v>
      </c>
      <c r="DJ169" s="59">
        <v>4.8099999999999997E-2</v>
      </c>
      <c r="DK169" s="59">
        <v>0.3458</v>
      </c>
      <c r="DL169" s="169">
        <v>0</v>
      </c>
      <c r="DM169" s="59">
        <v>8.2900000000000001E-2</v>
      </c>
      <c r="DN169" s="169">
        <v>0</v>
      </c>
      <c r="DO169" s="170">
        <v>0.71300000000000008</v>
      </c>
      <c r="DP169" s="171">
        <f t="shared" si="161"/>
        <v>0.99450000000000005</v>
      </c>
      <c r="DQ169" s="59">
        <v>0.1008</v>
      </c>
      <c r="DR169" s="59">
        <v>0.26960000000000001</v>
      </c>
      <c r="DS169" s="59">
        <v>2.1399999999999999E-2</v>
      </c>
      <c r="DT169" s="59">
        <v>6.4699999999999994E-2</v>
      </c>
      <c r="DU169" s="59">
        <v>0</v>
      </c>
      <c r="DV169" s="59">
        <v>4.99E-2</v>
      </c>
      <c r="DW169" s="59">
        <v>1.4E-2</v>
      </c>
      <c r="DX169" s="169">
        <v>0</v>
      </c>
      <c r="DY169" s="170">
        <v>1.5203</v>
      </c>
      <c r="DZ169" s="171">
        <f t="shared" si="162"/>
        <v>1.9824376767743208</v>
      </c>
      <c r="EA169" s="59">
        <v>0.6855</v>
      </c>
      <c r="EB169" s="171">
        <f t="shared" si="163"/>
        <v>1.7871626549963531</v>
      </c>
      <c r="EC169" s="59">
        <v>0.45350000000000001</v>
      </c>
      <c r="ED169" s="171">
        <f t="shared" si="164"/>
        <v>2.1049614112458652</v>
      </c>
      <c r="EE169" s="59">
        <v>0.1283</v>
      </c>
      <c r="EF169" s="59">
        <v>1.78E-2</v>
      </c>
      <c r="EG169" s="59">
        <v>0.25900000000000001</v>
      </c>
      <c r="EH169" s="59">
        <v>0</v>
      </c>
      <c r="EI169" s="195">
        <v>0.14119999999999999</v>
      </c>
      <c r="EJ169" s="172">
        <v>5.7891000000000012</v>
      </c>
      <c r="EK169" s="173"/>
      <c r="EL169" s="169">
        <v>0</v>
      </c>
      <c r="EM169" s="169">
        <v>0</v>
      </c>
      <c r="EN169" s="59"/>
      <c r="EO169" s="172"/>
      <c r="ES169" s="57">
        <f t="shared" si="174"/>
        <v>5.7891000000000012</v>
      </c>
      <c r="ET169" s="57">
        <f t="shared" si="175"/>
        <v>0</v>
      </c>
      <c r="EU169" s="31"/>
      <c r="EV169" s="61">
        <f t="shared" si="165"/>
        <v>1.8243250246152249</v>
      </c>
      <c r="EW169" s="61"/>
      <c r="EX169" s="159">
        <f t="shared" si="211"/>
        <v>-2.4166737142857149</v>
      </c>
      <c r="EY169" s="32">
        <f t="shared" si="212"/>
        <v>-2.5375074000000009</v>
      </c>
      <c r="EZ169" s="158">
        <f t="shared" si="166"/>
        <v>10.561200000000001</v>
      </c>
      <c r="FA169" s="159">
        <f t="shared" si="167"/>
        <v>10.561200000000001</v>
      </c>
      <c r="FB169" s="158">
        <f t="shared" si="213"/>
        <v>7.7573940000000023</v>
      </c>
      <c r="FC169" s="158">
        <f t="shared" si="214"/>
        <v>2.8038059999999989</v>
      </c>
      <c r="FD169" s="158"/>
      <c r="FE169" s="158"/>
      <c r="FF169" s="158"/>
      <c r="FG169" s="174"/>
      <c r="FH169" s="174">
        <f t="shared" si="176"/>
        <v>9812.4109200000021</v>
      </c>
      <c r="FI169" s="174"/>
      <c r="FJ169" s="87">
        <v>1.4510545680675753</v>
      </c>
      <c r="FK169" s="176">
        <f t="shared" si="177"/>
        <v>1.2572408128281132</v>
      </c>
      <c r="FM169" s="87" t="e">
        <f t="shared" si="178"/>
        <v>#DIV/0!</v>
      </c>
      <c r="FO169" s="88">
        <f t="shared" si="168"/>
        <v>9812.4109200000021</v>
      </c>
      <c r="FP169" s="79">
        <f t="shared" si="169"/>
        <v>0</v>
      </c>
      <c r="FS169" s="79">
        <f t="shared" si="170"/>
        <v>5378.6528100000014</v>
      </c>
      <c r="FT169" s="79">
        <f t="shared" si="171"/>
        <v>0</v>
      </c>
      <c r="FU169" s="79">
        <f t="shared" si="179"/>
        <v>1.8243250246152252</v>
      </c>
      <c r="FV169" s="79" t="e">
        <f t="shared" si="179"/>
        <v>#DIV/0!</v>
      </c>
      <c r="FY169" s="79">
        <f t="shared" si="180"/>
        <v>9812.4109200000021</v>
      </c>
      <c r="FZ169" s="79">
        <f t="shared" si="181"/>
        <v>0</v>
      </c>
      <c r="GB169" s="178">
        <f t="shared" si="182"/>
        <v>929.1</v>
      </c>
      <c r="GC169" s="178">
        <f t="shared" si="183"/>
        <v>0</v>
      </c>
      <c r="GE169" s="196"/>
      <c r="GF169" s="196"/>
      <c r="GG169" s="14">
        <v>8.3164000000000016</v>
      </c>
      <c r="GH169" s="197">
        <f t="shared" si="184"/>
        <v>1.269924486556683</v>
      </c>
      <c r="GI169" s="14">
        <v>8.3164000000000016</v>
      </c>
      <c r="GJ169" s="197">
        <f t="shared" si="185"/>
        <v>1.269924486556683</v>
      </c>
      <c r="GK169" s="197">
        <f t="shared" si="150"/>
        <v>0</v>
      </c>
      <c r="GL169" s="196"/>
      <c r="GM169" s="196"/>
      <c r="GN169" s="14">
        <v>10.8271</v>
      </c>
      <c r="GO169" s="197">
        <f t="shared" si="186"/>
        <v>1.3018974556298395</v>
      </c>
      <c r="GP169" s="198">
        <f t="shared" si="187"/>
        <v>0.97544125389070035</v>
      </c>
      <c r="GQ169" s="14">
        <v>10.8271</v>
      </c>
      <c r="GR169" s="197">
        <f t="shared" si="188"/>
        <v>1.3018974556298395</v>
      </c>
      <c r="GS169" s="197">
        <f t="shared" si="189"/>
        <v>0.97544125389070035</v>
      </c>
      <c r="GT169" s="196"/>
      <c r="GV169" s="32">
        <f t="shared" si="190"/>
        <v>9812.4109200000021</v>
      </c>
      <c r="GW169" s="32">
        <f t="shared" si="191"/>
        <v>0</v>
      </c>
      <c r="GX169" s="180">
        <f t="shared" si="192"/>
        <v>9812.4109200000021</v>
      </c>
      <c r="GZ169" s="32">
        <f t="shared" si="193"/>
        <v>10.561200000000001</v>
      </c>
      <c r="HA169" s="32" t="e">
        <f t="shared" si="194"/>
        <v>#DIV/0!</v>
      </c>
      <c r="HB169" s="32">
        <f t="shared" si="195"/>
        <v>10.561200000000001</v>
      </c>
    </row>
    <row r="170" spans="1:210" ht="19.2" customHeight="1" x14ac:dyDescent="0.3">
      <c r="A170" s="50">
        <v>162</v>
      </c>
      <c r="B170" s="51" t="s">
        <v>787</v>
      </c>
      <c r="C170" s="51"/>
      <c r="D170" s="52">
        <v>3</v>
      </c>
      <c r="E170" s="52">
        <v>4</v>
      </c>
      <c r="F170" s="63">
        <v>24</v>
      </c>
      <c r="G170" s="54" t="s">
        <v>44</v>
      </c>
      <c r="H170" s="181" t="s">
        <v>37</v>
      </c>
      <c r="I170" s="55">
        <f t="shared" si="172"/>
        <v>1383.5</v>
      </c>
      <c r="J170" s="55">
        <f t="shared" si="152"/>
        <v>0</v>
      </c>
      <c r="K170" s="55">
        <f t="shared" si="153"/>
        <v>0</v>
      </c>
      <c r="L170" s="56">
        <v>1383.5</v>
      </c>
      <c r="M170" s="56">
        <v>1383.5</v>
      </c>
      <c r="N170" s="56">
        <f t="shared" si="173"/>
        <v>1383.5</v>
      </c>
      <c r="O170" s="56">
        <v>0</v>
      </c>
      <c r="P170" s="56">
        <v>0</v>
      </c>
      <c r="Q170" s="55"/>
      <c r="R170" s="55">
        <v>1383.5</v>
      </c>
      <c r="S170" s="55"/>
      <c r="T170" s="55">
        <v>0</v>
      </c>
      <c r="U170" s="152">
        <v>1383.5</v>
      </c>
      <c r="V170" s="57">
        <v>0.23280000000000001</v>
      </c>
      <c r="W170" s="153">
        <v>9.5299999999999996E-2</v>
      </c>
      <c r="X170" s="57">
        <v>0.33460000000000001</v>
      </c>
      <c r="Y170" s="57">
        <v>7.9100000000000004E-2</v>
      </c>
      <c r="Z170" s="153">
        <v>0</v>
      </c>
      <c r="AA170" s="57">
        <v>0.62549999999999994</v>
      </c>
      <c r="AB170" s="153">
        <v>0</v>
      </c>
      <c r="AC170" s="57">
        <v>0.63149999999999995</v>
      </c>
      <c r="AD170" s="57">
        <v>0.13719999999999999</v>
      </c>
      <c r="AE170" s="57">
        <v>0</v>
      </c>
      <c r="AF170" s="57">
        <v>0.75439999999999996</v>
      </c>
      <c r="AG170" s="57">
        <v>0.16239999999999999</v>
      </c>
      <c r="AH170" s="57">
        <v>0.33810000000000001</v>
      </c>
      <c r="AI170" s="153">
        <v>8.8499999999999995E-2</v>
      </c>
      <c r="AJ170" s="153">
        <v>0.12</v>
      </c>
      <c r="AK170" s="153">
        <v>0</v>
      </c>
      <c r="AL170" s="57">
        <v>0.14749999999999999</v>
      </c>
      <c r="AM170" s="153">
        <v>3.4599999999999999E-2</v>
      </c>
      <c r="AN170" s="57">
        <v>0</v>
      </c>
      <c r="AO170" s="153">
        <v>2.3689</v>
      </c>
      <c r="AP170" s="57">
        <v>1.5412999999999999</v>
      </c>
      <c r="AQ170" s="57">
        <v>5.8299999999999998E-2</v>
      </c>
      <c r="AR170" s="153">
        <v>0.85370000000000001</v>
      </c>
      <c r="AS170" s="57">
        <v>8.2299999999999998E-2</v>
      </c>
      <c r="AT170" s="57">
        <v>1.34E-2</v>
      </c>
      <c r="AU170" s="153">
        <v>1.2569999999999999</v>
      </c>
      <c r="AV170" s="153">
        <v>0</v>
      </c>
      <c r="AW170" s="154">
        <v>9.9564000000000004</v>
      </c>
      <c r="AX170" s="58">
        <v>0.49780000000000002</v>
      </c>
      <c r="AY170" s="155">
        <f t="shared" si="154"/>
        <v>0.49490000000000001</v>
      </c>
      <c r="AZ170" s="155">
        <f t="shared" si="155"/>
        <v>2.9000000000000137E-3</v>
      </c>
      <c r="BA170" s="14">
        <v>10.4542</v>
      </c>
      <c r="BB170" s="59">
        <f>BA170-'[1]Тариф 26 свод без  ПДВ'!AU170</f>
        <v>5.3000000000000824E-3</v>
      </c>
      <c r="BC170" s="57">
        <v>0</v>
      </c>
      <c r="BD170" s="57">
        <v>0</v>
      </c>
      <c r="BE170" s="57">
        <v>0</v>
      </c>
      <c r="BF170" s="156">
        <v>9.9564000000000004</v>
      </c>
      <c r="BG170" s="59">
        <v>0.49780000000000002</v>
      </c>
      <c r="BH170" s="59"/>
      <c r="BI170" s="59"/>
      <c r="BJ170" s="14">
        <v>10.4542</v>
      </c>
      <c r="BK170" s="60"/>
      <c r="BL170" s="60">
        <v>3.9355000000000011</v>
      </c>
      <c r="BM170" s="60">
        <v>0.1968</v>
      </c>
      <c r="BN170" s="14">
        <v>4.1323000000000008</v>
      </c>
      <c r="BO170" s="14"/>
      <c r="BP170" s="157"/>
      <c r="BQ170" s="158">
        <f>BJ170-'[1]Тариф 26 свод без  ПДВ'!BG170</f>
        <v>5.3000000000000824E-3</v>
      </c>
      <c r="BR170" s="77">
        <f>'[1]Тариф 26 свод без  ПДВ'!BG170</f>
        <v>10.4489</v>
      </c>
      <c r="BS170" s="159">
        <f t="shared" si="156"/>
        <v>5.3000000000000824E-3</v>
      </c>
      <c r="BU170" s="77">
        <f>'[1]Тариф 26 свод без  ПДВ'!AU170</f>
        <v>10.4489</v>
      </c>
      <c r="BV170" s="159">
        <f t="shared" si="157"/>
        <v>5.3000000000000824E-3</v>
      </c>
      <c r="BX170" s="95">
        <v>4.3231999999999999</v>
      </c>
      <c r="BY170" s="95">
        <v>4.3231999999999999</v>
      </c>
      <c r="BZ170" s="95"/>
      <c r="CA170" s="233">
        <f t="shared" si="158"/>
        <v>2.4181624722427832</v>
      </c>
      <c r="CB170" s="233">
        <f t="shared" si="159"/>
        <v>2.4181624722427832</v>
      </c>
      <c r="CI170" s="160">
        <f>'[1]0 СВОД'!AYY185</f>
        <v>14463.446803160923</v>
      </c>
      <c r="CJ170" s="77">
        <f t="shared" si="160"/>
        <v>173561.36163793108</v>
      </c>
      <c r="CM170" s="161">
        <v>168</v>
      </c>
      <c r="CN170" s="228" t="s">
        <v>788</v>
      </c>
      <c r="CO170" s="163">
        <v>3</v>
      </c>
      <c r="CP170" s="163">
        <v>4</v>
      </c>
      <c r="CQ170" s="164" t="s">
        <v>44</v>
      </c>
      <c r="CR170" s="165" t="s">
        <v>37</v>
      </c>
      <c r="CS170" s="166">
        <v>1383.5</v>
      </c>
      <c r="CT170" s="166">
        <v>0</v>
      </c>
      <c r="CU170" s="167">
        <v>0</v>
      </c>
      <c r="CV170" s="168">
        <v>1383.5</v>
      </c>
      <c r="CW170" s="166">
        <v>1383.5</v>
      </c>
      <c r="CX170" s="167">
        <v>0</v>
      </c>
      <c r="CY170" s="166">
        <v>0</v>
      </c>
      <c r="CZ170" s="166"/>
      <c r="DA170" s="166">
        <v>1383.5</v>
      </c>
      <c r="DB170" s="166"/>
      <c r="DC170" s="166">
        <v>0</v>
      </c>
      <c r="DD170" s="59">
        <v>0.1183</v>
      </c>
      <c r="DE170" s="59">
        <v>0.15490000000000001</v>
      </c>
      <c r="DF170" s="59">
        <v>0.21970000000000001</v>
      </c>
      <c r="DG170" s="59">
        <v>4.65E-2</v>
      </c>
      <c r="DH170" s="59">
        <v>0</v>
      </c>
      <c r="DI170" s="59">
        <v>0.25950000000000001</v>
      </c>
      <c r="DJ170" s="59">
        <v>4.8099999999999997E-2</v>
      </c>
      <c r="DK170" s="59">
        <v>0.3458</v>
      </c>
      <c r="DL170" s="169">
        <v>0</v>
      </c>
      <c r="DM170" s="59">
        <v>8.3500000000000005E-2</v>
      </c>
      <c r="DN170" s="169">
        <v>0</v>
      </c>
      <c r="DO170" s="229">
        <v>0.71179999999999999</v>
      </c>
      <c r="DP170" s="171">
        <f t="shared" si="161"/>
        <v>0.75439999999999996</v>
      </c>
      <c r="DQ170" s="59">
        <v>7.8299999999999995E-2</v>
      </c>
      <c r="DR170" s="59">
        <v>0.20230000000000001</v>
      </c>
      <c r="DS170" s="59">
        <v>2.3E-2</v>
      </c>
      <c r="DT170" s="59">
        <v>5.6500000000000002E-2</v>
      </c>
      <c r="DU170" s="59">
        <v>0</v>
      </c>
      <c r="DV170" s="59">
        <v>5.16E-2</v>
      </c>
      <c r="DW170" s="59">
        <v>9.5999999999999992E-3</v>
      </c>
      <c r="DX170" s="169">
        <v>0</v>
      </c>
      <c r="DY170" s="59">
        <v>1.4252</v>
      </c>
      <c r="DZ170" s="171">
        <f t="shared" si="162"/>
        <v>1.6621526803255684</v>
      </c>
      <c r="EA170" s="59">
        <v>0.89280000000000004</v>
      </c>
      <c r="EB170" s="171">
        <f t="shared" si="163"/>
        <v>1.7916666666666665</v>
      </c>
      <c r="EC170" s="59">
        <v>0.4768</v>
      </c>
      <c r="ED170" s="171">
        <f t="shared" si="164"/>
        <v>1.7904781879194631</v>
      </c>
      <c r="EE170" s="59">
        <v>6.3E-2</v>
      </c>
      <c r="EF170" s="59">
        <v>8.6999999999999994E-3</v>
      </c>
      <c r="EG170" s="59">
        <v>0.29770000000000002</v>
      </c>
      <c r="EH170" s="59">
        <v>0</v>
      </c>
      <c r="EI170" s="230">
        <v>0.13930000000000001</v>
      </c>
      <c r="EJ170" s="172">
        <v>5.7129000000000003</v>
      </c>
      <c r="EK170" s="173"/>
      <c r="EL170" s="169">
        <v>0</v>
      </c>
      <c r="EM170" s="169">
        <v>0</v>
      </c>
      <c r="EN170" s="59"/>
      <c r="EO170" s="172"/>
      <c r="ES170" s="57">
        <f t="shared" si="174"/>
        <v>5.7129000000000003</v>
      </c>
      <c r="ET170" s="57">
        <f t="shared" si="175"/>
        <v>0</v>
      </c>
      <c r="EU170" s="31"/>
      <c r="EV170" s="61">
        <f t="shared" si="165"/>
        <v>1.829928757723748</v>
      </c>
      <c r="EW170" s="236" t="s">
        <v>776</v>
      </c>
      <c r="EX170" s="159">
        <f t="shared" si="211"/>
        <v>-2.4153529523809527</v>
      </c>
      <c r="EY170" s="32">
        <f t="shared" si="212"/>
        <v>-2.5361206000000003</v>
      </c>
      <c r="EZ170" s="158">
        <f t="shared" si="166"/>
        <v>10.4542</v>
      </c>
      <c r="FA170" s="158">
        <f t="shared" si="167"/>
        <v>10.4542</v>
      </c>
      <c r="FB170" s="32">
        <f>(BJ170-EZ170)*L170</f>
        <v>0</v>
      </c>
      <c r="FH170" s="174">
        <f t="shared" si="176"/>
        <v>14463.385700000001</v>
      </c>
      <c r="FJ170" s="87">
        <v>1.4590663235834689</v>
      </c>
      <c r="FK170" s="176">
        <f t="shared" si="177"/>
        <v>1.2541779137424269</v>
      </c>
      <c r="FM170" s="87" t="e">
        <f t="shared" si="178"/>
        <v>#VALUE!</v>
      </c>
      <c r="FO170" s="88">
        <f t="shared" si="168"/>
        <v>14463.385700000001</v>
      </c>
      <c r="FP170" s="79">
        <f t="shared" si="169"/>
        <v>0</v>
      </c>
      <c r="FS170" s="79">
        <f t="shared" si="170"/>
        <v>7903.7971500000003</v>
      </c>
      <c r="FT170" s="79">
        <f t="shared" si="171"/>
        <v>0</v>
      </c>
      <c r="FU170" s="79">
        <f t="shared" si="179"/>
        <v>1.829928757723748</v>
      </c>
      <c r="FV170" s="79" t="e">
        <f t="shared" si="179"/>
        <v>#DIV/0!</v>
      </c>
      <c r="FY170" s="79">
        <f t="shared" si="180"/>
        <v>14463.385700000001</v>
      </c>
      <c r="FZ170" s="79">
        <f t="shared" si="181"/>
        <v>0</v>
      </c>
      <c r="GB170" s="178">
        <f t="shared" si="182"/>
        <v>1383.5</v>
      </c>
      <c r="GC170" s="178">
        <f t="shared" si="183"/>
        <v>0</v>
      </c>
      <c r="GG170" s="14">
        <v>8.2320999999999991</v>
      </c>
      <c r="GH170" s="175">
        <f t="shared" si="184"/>
        <v>1.2699311232856745</v>
      </c>
      <c r="GI170" s="14">
        <v>8.2320999999999991</v>
      </c>
      <c r="GJ170" s="175">
        <f t="shared" si="185"/>
        <v>1.2699311232856745</v>
      </c>
      <c r="GK170" s="175">
        <f t="shared" si="150"/>
        <v>0</v>
      </c>
      <c r="GN170" s="14">
        <v>10.4011</v>
      </c>
      <c r="GO170" s="175">
        <f t="shared" si="186"/>
        <v>1.2634807643250205</v>
      </c>
      <c r="GP170" s="179">
        <f t="shared" si="187"/>
        <v>1.0051052292545981</v>
      </c>
      <c r="GQ170" s="14">
        <v>10.4011</v>
      </c>
      <c r="GR170" s="175">
        <f t="shared" si="188"/>
        <v>1.2634807643250205</v>
      </c>
      <c r="GS170" s="175">
        <f t="shared" si="189"/>
        <v>1.0051052292545981</v>
      </c>
      <c r="GV170" s="32">
        <f t="shared" si="190"/>
        <v>14463.385700000001</v>
      </c>
      <c r="GW170" s="32">
        <f t="shared" si="191"/>
        <v>0</v>
      </c>
      <c r="GX170" s="180">
        <f t="shared" si="192"/>
        <v>14463.385700000001</v>
      </c>
      <c r="GZ170" s="32">
        <f t="shared" si="193"/>
        <v>10.4542</v>
      </c>
      <c r="HA170" s="32" t="e">
        <f t="shared" si="194"/>
        <v>#DIV/0!</v>
      </c>
      <c r="HB170" s="32">
        <f t="shared" si="195"/>
        <v>10.4542</v>
      </c>
    </row>
    <row r="171" spans="1:210" ht="19.2" customHeight="1" x14ac:dyDescent="0.3">
      <c r="A171" s="50">
        <v>163</v>
      </c>
      <c r="B171" s="51" t="s">
        <v>407</v>
      </c>
      <c r="C171" s="51"/>
      <c r="D171" s="52">
        <v>2</v>
      </c>
      <c r="E171" s="52">
        <v>3</v>
      </c>
      <c r="F171" s="53">
        <v>16</v>
      </c>
      <c r="G171" s="54" t="s">
        <v>789</v>
      </c>
      <c r="H171" s="181" t="s">
        <v>8</v>
      </c>
      <c r="I171" s="55">
        <f t="shared" si="172"/>
        <v>952.6</v>
      </c>
      <c r="J171" s="55">
        <f t="shared" si="152"/>
        <v>0</v>
      </c>
      <c r="K171" s="55">
        <f t="shared" si="153"/>
        <v>0</v>
      </c>
      <c r="L171" s="56">
        <v>952.6</v>
      </c>
      <c r="M171" s="56">
        <v>952.6</v>
      </c>
      <c r="N171" s="56">
        <f t="shared" si="173"/>
        <v>952.6</v>
      </c>
      <c r="O171" s="56">
        <v>0</v>
      </c>
      <c r="P171" s="56">
        <v>0</v>
      </c>
      <c r="Q171" s="55"/>
      <c r="R171" s="55">
        <v>952.6</v>
      </c>
      <c r="S171" s="55"/>
      <c r="T171" s="55">
        <v>0</v>
      </c>
      <c r="U171" s="152">
        <v>952.6</v>
      </c>
      <c r="V171" s="12">
        <v>0.1527</v>
      </c>
      <c r="W171" s="12">
        <v>9.6500000000000002E-2</v>
      </c>
      <c r="X171" s="12">
        <v>0</v>
      </c>
      <c r="Y171" s="12">
        <v>0</v>
      </c>
      <c r="Z171" s="12">
        <v>0</v>
      </c>
      <c r="AA171" s="12">
        <v>0.57250000000000001</v>
      </c>
      <c r="AB171" s="12">
        <v>0</v>
      </c>
      <c r="AC171" s="12">
        <v>0.61070000000000002</v>
      </c>
      <c r="AD171" s="12">
        <v>0.39839999999999998</v>
      </c>
      <c r="AE171" s="12">
        <v>0</v>
      </c>
      <c r="AF171" s="12">
        <v>1.8055000000000001</v>
      </c>
      <c r="AG171" s="12">
        <v>0.1983</v>
      </c>
      <c r="AH171" s="12">
        <v>0.44269999999999998</v>
      </c>
      <c r="AI171" s="12">
        <v>0</v>
      </c>
      <c r="AJ171" s="12">
        <v>0</v>
      </c>
      <c r="AK171" s="12">
        <v>0</v>
      </c>
      <c r="AL171" s="12">
        <v>0.1409</v>
      </c>
      <c r="AM171" s="12">
        <v>4.3499999999999997E-2</v>
      </c>
      <c r="AN171" s="12">
        <v>0</v>
      </c>
      <c r="AO171" s="12">
        <v>2.5406</v>
      </c>
      <c r="AP171" s="12">
        <v>1.2033</v>
      </c>
      <c r="AQ171" s="12">
        <v>8.14E-2</v>
      </c>
      <c r="AR171" s="12">
        <v>1.2708999999999999</v>
      </c>
      <c r="AS171" s="12">
        <v>0.16450000000000001</v>
      </c>
      <c r="AT171" s="12">
        <v>2.6700000000000002E-2</v>
      </c>
      <c r="AU171" s="12">
        <v>0.58679999999999999</v>
      </c>
      <c r="AV171" s="12">
        <v>0</v>
      </c>
      <c r="AW171" s="188">
        <v>10.335900000000001</v>
      </c>
      <c r="AX171" s="13">
        <v>0.51680000000000004</v>
      </c>
      <c r="AY171" s="189">
        <f t="shared" si="154"/>
        <v>0.51270000000000004</v>
      </c>
      <c r="AZ171" s="189">
        <f t="shared" si="155"/>
        <v>4.0999999999999925E-3</v>
      </c>
      <c r="BA171" s="14">
        <v>10.8527</v>
      </c>
      <c r="BB171" s="190">
        <f>BA171-'[1]Тариф 26 свод без  ПДВ'!AU171</f>
        <v>1.0000000000012221E-3</v>
      </c>
      <c r="BC171" s="12">
        <v>0</v>
      </c>
      <c r="BD171" s="12">
        <v>0</v>
      </c>
      <c r="BE171" s="12">
        <v>0</v>
      </c>
      <c r="BF171" s="191">
        <v>10.335900000000001</v>
      </c>
      <c r="BG171" s="190">
        <v>0.51680000000000004</v>
      </c>
      <c r="BH171" s="190"/>
      <c r="BI171" s="190"/>
      <c r="BJ171" s="14">
        <v>10.8527</v>
      </c>
      <c r="BK171" s="60"/>
      <c r="BL171" s="60">
        <v>4.7343000000000011</v>
      </c>
      <c r="BM171" s="60">
        <v>0.23669999999999999</v>
      </c>
      <c r="BN171" s="14">
        <v>4.971000000000001</v>
      </c>
      <c r="BO171" s="14"/>
      <c r="BP171" s="157"/>
      <c r="BQ171" s="158">
        <f>BJ171-'[1]Тариф 26 свод без  ПДВ'!BG171</f>
        <v>1.0000000000012221E-3</v>
      </c>
      <c r="BR171" s="77">
        <f>'[1]Тариф 26 свод без  ПДВ'!BG171</f>
        <v>10.851699999999999</v>
      </c>
      <c r="BS171" s="159">
        <f t="shared" si="156"/>
        <v>1.0000000000012221E-3</v>
      </c>
      <c r="BU171" s="77">
        <f>'[1]Тариф 26 свод без  ПДВ'!AU171</f>
        <v>10.851699999999999</v>
      </c>
      <c r="BV171" s="159">
        <f t="shared" si="157"/>
        <v>1.0000000000012221E-3</v>
      </c>
      <c r="BX171" s="95">
        <v>4.4691000000000001</v>
      </c>
      <c r="BY171" s="95">
        <v>4.4691000000000001</v>
      </c>
      <c r="BZ171" s="95"/>
      <c r="CA171" s="233">
        <f t="shared" si="158"/>
        <v>2.4283860285068584</v>
      </c>
      <c r="CB171" s="233">
        <f t="shared" si="159"/>
        <v>2.4283860285068584</v>
      </c>
      <c r="CI171" s="160">
        <f>'[1]0 СВОД'!AYY186</f>
        <v>10338.406191482805</v>
      </c>
      <c r="CJ171" s="77">
        <f t="shared" si="160"/>
        <v>124060.87429779366</v>
      </c>
      <c r="CN171" s="77" t="s">
        <v>790</v>
      </c>
      <c r="CU171" s="95"/>
      <c r="CV171" s="95"/>
      <c r="CW171" s="95"/>
      <c r="CX171" s="95"/>
      <c r="CY171" s="95"/>
      <c r="CZ171" s="95"/>
      <c r="DA171" s="95"/>
      <c r="DB171" s="95"/>
      <c r="DC171" s="95"/>
      <c r="DD171" s="95">
        <v>0.1285</v>
      </c>
      <c r="DE171" s="95">
        <v>0.22439999999999999</v>
      </c>
      <c r="DF171" s="95">
        <v>0</v>
      </c>
      <c r="DG171" s="95">
        <v>0</v>
      </c>
      <c r="DH171" s="95">
        <v>0</v>
      </c>
      <c r="DI171" s="95">
        <v>0.27589999999999998</v>
      </c>
      <c r="DJ171" s="95">
        <v>4.8099999999999997E-2</v>
      </c>
      <c r="DK171" s="95">
        <v>0.36180000000000001</v>
      </c>
      <c r="DL171" s="95">
        <v>0</v>
      </c>
      <c r="DM171" s="95">
        <v>0.24299999999999999</v>
      </c>
      <c r="DN171" s="95">
        <v>0</v>
      </c>
      <c r="DO171" s="95">
        <v>1.0448999999999999</v>
      </c>
      <c r="DP171" s="171">
        <f t="shared" si="161"/>
        <v>1.8055000000000001</v>
      </c>
      <c r="DQ171" s="95">
        <v>8.3799999999999999E-2</v>
      </c>
      <c r="DR171" s="95">
        <v>0.307</v>
      </c>
      <c r="DS171" s="95">
        <v>0</v>
      </c>
      <c r="DT171" s="95">
        <v>0</v>
      </c>
      <c r="DU171" s="95">
        <v>0</v>
      </c>
      <c r="DV171" s="95">
        <v>5.6300000000000003E-2</v>
      </c>
      <c r="DW171" s="95">
        <v>1.5599999999999999E-2</v>
      </c>
      <c r="DX171" s="95">
        <v>0</v>
      </c>
      <c r="DY171" s="95">
        <v>1.9782</v>
      </c>
      <c r="DZ171" s="171">
        <f t="shared" si="162"/>
        <v>1.2842988575472651</v>
      </c>
      <c r="EA171" s="95">
        <v>0.57230000000000003</v>
      </c>
      <c r="EB171" s="171">
        <f t="shared" si="163"/>
        <v>2.2448016774419011</v>
      </c>
      <c r="EC171" s="95">
        <v>0.76190000000000002</v>
      </c>
      <c r="ED171" s="171">
        <f t="shared" si="164"/>
        <v>1.6680666754167213</v>
      </c>
      <c r="EE171" s="95">
        <v>0.12620000000000001</v>
      </c>
      <c r="EF171" s="95">
        <v>1.7500000000000002E-2</v>
      </c>
      <c r="EG171" s="95">
        <v>0.1925</v>
      </c>
      <c r="EH171" s="95">
        <v>0</v>
      </c>
      <c r="EI171" s="95">
        <v>0.16089999999999999</v>
      </c>
      <c r="EJ171" s="95">
        <v>6.5987999999999998</v>
      </c>
      <c r="EK171" s="95"/>
      <c r="EL171" s="95"/>
      <c r="EM171" s="95"/>
      <c r="EN171" s="95"/>
      <c r="EO171" s="95"/>
      <c r="ES171" s="57">
        <f t="shared" si="174"/>
        <v>6.5987999999999998</v>
      </c>
      <c r="ET171" s="57">
        <f t="shared" si="175"/>
        <v>0</v>
      </c>
      <c r="EU171" s="31"/>
      <c r="EV171" s="61">
        <f t="shared" si="165"/>
        <v>1.6446475116687884</v>
      </c>
      <c r="EW171" s="62"/>
      <c r="EX171" s="159">
        <f t="shared" si="211"/>
        <v>-1.6254887619047629</v>
      </c>
      <c r="EY171" s="32">
        <f t="shared" si="212"/>
        <v>-1.706763200000001</v>
      </c>
      <c r="EZ171" s="158">
        <f t="shared" si="166"/>
        <v>10.8527</v>
      </c>
      <c r="FA171" s="159">
        <f t="shared" si="167"/>
        <v>10.8527</v>
      </c>
      <c r="FB171" s="158">
        <f t="shared" ref="FB171:FB173" si="215">ES171*1.34</f>
        <v>8.8423920000000003</v>
      </c>
      <c r="FC171" s="158">
        <f t="shared" ref="FC171:FC173" si="216">EZ171-FB171</f>
        <v>2.0103080000000002</v>
      </c>
      <c r="FD171" s="158"/>
      <c r="FE171" s="158"/>
      <c r="FF171" s="158"/>
      <c r="FG171" s="174"/>
      <c r="FH171" s="174">
        <f t="shared" si="176"/>
        <v>10338.282020000001</v>
      </c>
      <c r="FI171" s="174"/>
      <c r="FJ171" s="87">
        <v>1.298</v>
      </c>
      <c r="FK171" s="176">
        <f t="shared" si="177"/>
        <v>1.2670627978958309</v>
      </c>
      <c r="FM171" s="87" t="e">
        <f t="shared" si="178"/>
        <v>#DIV/0!</v>
      </c>
      <c r="FO171" s="88">
        <f t="shared" si="168"/>
        <v>10338.282020000001</v>
      </c>
      <c r="FP171" s="79">
        <f t="shared" si="169"/>
        <v>0</v>
      </c>
      <c r="FS171" s="79">
        <f t="shared" si="170"/>
        <v>6286.0168800000001</v>
      </c>
      <c r="FT171" s="79">
        <f t="shared" si="171"/>
        <v>0</v>
      </c>
      <c r="FU171" s="79">
        <f t="shared" si="179"/>
        <v>1.6446475116687884</v>
      </c>
      <c r="FV171" s="79" t="e">
        <f t="shared" si="179"/>
        <v>#DIV/0!</v>
      </c>
      <c r="FY171" s="79">
        <f t="shared" si="180"/>
        <v>10338.282020000001</v>
      </c>
      <c r="FZ171" s="79">
        <f t="shared" si="181"/>
        <v>0</v>
      </c>
      <c r="GB171" s="178">
        <f t="shared" si="182"/>
        <v>952.6</v>
      </c>
      <c r="GC171" s="178">
        <f t="shared" si="183"/>
        <v>0</v>
      </c>
      <c r="GE171" s="196"/>
      <c r="GF171" s="196"/>
      <c r="GG171" s="14">
        <v>8.5460000000000012</v>
      </c>
      <c r="GH171" s="197">
        <f t="shared" si="184"/>
        <v>1.2699157500585068</v>
      </c>
      <c r="GI171" s="14">
        <v>8.5460000000000012</v>
      </c>
      <c r="GJ171" s="197">
        <f t="shared" si="185"/>
        <v>1.2699157500585068</v>
      </c>
      <c r="GK171" s="197">
        <f t="shared" si="150"/>
        <v>0</v>
      </c>
      <c r="GL171" s="196"/>
      <c r="GM171" s="196"/>
      <c r="GN171" s="14">
        <v>10.810499999999999</v>
      </c>
      <c r="GO171" s="197">
        <f t="shared" si="186"/>
        <v>1.2649777673765501</v>
      </c>
      <c r="GP171" s="198">
        <f t="shared" si="187"/>
        <v>1.0039036122288516</v>
      </c>
      <c r="GQ171" s="14">
        <v>10.810499999999999</v>
      </c>
      <c r="GR171" s="197">
        <f t="shared" si="188"/>
        <v>1.2649777673765501</v>
      </c>
      <c r="GS171" s="197">
        <f t="shared" si="189"/>
        <v>1.0039036122288516</v>
      </c>
      <c r="GT171" s="196"/>
      <c r="GV171" s="32">
        <f t="shared" si="190"/>
        <v>10338.282020000001</v>
      </c>
      <c r="GW171" s="32">
        <f t="shared" si="191"/>
        <v>0</v>
      </c>
      <c r="GX171" s="180">
        <f t="shared" si="192"/>
        <v>10338.282020000001</v>
      </c>
      <c r="GZ171" s="32">
        <f t="shared" si="193"/>
        <v>10.8527</v>
      </c>
      <c r="HA171" s="32" t="e">
        <f t="shared" si="194"/>
        <v>#DIV/0!</v>
      </c>
      <c r="HB171" s="32">
        <f t="shared" si="195"/>
        <v>10.8527</v>
      </c>
    </row>
    <row r="172" spans="1:210" ht="19.2" customHeight="1" x14ac:dyDescent="0.3">
      <c r="A172" s="50">
        <v>164</v>
      </c>
      <c r="B172" s="51" t="s">
        <v>791</v>
      </c>
      <c r="C172" s="51"/>
      <c r="D172" s="52">
        <v>2</v>
      </c>
      <c r="E172" s="52">
        <v>3</v>
      </c>
      <c r="F172" s="63">
        <v>16</v>
      </c>
      <c r="G172" s="54" t="s">
        <v>28</v>
      </c>
      <c r="H172" s="181" t="s">
        <v>8</v>
      </c>
      <c r="I172" s="55">
        <f t="shared" si="172"/>
        <v>947.2</v>
      </c>
      <c r="J172" s="55">
        <f t="shared" si="152"/>
        <v>0</v>
      </c>
      <c r="K172" s="55">
        <f t="shared" si="153"/>
        <v>0</v>
      </c>
      <c r="L172" s="56">
        <v>947.2</v>
      </c>
      <c r="M172" s="56">
        <v>947.2</v>
      </c>
      <c r="N172" s="56">
        <f t="shared" si="173"/>
        <v>947.2</v>
      </c>
      <c r="O172" s="56">
        <v>0</v>
      </c>
      <c r="P172" s="56">
        <v>0</v>
      </c>
      <c r="Q172" s="55"/>
      <c r="R172" s="55">
        <v>947.2</v>
      </c>
      <c r="S172" s="55"/>
      <c r="T172" s="55">
        <v>0</v>
      </c>
      <c r="U172" s="152">
        <v>947.2</v>
      </c>
      <c r="V172" s="12">
        <v>0.1535</v>
      </c>
      <c r="W172" s="12">
        <v>9.7100000000000006E-2</v>
      </c>
      <c r="X172" s="12">
        <v>0.34429999999999999</v>
      </c>
      <c r="Y172" s="12">
        <v>7.1800000000000003E-2</v>
      </c>
      <c r="Z172" s="12">
        <v>0</v>
      </c>
      <c r="AA172" s="12">
        <v>0.57579999999999998</v>
      </c>
      <c r="AB172" s="12">
        <v>0</v>
      </c>
      <c r="AC172" s="12">
        <v>0.63149999999999995</v>
      </c>
      <c r="AD172" s="12">
        <v>0.1336</v>
      </c>
      <c r="AE172" s="12">
        <v>0</v>
      </c>
      <c r="AF172" s="12">
        <v>1.2614000000000001</v>
      </c>
      <c r="AG172" s="12">
        <v>0.19939999999999999</v>
      </c>
      <c r="AH172" s="12">
        <v>0.44529999999999997</v>
      </c>
      <c r="AI172" s="12">
        <v>8.5999999999999993E-2</v>
      </c>
      <c r="AJ172" s="12">
        <v>0.1361</v>
      </c>
      <c r="AK172" s="12">
        <v>0</v>
      </c>
      <c r="AL172" s="12">
        <v>0.14169999999999999</v>
      </c>
      <c r="AM172" s="12">
        <v>4.3700000000000003E-2</v>
      </c>
      <c r="AN172" s="12">
        <v>0</v>
      </c>
      <c r="AO172" s="12">
        <v>3.6667999999999998</v>
      </c>
      <c r="AP172" s="12">
        <v>1.0891999999999999</v>
      </c>
      <c r="AQ172" s="12">
        <v>8.1799999999999998E-2</v>
      </c>
      <c r="AR172" s="12">
        <v>0.91220000000000001</v>
      </c>
      <c r="AS172" s="12">
        <v>0.16550000000000001</v>
      </c>
      <c r="AT172" s="12">
        <v>2.69E-2</v>
      </c>
      <c r="AU172" s="12">
        <v>0.10929999999999999</v>
      </c>
      <c r="AV172" s="12">
        <v>0</v>
      </c>
      <c r="AW172" s="188">
        <v>10.372899999999998</v>
      </c>
      <c r="AX172" s="13">
        <v>0.51859999999999995</v>
      </c>
      <c r="AY172" s="189">
        <f t="shared" si="154"/>
        <v>0.51459999999999995</v>
      </c>
      <c r="AZ172" s="189">
        <f t="shared" si="155"/>
        <v>4.0000000000000036E-3</v>
      </c>
      <c r="BA172" s="14">
        <v>10.891499999999997</v>
      </c>
      <c r="BB172" s="190">
        <f>BA172-'[1]Тариф 26 свод без  ПДВ'!AU172</f>
        <v>2.7999999999970271E-3</v>
      </c>
      <c r="BC172" s="12">
        <v>0</v>
      </c>
      <c r="BD172" s="12">
        <v>0</v>
      </c>
      <c r="BE172" s="12">
        <v>0</v>
      </c>
      <c r="BF172" s="191">
        <v>10.372899999999998</v>
      </c>
      <c r="BG172" s="190">
        <v>0.51859999999999995</v>
      </c>
      <c r="BH172" s="190"/>
      <c r="BI172" s="190"/>
      <c r="BJ172" s="14">
        <v>10.891499999999997</v>
      </c>
      <c r="BK172" s="60"/>
      <c r="BL172" s="60">
        <v>4.5953999999999979</v>
      </c>
      <c r="BM172" s="60">
        <v>0.2298</v>
      </c>
      <c r="BN172" s="14">
        <v>4.8251999999999979</v>
      </c>
      <c r="BO172" s="14"/>
      <c r="BP172" s="157"/>
      <c r="BQ172" s="158">
        <f>BJ172-'[1]Тариф 26 свод без  ПДВ'!BG172</f>
        <v>2.7999999999970271E-3</v>
      </c>
      <c r="BR172" s="77">
        <f>'[1]Тариф 26 свод без  ПДВ'!BG172</f>
        <v>10.8887</v>
      </c>
      <c r="BS172" s="159">
        <f t="shared" si="156"/>
        <v>2.7999999999970271E-3</v>
      </c>
      <c r="BU172" s="77">
        <f>'[1]Тариф 26 свод без  ПДВ'!AU172</f>
        <v>10.8887</v>
      </c>
      <c r="BV172" s="159">
        <f t="shared" si="157"/>
        <v>2.7999999999970271E-3</v>
      </c>
      <c r="BX172" s="95">
        <v>4.7440000000000007</v>
      </c>
      <c r="BY172" s="95">
        <v>4.7440000000000007</v>
      </c>
      <c r="BZ172" s="95"/>
      <c r="CA172" s="207">
        <f t="shared" si="158"/>
        <v>2.2958473861720057</v>
      </c>
      <c r="CB172" s="207">
        <f t="shared" si="159"/>
        <v>2.2958473861720057</v>
      </c>
      <c r="CI172" s="160">
        <f>'[1]0 СВОД'!AYY187</f>
        <v>10316.2378050793</v>
      </c>
      <c r="CJ172" s="77">
        <f t="shared" si="160"/>
        <v>123794.8536609516</v>
      </c>
      <c r="CM172" s="161">
        <v>169</v>
      </c>
      <c r="CN172" s="162" t="s">
        <v>792</v>
      </c>
      <c r="CO172" s="163">
        <v>2</v>
      </c>
      <c r="CP172" s="163">
        <v>3</v>
      </c>
      <c r="CQ172" s="164" t="s">
        <v>28</v>
      </c>
      <c r="CR172" s="165" t="s">
        <v>8</v>
      </c>
      <c r="CS172" s="166">
        <v>943.5</v>
      </c>
      <c r="CT172" s="166">
        <v>0</v>
      </c>
      <c r="CU172" s="167">
        <v>0</v>
      </c>
      <c r="CV172" s="168">
        <v>943.5</v>
      </c>
      <c r="CW172" s="166">
        <v>943.5</v>
      </c>
      <c r="CX172" s="167">
        <v>0</v>
      </c>
      <c r="CY172" s="166">
        <v>0</v>
      </c>
      <c r="CZ172" s="166"/>
      <c r="DA172" s="166">
        <v>943.5</v>
      </c>
      <c r="DB172" s="166"/>
      <c r="DC172" s="166">
        <v>0</v>
      </c>
      <c r="DD172" s="59">
        <v>0.1169</v>
      </c>
      <c r="DE172" s="59">
        <v>0.20480000000000001</v>
      </c>
      <c r="DF172" s="59">
        <v>0.2268</v>
      </c>
      <c r="DG172" s="59">
        <v>4.2299999999999997E-2</v>
      </c>
      <c r="DH172" s="59">
        <v>0</v>
      </c>
      <c r="DI172" s="59">
        <v>0.25019999999999998</v>
      </c>
      <c r="DJ172" s="59">
        <v>4.8099999999999997E-2</v>
      </c>
      <c r="DK172" s="59">
        <v>0.3458</v>
      </c>
      <c r="DL172" s="169">
        <v>0</v>
      </c>
      <c r="DM172" s="59">
        <v>8.1600000000000006E-2</v>
      </c>
      <c r="DN172" s="169">
        <v>0</v>
      </c>
      <c r="DO172" s="170">
        <v>0.71299999999999997</v>
      </c>
      <c r="DP172" s="171">
        <f t="shared" si="161"/>
        <v>1.2614000000000001</v>
      </c>
      <c r="DQ172" s="59">
        <v>7.3800000000000004E-2</v>
      </c>
      <c r="DR172" s="59">
        <v>0.26740000000000003</v>
      </c>
      <c r="DS172" s="59">
        <v>2.23E-2</v>
      </c>
      <c r="DT172" s="59">
        <v>6.4500000000000002E-2</v>
      </c>
      <c r="DU172" s="59">
        <v>0</v>
      </c>
      <c r="DV172" s="59">
        <v>4.9799999999999997E-2</v>
      </c>
      <c r="DW172" s="59">
        <v>1.4E-2</v>
      </c>
      <c r="DX172" s="169">
        <v>0</v>
      </c>
      <c r="DY172" s="170">
        <v>1.7985</v>
      </c>
      <c r="DZ172" s="171">
        <f t="shared" si="162"/>
        <v>2.0388101195440642</v>
      </c>
      <c r="EA172" s="170">
        <v>0.69539999999999991</v>
      </c>
      <c r="EB172" s="171">
        <f t="shared" si="163"/>
        <v>1.6839229220592467</v>
      </c>
      <c r="EC172" s="170">
        <v>0.52110000000000001</v>
      </c>
      <c r="ED172" s="171">
        <f t="shared" si="164"/>
        <v>1.7505277298023412</v>
      </c>
      <c r="EE172" s="59">
        <v>0.12709999999999999</v>
      </c>
      <c r="EF172" s="59">
        <v>1.77E-2</v>
      </c>
      <c r="EG172" s="59">
        <v>0.1938</v>
      </c>
      <c r="EH172" s="59">
        <v>0</v>
      </c>
      <c r="EI172" s="195">
        <v>0.1469</v>
      </c>
      <c r="EJ172" s="172">
        <v>6.0217999999999989</v>
      </c>
      <c r="EK172" s="173"/>
      <c r="EL172" s="169">
        <v>0</v>
      </c>
      <c r="EM172" s="169">
        <v>0</v>
      </c>
      <c r="EN172" s="59"/>
      <c r="EO172" s="172"/>
      <c r="ES172" s="57">
        <f t="shared" si="174"/>
        <v>6.0217999999999989</v>
      </c>
      <c r="ET172" s="57">
        <f t="shared" si="175"/>
        <v>0</v>
      </c>
      <c r="EU172" s="31"/>
      <c r="EV172" s="61">
        <f t="shared" si="165"/>
        <v>1.80867846823209</v>
      </c>
      <c r="EW172" s="61"/>
      <c r="EX172" s="159">
        <f t="shared" si="211"/>
        <v>-2.4240811428571414</v>
      </c>
      <c r="EY172" s="32">
        <f t="shared" si="212"/>
        <v>-2.5452851999999986</v>
      </c>
      <c r="EZ172" s="158">
        <f t="shared" si="166"/>
        <v>10.891499999999997</v>
      </c>
      <c r="FA172" s="159">
        <f t="shared" si="167"/>
        <v>10.891499999999997</v>
      </c>
      <c r="FB172" s="158">
        <f t="shared" si="215"/>
        <v>8.0692119999999985</v>
      </c>
      <c r="FC172" s="158">
        <f t="shared" si="216"/>
        <v>2.8222879999999986</v>
      </c>
      <c r="FD172" s="158"/>
      <c r="FE172" s="158"/>
      <c r="FF172" s="158"/>
      <c r="FG172" s="174"/>
      <c r="FH172" s="174">
        <f t="shared" si="176"/>
        <v>10316.428799999998</v>
      </c>
      <c r="FI172" s="174"/>
      <c r="FJ172" s="87">
        <v>1.5061</v>
      </c>
      <c r="FK172" s="176">
        <f t="shared" si="177"/>
        <v>1.2009019774464444</v>
      </c>
      <c r="FM172" s="87" t="e">
        <f t="shared" si="178"/>
        <v>#DIV/0!</v>
      </c>
      <c r="FO172" s="88">
        <f t="shared" si="168"/>
        <v>10316.428799999998</v>
      </c>
      <c r="FP172" s="79">
        <f t="shared" si="169"/>
        <v>0</v>
      </c>
      <c r="FS172" s="79">
        <f t="shared" si="170"/>
        <v>5703.8489599999994</v>
      </c>
      <c r="FT172" s="79">
        <f t="shared" si="171"/>
        <v>0</v>
      </c>
      <c r="FU172" s="79">
        <f t="shared" si="179"/>
        <v>1.80867846823209</v>
      </c>
      <c r="FV172" s="79" t="e">
        <f t="shared" si="179"/>
        <v>#DIV/0!</v>
      </c>
      <c r="FY172" s="79">
        <f t="shared" si="180"/>
        <v>10316.428799999998</v>
      </c>
      <c r="FZ172" s="79">
        <f t="shared" si="181"/>
        <v>0</v>
      </c>
      <c r="GB172" s="178">
        <f t="shared" si="182"/>
        <v>947.2</v>
      </c>
      <c r="GC172" s="178">
        <f t="shared" si="183"/>
        <v>0</v>
      </c>
      <c r="GE172" s="196"/>
      <c r="GF172" s="196"/>
      <c r="GG172" s="14">
        <v>8.5766000000000009</v>
      </c>
      <c r="GH172" s="197">
        <f t="shared" si="184"/>
        <v>1.2699088216775873</v>
      </c>
      <c r="GI172" s="14">
        <v>8.5766000000000009</v>
      </c>
      <c r="GJ172" s="197">
        <f t="shared" si="185"/>
        <v>1.2699088216775873</v>
      </c>
      <c r="GK172" s="197">
        <f t="shared" si="150"/>
        <v>0</v>
      </c>
      <c r="GL172" s="196"/>
      <c r="GM172" s="196"/>
      <c r="GN172" s="14">
        <v>11.338799999999999</v>
      </c>
      <c r="GO172" s="197">
        <f t="shared" si="186"/>
        <v>1.3220623557120534</v>
      </c>
      <c r="GP172" s="198">
        <f t="shared" si="187"/>
        <v>0.96055138109852878</v>
      </c>
      <c r="GQ172" s="14">
        <v>11.338799999999999</v>
      </c>
      <c r="GR172" s="197">
        <f t="shared" si="188"/>
        <v>1.3220623557120534</v>
      </c>
      <c r="GS172" s="197">
        <f t="shared" si="189"/>
        <v>0.96055138109852878</v>
      </c>
      <c r="GT172" s="196"/>
      <c r="GV172" s="32">
        <f t="shared" si="190"/>
        <v>10316.428799999998</v>
      </c>
      <c r="GW172" s="32">
        <f t="shared" si="191"/>
        <v>0</v>
      </c>
      <c r="GX172" s="180">
        <f t="shared" si="192"/>
        <v>10316.428799999998</v>
      </c>
      <c r="GZ172" s="32">
        <f t="shared" si="193"/>
        <v>10.891499999999997</v>
      </c>
      <c r="HA172" s="32" t="e">
        <f t="shared" si="194"/>
        <v>#DIV/0!</v>
      </c>
      <c r="HB172" s="32">
        <f t="shared" si="195"/>
        <v>10.891499999999997</v>
      </c>
    </row>
    <row r="173" spans="1:210" ht="19.2" customHeight="1" x14ac:dyDescent="0.3">
      <c r="A173" s="50">
        <v>165</v>
      </c>
      <c r="B173" s="51" t="s">
        <v>793</v>
      </c>
      <c r="C173" s="51"/>
      <c r="D173" s="52">
        <v>2</v>
      </c>
      <c r="E173" s="52">
        <v>3</v>
      </c>
      <c r="F173" s="187">
        <v>16</v>
      </c>
      <c r="G173" s="54" t="s">
        <v>29</v>
      </c>
      <c r="H173" s="181" t="s">
        <v>8</v>
      </c>
      <c r="I173" s="55">
        <f t="shared" si="172"/>
        <v>792.2</v>
      </c>
      <c r="J173" s="55">
        <f t="shared" si="152"/>
        <v>0</v>
      </c>
      <c r="K173" s="55">
        <f t="shared" si="153"/>
        <v>0</v>
      </c>
      <c r="L173" s="56">
        <v>792.2</v>
      </c>
      <c r="M173" s="56">
        <v>792.2</v>
      </c>
      <c r="N173" s="56">
        <f t="shared" si="173"/>
        <v>792.2</v>
      </c>
      <c r="O173" s="56">
        <v>0</v>
      </c>
      <c r="P173" s="56">
        <v>0</v>
      </c>
      <c r="Q173" s="55"/>
      <c r="R173" s="55">
        <v>792.2</v>
      </c>
      <c r="S173" s="55"/>
      <c r="T173" s="55">
        <v>0</v>
      </c>
      <c r="U173" s="152">
        <v>792.2</v>
      </c>
      <c r="V173" s="12">
        <v>0.18360000000000001</v>
      </c>
      <c r="W173" s="12">
        <v>0.11609999999999999</v>
      </c>
      <c r="X173" s="12">
        <v>0</v>
      </c>
      <c r="Y173" s="12">
        <v>0</v>
      </c>
      <c r="Z173" s="12">
        <v>0</v>
      </c>
      <c r="AA173" s="12">
        <v>0.68840000000000001</v>
      </c>
      <c r="AB173" s="12">
        <v>0</v>
      </c>
      <c r="AC173" s="12">
        <v>0.61070000000000002</v>
      </c>
      <c r="AD173" s="12">
        <v>0.47910000000000003</v>
      </c>
      <c r="AE173" s="12">
        <v>0</v>
      </c>
      <c r="AF173" s="12">
        <v>1.5162</v>
      </c>
      <c r="AG173" s="12">
        <v>0.20669999999999999</v>
      </c>
      <c r="AH173" s="12">
        <v>0.34449999999999997</v>
      </c>
      <c r="AI173" s="12">
        <v>0</v>
      </c>
      <c r="AJ173" s="12">
        <v>0</v>
      </c>
      <c r="AK173" s="12">
        <v>0</v>
      </c>
      <c r="AL173" s="12">
        <v>0.13320000000000001</v>
      </c>
      <c r="AM173" s="12">
        <v>4.2900000000000001E-2</v>
      </c>
      <c r="AN173" s="12">
        <v>0</v>
      </c>
      <c r="AO173" s="12">
        <v>3.0587</v>
      </c>
      <c r="AP173" s="12">
        <v>1.6586000000000001</v>
      </c>
      <c r="AQ173" s="12">
        <v>0</v>
      </c>
      <c r="AR173" s="12">
        <v>1.0532999999999999</v>
      </c>
      <c r="AS173" s="12">
        <v>0</v>
      </c>
      <c r="AT173" s="12">
        <v>0</v>
      </c>
      <c r="AU173" s="12">
        <v>0.45079999999999998</v>
      </c>
      <c r="AV173" s="12">
        <v>0</v>
      </c>
      <c r="AW173" s="188">
        <v>10.5428</v>
      </c>
      <c r="AX173" s="13">
        <v>0.52710000000000001</v>
      </c>
      <c r="AY173" s="189">
        <f t="shared" si="154"/>
        <v>0.52710000000000001</v>
      </c>
      <c r="AZ173" s="189">
        <f t="shared" si="155"/>
        <v>0</v>
      </c>
      <c r="BA173" s="14">
        <v>11.069900000000001</v>
      </c>
      <c r="BB173" s="190">
        <f>BA173-'[1]Тариф 26 свод без  ПДВ'!AU173</f>
        <v>-8.9999999999967883E-4</v>
      </c>
      <c r="BC173" s="12">
        <v>0</v>
      </c>
      <c r="BD173" s="12">
        <v>0</v>
      </c>
      <c r="BE173" s="12">
        <v>0</v>
      </c>
      <c r="BF173" s="191">
        <v>10.5428</v>
      </c>
      <c r="BG173" s="190">
        <v>0.52710000000000001</v>
      </c>
      <c r="BH173" s="190"/>
      <c r="BI173" s="190"/>
      <c r="BJ173" s="14">
        <v>11.069900000000001</v>
      </c>
      <c r="BK173" s="60"/>
      <c r="BL173" s="60">
        <v>4.3214000000000006</v>
      </c>
      <c r="BM173" s="60">
        <v>0.21609999999999999</v>
      </c>
      <c r="BN173" s="14">
        <v>4.5375000000000005</v>
      </c>
      <c r="BO173" s="14"/>
      <c r="BP173" s="157"/>
      <c r="BQ173" s="158">
        <f>BJ173-'[1]Тариф 26 свод без  ПДВ'!BG173</f>
        <v>-8.9999999999967883E-4</v>
      </c>
      <c r="BR173" s="77">
        <f>'[1]Тариф 26 свод без  ПДВ'!BG173</f>
        <v>11.0708</v>
      </c>
      <c r="BS173" s="159">
        <f t="shared" si="156"/>
        <v>-8.9999999999967883E-4</v>
      </c>
      <c r="BU173" s="77">
        <f>'[1]Тариф 26 свод без  ПДВ'!AU173</f>
        <v>11.0708</v>
      </c>
      <c r="BV173" s="159">
        <f t="shared" si="157"/>
        <v>-8.9999999999967883E-4</v>
      </c>
      <c r="BX173" s="95">
        <v>4.4932999999999996</v>
      </c>
      <c r="BY173" s="95">
        <v>4.4932999999999996</v>
      </c>
      <c r="BZ173" s="95"/>
      <c r="CA173" s="233">
        <f t="shared" si="158"/>
        <v>2.4636458727438635</v>
      </c>
      <c r="CB173" s="233">
        <f t="shared" si="159"/>
        <v>2.4636458727438635</v>
      </c>
      <c r="CI173" s="160">
        <f>'[1]0 СВОД'!AYY188</f>
        <v>8769.645101271577</v>
      </c>
      <c r="CJ173" s="77">
        <f t="shared" si="160"/>
        <v>105235.74121525892</v>
      </c>
      <c r="CM173" s="161">
        <v>170</v>
      </c>
      <c r="CN173" s="183" t="s">
        <v>794</v>
      </c>
      <c r="CO173" s="163">
        <v>2</v>
      </c>
      <c r="CP173" s="163">
        <v>3</v>
      </c>
      <c r="CQ173" s="164" t="s">
        <v>29</v>
      </c>
      <c r="CR173" s="165" t="s">
        <v>8</v>
      </c>
      <c r="CS173" s="166">
        <v>788.8</v>
      </c>
      <c r="CT173" s="166">
        <v>0</v>
      </c>
      <c r="CU173" s="167">
        <v>0</v>
      </c>
      <c r="CV173" s="168">
        <v>788.8</v>
      </c>
      <c r="CW173" s="166">
        <v>788.8</v>
      </c>
      <c r="CX173" s="167">
        <v>0</v>
      </c>
      <c r="CY173" s="166">
        <v>0</v>
      </c>
      <c r="CZ173" s="166"/>
      <c r="DA173" s="166">
        <v>788.8</v>
      </c>
      <c r="DB173" s="166"/>
      <c r="DC173" s="166">
        <v>0</v>
      </c>
      <c r="DD173" s="59">
        <v>0.20219999999999999</v>
      </c>
      <c r="DE173" s="59">
        <v>0.18229999999999999</v>
      </c>
      <c r="DF173" s="59">
        <v>0</v>
      </c>
      <c r="DG173" s="59">
        <v>0</v>
      </c>
      <c r="DH173" s="59">
        <v>0</v>
      </c>
      <c r="DI173" s="59">
        <v>0.25740000000000002</v>
      </c>
      <c r="DJ173" s="59">
        <v>4.8099999999999997E-2</v>
      </c>
      <c r="DK173" s="59">
        <v>0.3337</v>
      </c>
      <c r="DL173" s="169">
        <v>0</v>
      </c>
      <c r="DM173" s="59">
        <v>0.2928</v>
      </c>
      <c r="DN173" s="169">
        <v>0</v>
      </c>
      <c r="DO173" s="184">
        <v>1.2229000000000001</v>
      </c>
      <c r="DP173" s="171">
        <f t="shared" si="161"/>
        <v>1.5162</v>
      </c>
      <c r="DQ173" s="59">
        <v>0.1326</v>
      </c>
      <c r="DR173" s="59">
        <v>0.23810000000000001</v>
      </c>
      <c r="DS173" s="59">
        <v>0</v>
      </c>
      <c r="DT173" s="59">
        <v>0</v>
      </c>
      <c r="DU173" s="59">
        <v>0</v>
      </c>
      <c r="DV173" s="59">
        <v>4.6899999999999997E-2</v>
      </c>
      <c r="DW173" s="59">
        <v>1.37E-2</v>
      </c>
      <c r="DX173" s="169">
        <v>0</v>
      </c>
      <c r="DY173" s="59">
        <v>1.502</v>
      </c>
      <c r="DZ173" s="171">
        <f t="shared" si="162"/>
        <v>2.0364181091877498</v>
      </c>
      <c r="EA173" s="59">
        <v>0.92769999999999997</v>
      </c>
      <c r="EB173" s="171">
        <f t="shared" si="163"/>
        <v>1.7878624555351947</v>
      </c>
      <c r="EC173" s="59">
        <v>0.50819999999999999</v>
      </c>
      <c r="ED173" s="171">
        <f t="shared" si="164"/>
        <v>2.0726092089728452</v>
      </c>
      <c r="EE173" s="169">
        <v>0</v>
      </c>
      <c r="EF173" s="169">
        <v>0</v>
      </c>
      <c r="EG173" s="59">
        <v>0.38800000000000001</v>
      </c>
      <c r="EH173" s="59">
        <v>0</v>
      </c>
      <c r="EI173" s="195">
        <v>0.15740000000000001</v>
      </c>
      <c r="EJ173" s="172">
        <v>6.4539999999999997</v>
      </c>
      <c r="EK173" s="173"/>
      <c r="EL173" s="169">
        <v>0</v>
      </c>
      <c r="EM173" s="169">
        <v>0</v>
      </c>
      <c r="EN173" s="59"/>
      <c r="EO173" s="172"/>
      <c r="ES173" s="57">
        <f t="shared" si="174"/>
        <v>6.4539999999999997</v>
      </c>
      <c r="ET173" s="57">
        <f t="shared" si="175"/>
        <v>0</v>
      </c>
      <c r="EU173" s="31"/>
      <c r="EV173" s="61">
        <f t="shared" si="165"/>
        <v>1.7151998760458631</v>
      </c>
      <c r="EW173" s="62"/>
      <c r="EX173" s="159">
        <f t="shared" si="211"/>
        <v>-2.0234819047619061</v>
      </c>
      <c r="EY173" s="32">
        <f t="shared" si="212"/>
        <v>-2.1246560000000017</v>
      </c>
      <c r="EZ173" s="158">
        <f t="shared" si="166"/>
        <v>11.069900000000001</v>
      </c>
      <c r="FA173" s="159">
        <f t="shared" si="167"/>
        <v>11.069900000000001</v>
      </c>
      <c r="FB173" s="158">
        <f t="shared" si="215"/>
        <v>8.6483600000000003</v>
      </c>
      <c r="FC173" s="158">
        <f t="shared" si="216"/>
        <v>2.4215400000000002</v>
      </c>
      <c r="FD173" s="158"/>
      <c r="FE173" s="158"/>
      <c r="FF173" s="158"/>
      <c r="FG173" s="174"/>
      <c r="FH173" s="174">
        <f t="shared" si="176"/>
        <v>8769.5747800000008</v>
      </c>
      <c r="FI173" s="174"/>
      <c r="FJ173" s="87">
        <v>1.3706073752711498</v>
      </c>
      <c r="FK173" s="176">
        <f t="shared" si="177"/>
        <v>1.2514159101956839</v>
      </c>
      <c r="FM173" s="87" t="e">
        <f t="shared" si="178"/>
        <v>#DIV/0!</v>
      </c>
      <c r="FO173" s="88">
        <f t="shared" si="168"/>
        <v>8769.5747800000008</v>
      </c>
      <c r="FP173" s="79">
        <f t="shared" si="169"/>
        <v>0</v>
      </c>
      <c r="FS173" s="79">
        <f t="shared" si="170"/>
        <v>5112.8588</v>
      </c>
      <c r="FT173" s="79">
        <f t="shared" si="171"/>
        <v>0</v>
      </c>
      <c r="FU173" s="79">
        <f t="shared" si="179"/>
        <v>1.7151998760458631</v>
      </c>
      <c r="FV173" s="79" t="e">
        <f t="shared" si="179"/>
        <v>#DIV/0!</v>
      </c>
      <c r="FY173" s="79">
        <f t="shared" si="180"/>
        <v>8769.5747800000008</v>
      </c>
      <c r="FZ173" s="79">
        <f t="shared" si="181"/>
        <v>0</v>
      </c>
      <c r="GB173" s="178">
        <f t="shared" si="182"/>
        <v>792.2</v>
      </c>
      <c r="GC173" s="178">
        <f t="shared" si="183"/>
        <v>0</v>
      </c>
      <c r="GE173" s="196"/>
      <c r="GF173" s="196"/>
      <c r="GG173" s="14">
        <v>8.7170000000000005</v>
      </c>
      <c r="GH173" s="197">
        <f t="shared" si="184"/>
        <v>1.2699208443271768</v>
      </c>
      <c r="GI173" s="14">
        <v>8.7170000000000005</v>
      </c>
      <c r="GJ173" s="197">
        <f t="shared" si="185"/>
        <v>1.2699208443271768</v>
      </c>
      <c r="GK173" s="197">
        <f t="shared" si="150"/>
        <v>0</v>
      </c>
      <c r="GL173" s="196"/>
      <c r="GM173" s="196"/>
      <c r="GN173" s="14">
        <v>11.196800000000001</v>
      </c>
      <c r="GO173" s="197">
        <f t="shared" si="186"/>
        <v>1.2844786050246646</v>
      </c>
      <c r="GP173" s="198">
        <f t="shared" si="187"/>
        <v>0.98866640468705336</v>
      </c>
      <c r="GQ173" s="14">
        <v>11.196800000000001</v>
      </c>
      <c r="GR173" s="197">
        <f t="shared" si="188"/>
        <v>1.2844786050246646</v>
      </c>
      <c r="GS173" s="197">
        <f t="shared" si="189"/>
        <v>0.98866640468705336</v>
      </c>
      <c r="GT173" s="196"/>
      <c r="GV173" s="32">
        <f t="shared" si="190"/>
        <v>8769.5747800000008</v>
      </c>
      <c r="GW173" s="32">
        <f t="shared" si="191"/>
        <v>0</v>
      </c>
      <c r="GX173" s="180">
        <f t="shared" si="192"/>
        <v>8769.5747800000008</v>
      </c>
      <c r="GZ173" s="32">
        <f t="shared" si="193"/>
        <v>11.069900000000001</v>
      </c>
      <c r="HA173" s="32" t="e">
        <f t="shared" si="194"/>
        <v>#DIV/0!</v>
      </c>
      <c r="HB173" s="32">
        <f t="shared" si="195"/>
        <v>11.069900000000001</v>
      </c>
    </row>
    <row r="174" spans="1:210" ht="19.2" customHeight="1" x14ac:dyDescent="0.3">
      <c r="A174" s="50">
        <v>166</v>
      </c>
      <c r="B174" s="51" t="s">
        <v>795</v>
      </c>
      <c r="C174" s="51"/>
      <c r="D174" s="52">
        <v>5</v>
      </c>
      <c r="E174" s="52">
        <v>6</v>
      </c>
      <c r="F174" s="63">
        <v>90</v>
      </c>
      <c r="G174" s="54" t="s">
        <v>124</v>
      </c>
      <c r="H174" s="181" t="s">
        <v>49</v>
      </c>
      <c r="I174" s="55">
        <f t="shared" si="172"/>
        <v>4607.3</v>
      </c>
      <c r="J174" s="55">
        <f t="shared" si="152"/>
        <v>0</v>
      </c>
      <c r="K174" s="55">
        <f t="shared" si="153"/>
        <v>0</v>
      </c>
      <c r="L174" s="56">
        <v>4607.3</v>
      </c>
      <c r="M174" s="56">
        <v>4607.3</v>
      </c>
      <c r="N174" s="56">
        <f t="shared" si="173"/>
        <v>4607.3</v>
      </c>
      <c r="O174" s="56">
        <v>0</v>
      </c>
      <c r="P174" s="56">
        <v>0</v>
      </c>
      <c r="Q174" s="55"/>
      <c r="R174" s="55">
        <v>4607.3</v>
      </c>
      <c r="S174" s="55"/>
      <c r="T174" s="55">
        <v>0</v>
      </c>
      <c r="U174" s="152">
        <v>4607.3</v>
      </c>
      <c r="V174" s="57">
        <v>0.159</v>
      </c>
      <c r="W174" s="153">
        <v>8.2100000000000006E-2</v>
      </c>
      <c r="X174" s="57">
        <v>0.33360000000000001</v>
      </c>
      <c r="Y174" s="57">
        <v>7.3999999999999996E-2</v>
      </c>
      <c r="Z174" s="153">
        <v>3.9E-2</v>
      </c>
      <c r="AA174" s="57">
        <v>0.57010000000000005</v>
      </c>
      <c r="AB174" s="153">
        <v>0</v>
      </c>
      <c r="AC174" s="57">
        <v>0.63149999999999995</v>
      </c>
      <c r="AD174" s="57">
        <v>0.1545</v>
      </c>
      <c r="AE174" s="57">
        <v>0</v>
      </c>
      <c r="AF174" s="57">
        <v>2.1886999999999999</v>
      </c>
      <c r="AG174" s="57">
        <v>0.21079999999999999</v>
      </c>
      <c r="AH174" s="57">
        <v>0.2969</v>
      </c>
      <c r="AI174" s="153">
        <v>9.1399999999999995E-2</v>
      </c>
      <c r="AJ174" s="153">
        <v>9.2499999999999999E-2</v>
      </c>
      <c r="AK174" s="153">
        <v>7.5899999999999995E-2</v>
      </c>
      <c r="AL174" s="57">
        <v>0.2142</v>
      </c>
      <c r="AM174" s="153">
        <v>3.1699999999999999E-2</v>
      </c>
      <c r="AN174" s="57">
        <v>0</v>
      </c>
      <c r="AO174" s="153">
        <v>2.2553000000000001</v>
      </c>
      <c r="AP174" s="57">
        <v>1.0099</v>
      </c>
      <c r="AQ174" s="57">
        <v>8.9800000000000005E-2</v>
      </c>
      <c r="AR174" s="153">
        <v>0.5696</v>
      </c>
      <c r="AS174" s="57">
        <v>5.67E-2</v>
      </c>
      <c r="AT174" s="57">
        <v>9.1999999999999998E-3</v>
      </c>
      <c r="AU174" s="153">
        <v>0.19769999999999999</v>
      </c>
      <c r="AV174" s="153">
        <v>0</v>
      </c>
      <c r="AW174" s="154">
        <v>9.4340999999999973</v>
      </c>
      <c r="AX174" s="58">
        <v>0.47170000000000001</v>
      </c>
      <c r="AY174" s="155">
        <f t="shared" si="154"/>
        <v>0.4672</v>
      </c>
      <c r="AZ174" s="155">
        <f t="shared" si="155"/>
        <v>4.500000000000004E-3</v>
      </c>
      <c r="BA174" s="14">
        <v>9.9057999999999975</v>
      </c>
      <c r="BB174" s="59">
        <f>BA174-'[1]Тариф 26 свод без  ПДВ'!AU174</f>
        <v>3.7999999999982492E-3</v>
      </c>
      <c r="BC174" s="57">
        <v>0</v>
      </c>
      <c r="BD174" s="57">
        <v>0</v>
      </c>
      <c r="BE174" s="57">
        <v>0</v>
      </c>
      <c r="BF174" s="156">
        <v>9.4340999999999973</v>
      </c>
      <c r="BG174" s="59">
        <v>0.47170000000000001</v>
      </c>
      <c r="BH174" s="59"/>
      <c r="BI174" s="59"/>
      <c r="BJ174" s="14">
        <v>9.9057999999999975</v>
      </c>
      <c r="BK174" s="60"/>
      <c r="BL174" s="60">
        <v>5.4015999999999984</v>
      </c>
      <c r="BM174" s="60">
        <v>0.27010000000000001</v>
      </c>
      <c r="BN174" s="14">
        <v>5.6716999999999986</v>
      </c>
      <c r="BO174" s="14"/>
      <c r="BP174" s="157"/>
      <c r="BQ174" s="158">
        <f>BJ174-'[1]Тариф 26 свод без  ПДВ'!BG174</f>
        <v>3.7999999999982492E-3</v>
      </c>
      <c r="BR174" s="77">
        <f>'[1]Тариф 26 свод без  ПДВ'!BG174</f>
        <v>9.9019999999999992</v>
      </c>
      <c r="BS174" s="159">
        <f t="shared" si="156"/>
        <v>3.7999999999982492E-3</v>
      </c>
      <c r="BU174" s="77">
        <f>'[1]Тариф 26 свод без  ПДВ'!AU174</f>
        <v>9.9019999999999992</v>
      </c>
      <c r="BV174" s="159">
        <f t="shared" si="157"/>
        <v>3.7999999999982492E-3</v>
      </c>
      <c r="BX174" s="95">
        <v>4.8988999999999994</v>
      </c>
      <c r="BY174" s="95">
        <v>4.8988999999999994</v>
      </c>
      <c r="BZ174" s="95"/>
      <c r="CA174" s="207">
        <f t="shared" si="158"/>
        <v>2.0220457653759003</v>
      </c>
      <c r="CB174" s="207">
        <f t="shared" si="159"/>
        <v>2.0220457653759003</v>
      </c>
      <c r="CI174" s="160">
        <f>'[1]0 СВОД'!AYY189</f>
        <v>45639.576393551877</v>
      </c>
      <c r="CJ174" s="77">
        <f t="shared" si="160"/>
        <v>547674.91672262247</v>
      </c>
      <c r="CM174" s="161">
        <v>171</v>
      </c>
      <c r="CN174" s="162" t="s">
        <v>796</v>
      </c>
      <c r="CO174" s="163">
        <v>5</v>
      </c>
      <c r="CP174" s="163">
        <v>6</v>
      </c>
      <c r="CQ174" s="164" t="s">
        <v>124</v>
      </c>
      <c r="CR174" s="165" t="s">
        <v>49</v>
      </c>
      <c r="CS174" s="166">
        <v>4610.8</v>
      </c>
      <c r="CT174" s="166">
        <v>0</v>
      </c>
      <c r="CU174" s="167">
        <v>0</v>
      </c>
      <c r="CV174" s="168">
        <v>4610.8</v>
      </c>
      <c r="CW174" s="166">
        <v>4610.8</v>
      </c>
      <c r="CX174" s="167">
        <v>0</v>
      </c>
      <c r="CY174" s="166">
        <v>0</v>
      </c>
      <c r="CZ174" s="166"/>
      <c r="DA174" s="166">
        <v>4610.8</v>
      </c>
      <c r="DB174" s="166"/>
      <c r="DC174" s="166">
        <v>0</v>
      </c>
      <c r="DD174" s="59">
        <v>0.156</v>
      </c>
      <c r="DE174" s="59">
        <v>0.1449</v>
      </c>
      <c r="DF174" s="59">
        <v>0.21920000000000001</v>
      </c>
      <c r="DG174" s="59">
        <v>4.3499999999999997E-2</v>
      </c>
      <c r="DH174" s="59">
        <v>1.47E-2</v>
      </c>
      <c r="DI174" s="59">
        <v>0.25</v>
      </c>
      <c r="DJ174" s="59">
        <v>4.8099999999999997E-2</v>
      </c>
      <c r="DK174" s="59">
        <v>0.3458</v>
      </c>
      <c r="DL174" s="169">
        <v>0</v>
      </c>
      <c r="DM174" s="59">
        <v>9.3899999999999997E-2</v>
      </c>
      <c r="DN174" s="169">
        <v>0</v>
      </c>
      <c r="DO174" s="170">
        <v>1.3757999999999999</v>
      </c>
      <c r="DP174" s="171">
        <f t="shared" si="161"/>
        <v>2.1886999999999999</v>
      </c>
      <c r="DQ174" s="59">
        <v>0.1014</v>
      </c>
      <c r="DR174" s="59">
        <v>0.18920000000000001</v>
      </c>
      <c r="DS174" s="59">
        <v>2.3900000000000001E-2</v>
      </c>
      <c r="DT174" s="59">
        <v>4.3499999999999997E-2</v>
      </c>
      <c r="DU174" s="59">
        <v>3.2000000000000001E-2</v>
      </c>
      <c r="DV174" s="59">
        <v>7.4700000000000003E-2</v>
      </c>
      <c r="DW174" s="59">
        <v>8.3000000000000001E-3</v>
      </c>
      <c r="DX174" s="169">
        <v>0</v>
      </c>
      <c r="DY174" s="59">
        <v>1.1174999999999999</v>
      </c>
      <c r="DZ174" s="171">
        <f t="shared" si="162"/>
        <v>2.0181655480984344</v>
      </c>
      <c r="EA174" s="59">
        <v>0.61380000000000001</v>
      </c>
      <c r="EB174" s="171">
        <f t="shared" si="163"/>
        <v>1.7916259367872274</v>
      </c>
      <c r="EC174" s="59">
        <v>0.28449999999999998</v>
      </c>
      <c r="ED174" s="171">
        <f t="shared" si="164"/>
        <v>2.0021089630931459</v>
      </c>
      <c r="EE174" s="59">
        <v>4.3299999999999998E-2</v>
      </c>
      <c r="EF174" s="59">
        <v>6.0000000000000001E-3</v>
      </c>
      <c r="EG174" s="59">
        <v>0.19869999999999999</v>
      </c>
      <c r="EH174" s="59">
        <v>0</v>
      </c>
      <c r="EI174" s="208">
        <v>0.13569999999999999</v>
      </c>
      <c r="EJ174" s="172">
        <v>5.5644</v>
      </c>
      <c r="EK174" s="173"/>
      <c r="EL174" s="169">
        <v>0</v>
      </c>
      <c r="EM174" s="169">
        <v>0</v>
      </c>
      <c r="EN174" s="59"/>
      <c r="EO174" s="172"/>
      <c r="ES174" s="57">
        <f t="shared" si="174"/>
        <v>5.5644</v>
      </c>
      <c r="ET174" s="57">
        <f t="shared" si="175"/>
        <v>0</v>
      </c>
      <c r="EU174" s="31"/>
      <c r="EV174" s="61">
        <f t="shared" si="165"/>
        <v>1.7802099058299183</v>
      </c>
      <c r="EW174" s="62"/>
      <c r="EX174" s="158">
        <f t="shared" ref="EX174:EX181" si="217">ES174*1.305-BA174</f>
        <v>-2.644257999999998</v>
      </c>
      <c r="EY174" s="77">
        <f t="shared" ref="EY174:EY181" si="218">ES174*1.344</f>
        <v>7.4785536000000006</v>
      </c>
      <c r="EZ174" s="158">
        <f t="shared" si="166"/>
        <v>9.9057999999999975</v>
      </c>
      <c r="FA174" s="158">
        <f t="shared" si="167"/>
        <v>9.9057999999999975</v>
      </c>
      <c r="FH174" s="174">
        <f t="shared" si="176"/>
        <v>45638.99233999999</v>
      </c>
      <c r="FJ174" s="87">
        <v>1.3470814463374308</v>
      </c>
      <c r="FK174" s="176">
        <f t="shared" si="177"/>
        <v>1.3215310111130378</v>
      </c>
      <c r="FM174" s="87" t="e">
        <f t="shared" si="178"/>
        <v>#DIV/0!</v>
      </c>
      <c r="FO174" s="88">
        <f t="shared" si="168"/>
        <v>45638.99233999999</v>
      </c>
      <c r="FP174" s="79">
        <f t="shared" si="169"/>
        <v>0</v>
      </c>
      <c r="FS174" s="79">
        <f t="shared" si="170"/>
        <v>25636.860120000001</v>
      </c>
      <c r="FT174" s="79">
        <f t="shared" si="171"/>
        <v>0</v>
      </c>
      <c r="FU174" s="79">
        <f t="shared" si="179"/>
        <v>1.7802099058299183</v>
      </c>
      <c r="FV174" s="79" t="e">
        <f t="shared" si="179"/>
        <v>#DIV/0!</v>
      </c>
      <c r="FY174" s="79">
        <f t="shared" si="180"/>
        <v>45638.99233999999</v>
      </c>
      <c r="FZ174" s="79">
        <f t="shared" si="181"/>
        <v>0</v>
      </c>
      <c r="GB174" s="178">
        <f t="shared" si="182"/>
        <v>4607.3</v>
      </c>
      <c r="GC174" s="178">
        <f t="shared" si="183"/>
        <v>0</v>
      </c>
      <c r="GG174" s="14">
        <v>7.800200000000002</v>
      </c>
      <c r="GH174" s="175">
        <f t="shared" si="184"/>
        <v>1.2699417963641952</v>
      </c>
      <c r="GI174" s="14">
        <v>7.800200000000002</v>
      </c>
      <c r="GJ174" s="175">
        <f t="shared" si="185"/>
        <v>1.2699417963641952</v>
      </c>
      <c r="GK174" s="175">
        <f t="shared" si="150"/>
        <v>0</v>
      </c>
      <c r="GN174" s="14">
        <v>10.238799999999998</v>
      </c>
      <c r="GO174" s="175">
        <f t="shared" si="186"/>
        <v>1.3126330094100145</v>
      </c>
      <c r="GP174" s="179">
        <f t="shared" si="187"/>
        <v>0.96747665742079147</v>
      </c>
      <c r="GQ174" s="14">
        <v>10.238799999999998</v>
      </c>
      <c r="GR174" s="175">
        <f t="shared" si="188"/>
        <v>1.3126330094100145</v>
      </c>
      <c r="GS174" s="175">
        <f t="shared" si="189"/>
        <v>0.96747665742079147</v>
      </c>
      <c r="GV174" s="32">
        <f t="shared" si="190"/>
        <v>45638.99233999999</v>
      </c>
      <c r="GW174" s="32">
        <f t="shared" si="191"/>
        <v>0</v>
      </c>
      <c r="GX174" s="180">
        <f t="shared" si="192"/>
        <v>45638.99233999999</v>
      </c>
      <c r="GZ174" s="32">
        <f t="shared" si="193"/>
        <v>9.9057999999999975</v>
      </c>
      <c r="HA174" s="32" t="e">
        <f t="shared" si="194"/>
        <v>#DIV/0!</v>
      </c>
      <c r="HB174" s="32">
        <f t="shared" si="195"/>
        <v>9.9057999999999975</v>
      </c>
    </row>
    <row r="175" spans="1:210" ht="19.2" customHeight="1" x14ac:dyDescent="0.3">
      <c r="A175" s="50">
        <v>167</v>
      </c>
      <c r="B175" s="51" t="s">
        <v>797</v>
      </c>
      <c r="C175" s="51"/>
      <c r="D175" s="52">
        <v>5</v>
      </c>
      <c r="E175" s="52">
        <v>4</v>
      </c>
      <c r="F175" s="63">
        <v>60</v>
      </c>
      <c r="G175" s="54" t="s">
        <v>125</v>
      </c>
      <c r="H175" s="181" t="s">
        <v>49</v>
      </c>
      <c r="I175" s="55">
        <f t="shared" si="172"/>
        <v>2742.1</v>
      </c>
      <c r="J175" s="55">
        <f t="shared" si="152"/>
        <v>0</v>
      </c>
      <c r="K175" s="55">
        <f t="shared" si="153"/>
        <v>0</v>
      </c>
      <c r="L175" s="56">
        <v>2742.1</v>
      </c>
      <c r="M175" s="56">
        <v>2742.1</v>
      </c>
      <c r="N175" s="56">
        <f t="shared" si="173"/>
        <v>2742.1</v>
      </c>
      <c r="O175" s="56">
        <v>0</v>
      </c>
      <c r="P175" s="56">
        <v>0</v>
      </c>
      <c r="Q175" s="55"/>
      <c r="R175" s="55">
        <v>2742.1</v>
      </c>
      <c r="S175" s="55"/>
      <c r="T175" s="55">
        <v>0</v>
      </c>
      <c r="U175" s="152">
        <v>2742.1</v>
      </c>
      <c r="V175" s="57">
        <v>0.16739999999999999</v>
      </c>
      <c r="W175" s="153">
        <v>9.2899999999999996E-2</v>
      </c>
      <c r="X175" s="57">
        <v>0.3246</v>
      </c>
      <c r="Y175" s="57">
        <v>7.3800000000000004E-2</v>
      </c>
      <c r="Z175" s="153">
        <v>2.9100000000000001E-2</v>
      </c>
      <c r="AA175" s="57">
        <v>0.50160000000000005</v>
      </c>
      <c r="AB175" s="153">
        <v>0</v>
      </c>
      <c r="AC175" s="57">
        <v>0.63149999999999995</v>
      </c>
      <c r="AD175" s="57">
        <v>0.17299999999999999</v>
      </c>
      <c r="AE175" s="57">
        <v>0</v>
      </c>
      <c r="AF175" s="57">
        <v>2.0701000000000001</v>
      </c>
      <c r="AG175" s="57">
        <v>0.22189999999999999</v>
      </c>
      <c r="AH175" s="57">
        <v>0.32929999999999998</v>
      </c>
      <c r="AI175" s="153">
        <v>8.7599999999999997E-2</v>
      </c>
      <c r="AJ175" s="153">
        <v>0.1002</v>
      </c>
      <c r="AK175" s="153">
        <v>5.67E-2</v>
      </c>
      <c r="AL175" s="57">
        <v>0.1729</v>
      </c>
      <c r="AM175" s="153">
        <v>3.3700000000000001E-2</v>
      </c>
      <c r="AN175" s="57">
        <v>0</v>
      </c>
      <c r="AO175" s="153">
        <v>2.4535999999999998</v>
      </c>
      <c r="AP175" s="57">
        <v>1.1333</v>
      </c>
      <c r="AQ175" s="57">
        <v>9.2999999999999999E-2</v>
      </c>
      <c r="AR175" s="153">
        <v>0.60719999999999996</v>
      </c>
      <c r="AS175" s="57">
        <v>5.8700000000000002E-2</v>
      </c>
      <c r="AT175" s="57">
        <v>9.4999999999999998E-3</v>
      </c>
      <c r="AU175" s="153">
        <v>0.1699</v>
      </c>
      <c r="AV175" s="153">
        <v>0</v>
      </c>
      <c r="AW175" s="154">
        <v>9.5914999999999999</v>
      </c>
      <c r="AX175" s="58">
        <v>0.47960000000000003</v>
      </c>
      <c r="AY175" s="155">
        <f t="shared" si="154"/>
        <v>0.47489999999999999</v>
      </c>
      <c r="AZ175" s="155">
        <f t="shared" si="155"/>
        <v>4.7000000000000375E-3</v>
      </c>
      <c r="BA175" s="14">
        <v>10.071099999999999</v>
      </c>
      <c r="BB175" s="59">
        <f>BA175-'[1]Тариф 26 свод без  ПДВ'!AU175</f>
        <v>-6.0000000000037801E-4</v>
      </c>
      <c r="BC175" s="57">
        <v>0</v>
      </c>
      <c r="BD175" s="57">
        <v>0</v>
      </c>
      <c r="BE175" s="57">
        <v>0</v>
      </c>
      <c r="BF175" s="156">
        <v>9.5914999999999999</v>
      </c>
      <c r="BG175" s="59">
        <v>0.47960000000000003</v>
      </c>
      <c r="BH175" s="59"/>
      <c r="BI175" s="59"/>
      <c r="BJ175" s="14">
        <v>10.071099999999999</v>
      </c>
      <c r="BK175" s="60"/>
      <c r="BL175" s="60">
        <v>5.2274999999999991</v>
      </c>
      <c r="BM175" s="60">
        <v>0.26140000000000002</v>
      </c>
      <c r="BN175" s="14">
        <v>5.4888999999999992</v>
      </c>
      <c r="BO175" s="14"/>
      <c r="BP175" s="157"/>
      <c r="BQ175" s="158">
        <f>BJ175-'[1]Тариф 26 свод без  ПДВ'!BG175</f>
        <v>-6.0000000000037801E-4</v>
      </c>
      <c r="BR175" s="77">
        <f>'[1]Тариф 26 свод без  ПДВ'!BG175</f>
        <v>10.0717</v>
      </c>
      <c r="BS175" s="159">
        <f t="shared" si="156"/>
        <v>-6.0000000000037801E-4</v>
      </c>
      <c r="BU175" s="77">
        <f>'[1]Тариф 26 свод без  ПДВ'!AU175</f>
        <v>10.0717</v>
      </c>
      <c r="BV175" s="159">
        <f t="shared" si="157"/>
        <v>-6.0000000000037801E-4</v>
      </c>
      <c r="BX175" s="95">
        <v>4.6313000000000004</v>
      </c>
      <c r="BY175" s="95">
        <v>4.6313000000000004</v>
      </c>
      <c r="BZ175" s="95"/>
      <c r="CA175" s="200">
        <f t="shared" si="158"/>
        <v>2.174573014056528</v>
      </c>
      <c r="CB175" s="200">
        <f t="shared" si="159"/>
        <v>2.174573014056528</v>
      </c>
      <c r="CI175" s="160">
        <f>'[1]0 СВОД'!AYY190</f>
        <v>27616.327599529908</v>
      </c>
      <c r="CJ175" s="77">
        <f t="shared" si="160"/>
        <v>331395.93119435891</v>
      </c>
      <c r="CM175" s="161">
        <v>172</v>
      </c>
      <c r="CN175" s="162" t="s">
        <v>798</v>
      </c>
      <c r="CO175" s="163">
        <v>5</v>
      </c>
      <c r="CP175" s="163">
        <v>4</v>
      </c>
      <c r="CQ175" s="164" t="s">
        <v>125</v>
      </c>
      <c r="CR175" s="165" t="s">
        <v>49</v>
      </c>
      <c r="CS175" s="166">
        <v>2736.6</v>
      </c>
      <c r="CT175" s="166">
        <v>0</v>
      </c>
      <c r="CU175" s="167">
        <v>0</v>
      </c>
      <c r="CV175" s="168">
        <v>2736.6</v>
      </c>
      <c r="CW175" s="166">
        <v>2736.6</v>
      </c>
      <c r="CX175" s="167">
        <v>0</v>
      </c>
      <c r="CY175" s="166">
        <v>0</v>
      </c>
      <c r="CZ175" s="166"/>
      <c r="DA175" s="166">
        <v>2736.6</v>
      </c>
      <c r="DB175" s="166"/>
      <c r="DC175" s="166">
        <v>0</v>
      </c>
      <c r="DD175" s="59">
        <v>0.1646</v>
      </c>
      <c r="DE175" s="59">
        <v>0.1512</v>
      </c>
      <c r="DF175" s="59">
        <v>0.21379999999999999</v>
      </c>
      <c r="DG175" s="59">
        <v>4.3499999999999997E-2</v>
      </c>
      <c r="DH175" s="59">
        <v>1.0999999999999999E-2</v>
      </c>
      <c r="DI175" s="59">
        <v>0.21870000000000001</v>
      </c>
      <c r="DJ175" s="59">
        <v>4.8099999999999997E-2</v>
      </c>
      <c r="DK175" s="59">
        <v>0.3458</v>
      </c>
      <c r="DL175" s="169">
        <v>0</v>
      </c>
      <c r="DM175" s="59">
        <v>0.1055</v>
      </c>
      <c r="DN175" s="169">
        <v>0</v>
      </c>
      <c r="DO175" s="170">
        <v>1.1932</v>
      </c>
      <c r="DP175" s="171">
        <f t="shared" si="161"/>
        <v>2.0701000000000001</v>
      </c>
      <c r="DQ175" s="59">
        <v>0.1071</v>
      </c>
      <c r="DR175" s="59">
        <v>0.19739999999999999</v>
      </c>
      <c r="DS175" s="59">
        <v>2.29E-2</v>
      </c>
      <c r="DT175" s="59">
        <v>4.7300000000000002E-2</v>
      </c>
      <c r="DU175" s="59">
        <v>2.4E-2</v>
      </c>
      <c r="DV175" s="59">
        <v>6.0400000000000002E-2</v>
      </c>
      <c r="DW175" s="59">
        <v>9.2999999999999992E-3</v>
      </c>
      <c r="DX175" s="169">
        <v>0</v>
      </c>
      <c r="DY175" s="59">
        <v>1.2626999999999999</v>
      </c>
      <c r="DZ175" s="171">
        <f t="shared" si="162"/>
        <v>1.9431377207571077</v>
      </c>
      <c r="EA175" s="59">
        <v>0.68640000000000001</v>
      </c>
      <c r="EB175" s="171">
        <f t="shared" si="163"/>
        <v>1.7865675990675989</v>
      </c>
      <c r="EC175" s="59">
        <v>0.31330000000000002</v>
      </c>
      <c r="ED175" s="171">
        <f t="shared" si="164"/>
        <v>1.9380785189913818</v>
      </c>
      <c r="EE175" s="59">
        <v>4.4999999999999998E-2</v>
      </c>
      <c r="EF175" s="59">
        <v>6.3E-3</v>
      </c>
      <c r="EG175" s="59">
        <v>0.23910000000000001</v>
      </c>
      <c r="EH175" s="59">
        <v>0</v>
      </c>
      <c r="EI175" s="208">
        <v>0.13789999999999999</v>
      </c>
      <c r="EJ175" s="172">
        <v>5.6544999999999996</v>
      </c>
      <c r="EK175" s="173"/>
      <c r="EL175" s="169">
        <v>0</v>
      </c>
      <c r="EM175" s="169">
        <v>0</v>
      </c>
      <c r="EN175" s="59"/>
      <c r="EO175" s="172"/>
      <c r="ES175" s="57">
        <f t="shared" si="174"/>
        <v>5.6544999999999996</v>
      </c>
      <c r="ET175" s="57">
        <f t="shared" si="175"/>
        <v>0</v>
      </c>
      <c r="EU175" s="31"/>
      <c r="EV175" s="61">
        <f t="shared" si="165"/>
        <v>1.7810770183040057</v>
      </c>
      <c r="EW175" s="62"/>
      <c r="EX175" s="158">
        <f t="shared" si="217"/>
        <v>-2.6919775000000001</v>
      </c>
      <c r="EY175" s="77">
        <f t="shared" si="218"/>
        <v>7.5996480000000002</v>
      </c>
      <c r="EZ175" s="158">
        <f t="shared" si="166"/>
        <v>10.071099999999999</v>
      </c>
      <c r="FA175" s="158">
        <f t="shared" si="167"/>
        <v>10.071099999999999</v>
      </c>
      <c r="FH175" s="174">
        <f t="shared" si="176"/>
        <v>27615.963309999999</v>
      </c>
      <c r="FJ175" s="87">
        <v>1.3802635069413742</v>
      </c>
      <c r="FK175" s="176">
        <f t="shared" si="177"/>
        <v>1.2903891245019026</v>
      </c>
      <c r="FM175" s="87" t="e">
        <f t="shared" si="178"/>
        <v>#DIV/0!</v>
      </c>
      <c r="FO175" s="88">
        <f t="shared" si="168"/>
        <v>27615.963309999999</v>
      </c>
      <c r="FP175" s="79">
        <f t="shared" si="169"/>
        <v>0</v>
      </c>
      <c r="FS175" s="79">
        <f t="shared" si="170"/>
        <v>15505.204449999999</v>
      </c>
      <c r="FT175" s="79">
        <f t="shared" si="171"/>
        <v>0</v>
      </c>
      <c r="FU175" s="79">
        <f t="shared" si="179"/>
        <v>1.7810770183040057</v>
      </c>
      <c r="FV175" s="79" t="e">
        <f t="shared" si="179"/>
        <v>#DIV/0!</v>
      </c>
      <c r="FY175" s="79">
        <f t="shared" si="180"/>
        <v>27615.963309999999</v>
      </c>
      <c r="FZ175" s="79">
        <f t="shared" si="181"/>
        <v>0</v>
      </c>
      <c r="GB175" s="178">
        <f t="shared" si="182"/>
        <v>2742.1</v>
      </c>
      <c r="GC175" s="178">
        <f t="shared" si="183"/>
        <v>0</v>
      </c>
      <c r="GG175" s="14">
        <v>7.9304000000000006</v>
      </c>
      <c r="GH175" s="175">
        <f t="shared" si="184"/>
        <v>1.2699359427015029</v>
      </c>
      <c r="GI175" s="14">
        <v>7.9304000000000006</v>
      </c>
      <c r="GJ175" s="175">
        <f t="shared" si="185"/>
        <v>1.2699359427015029</v>
      </c>
      <c r="GK175" s="175">
        <f t="shared" si="150"/>
        <v>0</v>
      </c>
      <c r="GN175" s="14">
        <v>10.315499999999997</v>
      </c>
      <c r="GO175" s="175">
        <f t="shared" si="186"/>
        <v>1.3007540603248255</v>
      </c>
      <c r="GP175" s="179">
        <f t="shared" si="187"/>
        <v>0.97630749842470099</v>
      </c>
      <c r="GQ175" s="14">
        <v>10.315499999999997</v>
      </c>
      <c r="GR175" s="175">
        <f t="shared" si="188"/>
        <v>1.3007540603248255</v>
      </c>
      <c r="GS175" s="175">
        <f t="shared" si="189"/>
        <v>0.97630749842470099</v>
      </c>
      <c r="GV175" s="32">
        <f t="shared" si="190"/>
        <v>27615.963309999999</v>
      </c>
      <c r="GW175" s="32">
        <f t="shared" si="191"/>
        <v>0</v>
      </c>
      <c r="GX175" s="180">
        <f t="shared" si="192"/>
        <v>27615.963309999999</v>
      </c>
      <c r="GZ175" s="32">
        <f t="shared" si="193"/>
        <v>10.071099999999999</v>
      </c>
      <c r="HA175" s="32" t="e">
        <f t="shared" si="194"/>
        <v>#DIV/0!</v>
      </c>
      <c r="HB175" s="32">
        <f t="shared" si="195"/>
        <v>10.071099999999999</v>
      </c>
    </row>
    <row r="176" spans="1:210" ht="19.2" customHeight="1" x14ac:dyDescent="0.3">
      <c r="A176" s="149">
        <v>168</v>
      </c>
      <c r="B176" s="150" t="s">
        <v>799</v>
      </c>
      <c r="C176" s="150"/>
      <c r="D176" s="63">
        <v>5</v>
      </c>
      <c r="E176" s="63">
        <v>4</v>
      </c>
      <c r="F176" s="63">
        <v>60</v>
      </c>
      <c r="G176" s="54" t="s">
        <v>126</v>
      </c>
      <c r="H176" s="151" t="s">
        <v>49</v>
      </c>
      <c r="I176" s="55">
        <f t="shared" si="172"/>
        <v>2750.9</v>
      </c>
      <c r="J176" s="55">
        <f t="shared" si="152"/>
        <v>0</v>
      </c>
      <c r="K176" s="55">
        <f t="shared" si="153"/>
        <v>0</v>
      </c>
      <c r="L176" s="56">
        <v>2750.9</v>
      </c>
      <c r="M176" s="56">
        <v>2750.9</v>
      </c>
      <c r="N176" s="56">
        <f t="shared" si="173"/>
        <v>2750.9</v>
      </c>
      <c r="O176" s="56">
        <v>0</v>
      </c>
      <c r="P176" s="56">
        <v>0</v>
      </c>
      <c r="Q176" s="55"/>
      <c r="R176" s="55">
        <v>2750.9</v>
      </c>
      <c r="S176" s="55"/>
      <c r="T176" s="55">
        <v>0</v>
      </c>
      <c r="U176" s="152">
        <v>2750.9</v>
      </c>
      <c r="V176" s="57">
        <v>0.16619999999999999</v>
      </c>
      <c r="W176" s="153">
        <v>9.2600000000000002E-2</v>
      </c>
      <c r="X176" s="57">
        <v>0.32519999999999999</v>
      </c>
      <c r="Y176" s="57">
        <v>7.4099999999999999E-2</v>
      </c>
      <c r="Z176" s="153">
        <v>2.9100000000000001E-2</v>
      </c>
      <c r="AA176" s="57">
        <v>0.5</v>
      </c>
      <c r="AB176" s="153">
        <v>0</v>
      </c>
      <c r="AC176" s="57">
        <v>0.63149999999999995</v>
      </c>
      <c r="AD176" s="57">
        <v>0.1696</v>
      </c>
      <c r="AE176" s="57">
        <v>0</v>
      </c>
      <c r="AF176" s="57">
        <v>2.194</v>
      </c>
      <c r="AG176" s="57">
        <v>0.21890000000000001</v>
      </c>
      <c r="AH176" s="57">
        <v>0.32840000000000003</v>
      </c>
      <c r="AI176" s="153">
        <v>8.7800000000000003E-2</v>
      </c>
      <c r="AJ176" s="153">
        <v>0.1022</v>
      </c>
      <c r="AK176" s="153">
        <v>5.6500000000000002E-2</v>
      </c>
      <c r="AL176" s="57">
        <v>0.1724</v>
      </c>
      <c r="AM176" s="153">
        <v>3.3599999999999998E-2</v>
      </c>
      <c r="AN176" s="57">
        <v>0</v>
      </c>
      <c r="AO176" s="153">
        <v>2.0933999999999999</v>
      </c>
      <c r="AP176" s="57">
        <v>1.1993</v>
      </c>
      <c r="AQ176" s="57">
        <v>9.2299999999999993E-2</v>
      </c>
      <c r="AR176" s="153">
        <v>0.61460000000000004</v>
      </c>
      <c r="AS176" s="57">
        <v>5.8299999999999998E-2</v>
      </c>
      <c r="AT176" s="57">
        <v>9.4999999999999998E-3</v>
      </c>
      <c r="AU176" s="153">
        <v>0.25209999999999999</v>
      </c>
      <c r="AV176" s="153">
        <v>0</v>
      </c>
      <c r="AW176" s="154">
        <v>9.5015999999999963</v>
      </c>
      <c r="AX176" s="58">
        <v>0.47510000000000002</v>
      </c>
      <c r="AY176" s="155">
        <f t="shared" si="154"/>
        <v>0.47049999999999997</v>
      </c>
      <c r="AZ176" s="155">
        <f t="shared" si="155"/>
        <v>4.6000000000000485E-3</v>
      </c>
      <c r="BA176" s="14">
        <v>9.9766999999999957</v>
      </c>
      <c r="BB176" s="59">
        <f>BA176-'[1]Тариф 26 свод без  ПДВ'!AU176</f>
        <v>-5.0000000000043343E-3</v>
      </c>
      <c r="BC176" s="57">
        <v>0</v>
      </c>
      <c r="BD176" s="57">
        <v>0</v>
      </c>
      <c r="BE176" s="57">
        <v>0</v>
      </c>
      <c r="BF176" s="156">
        <v>9.5015999999999963</v>
      </c>
      <c r="BG176" s="59">
        <v>0.47510000000000002</v>
      </c>
      <c r="BH176" s="59"/>
      <c r="BI176" s="59"/>
      <c r="BJ176" s="14">
        <v>9.9766999999999957</v>
      </c>
      <c r="BK176" s="60"/>
      <c r="BL176" s="60">
        <v>5.3421999999999965</v>
      </c>
      <c r="BM176" s="60">
        <v>0.2671</v>
      </c>
      <c r="BN176" s="14">
        <v>5.6092999999999966</v>
      </c>
      <c r="BO176" s="14"/>
      <c r="BP176" s="157"/>
      <c r="BQ176" s="158">
        <f>BJ176-'[1]Тариф 26 свод без  ПДВ'!BG176</f>
        <v>-5.0000000000043343E-3</v>
      </c>
      <c r="BR176" s="77">
        <f>'[1]Тариф 26 свод без  ПДВ'!BG176</f>
        <v>9.9817</v>
      </c>
      <c r="BS176" s="159">
        <f t="shared" si="156"/>
        <v>-5.0000000000043343E-3</v>
      </c>
      <c r="BU176" s="77">
        <f>'[1]Тариф 26 свод без  ПДВ'!AU176</f>
        <v>9.9817</v>
      </c>
      <c r="BV176" s="159">
        <f t="shared" si="157"/>
        <v>-5.0000000000043343E-3</v>
      </c>
      <c r="BX176" s="95">
        <v>4.5702999999999996</v>
      </c>
      <c r="BY176" s="95">
        <v>4.5702999999999996</v>
      </c>
      <c r="BZ176" s="95"/>
      <c r="CA176" s="233">
        <f t="shared" si="158"/>
        <v>2.182942038815832</v>
      </c>
      <c r="CB176" s="233">
        <f t="shared" si="159"/>
        <v>2.182942038815832</v>
      </c>
      <c r="CI176" s="160">
        <f>'[1]0 СВОД'!AYY191</f>
        <v>27444.828846474786</v>
      </c>
      <c r="CJ176" s="77">
        <f t="shared" si="160"/>
        <v>329337.94615769741</v>
      </c>
      <c r="CM176" s="161">
        <v>173</v>
      </c>
      <c r="CN176" s="162" t="s">
        <v>800</v>
      </c>
      <c r="CO176" s="163">
        <v>5</v>
      </c>
      <c r="CP176" s="163">
        <v>4</v>
      </c>
      <c r="CQ176" s="164" t="s">
        <v>126</v>
      </c>
      <c r="CR176" s="165" t="s">
        <v>49</v>
      </c>
      <c r="CS176" s="166">
        <v>2749.1</v>
      </c>
      <c r="CT176" s="166">
        <v>0</v>
      </c>
      <c r="CU176" s="167">
        <v>0</v>
      </c>
      <c r="CV176" s="168">
        <v>2749.1</v>
      </c>
      <c r="CW176" s="166">
        <v>2749.1</v>
      </c>
      <c r="CX176" s="167">
        <v>0</v>
      </c>
      <c r="CY176" s="166">
        <v>0</v>
      </c>
      <c r="CZ176" s="166"/>
      <c r="DA176" s="166">
        <v>2749.1</v>
      </c>
      <c r="DB176" s="166"/>
      <c r="DC176" s="166">
        <v>0</v>
      </c>
      <c r="DD176" s="59">
        <v>0.16320000000000001</v>
      </c>
      <c r="DE176" s="59">
        <v>0.15049999999999999</v>
      </c>
      <c r="DF176" s="59">
        <v>0.21390000000000001</v>
      </c>
      <c r="DG176" s="59">
        <v>4.36E-2</v>
      </c>
      <c r="DH176" s="59">
        <v>1.09E-2</v>
      </c>
      <c r="DI176" s="59">
        <v>0.2177</v>
      </c>
      <c r="DJ176" s="59">
        <v>4.8099999999999997E-2</v>
      </c>
      <c r="DK176" s="59">
        <v>0.3458</v>
      </c>
      <c r="DL176" s="169">
        <v>0</v>
      </c>
      <c r="DM176" s="59">
        <v>0.1033</v>
      </c>
      <c r="DN176" s="169">
        <v>0</v>
      </c>
      <c r="DO176" s="170">
        <v>1.2926000000000002</v>
      </c>
      <c r="DP176" s="171">
        <f t="shared" si="161"/>
        <v>2.194</v>
      </c>
      <c r="DQ176" s="59">
        <v>0.10539999999999999</v>
      </c>
      <c r="DR176" s="59">
        <v>0.1966</v>
      </c>
      <c r="DS176" s="59">
        <v>2.29E-2</v>
      </c>
      <c r="DT176" s="59">
        <v>4.8099999999999997E-2</v>
      </c>
      <c r="DU176" s="59">
        <v>2.3800000000000002E-2</v>
      </c>
      <c r="DV176" s="59">
        <v>6.0100000000000001E-2</v>
      </c>
      <c r="DW176" s="59">
        <v>9.1999999999999998E-3</v>
      </c>
      <c r="DX176" s="169">
        <v>0</v>
      </c>
      <c r="DY176" s="59">
        <v>1.0624</v>
      </c>
      <c r="DZ176" s="171">
        <f t="shared" si="162"/>
        <v>1.9704442771084336</v>
      </c>
      <c r="EA176" s="59">
        <v>0.72219999999999995</v>
      </c>
      <c r="EB176" s="171">
        <f t="shared" si="163"/>
        <v>1.7884242592079758</v>
      </c>
      <c r="EC176" s="59">
        <v>0.31840000000000002</v>
      </c>
      <c r="ED176" s="171">
        <f t="shared" si="164"/>
        <v>1.9302763819095476</v>
      </c>
      <c r="EE176" s="59">
        <v>4.4600000000000001E-2</v>
      </c>
      <c r="EF176" s="59">
        <v>6.1999999999999998E-3</v>
      </c>
      <c r="EG176" s="59">
        <v>0.2185</v>
      </c>
      <c r="EH176" s="59">
        <v>0</v>
      </c>
      <c r="EI176" s="208">
        <v>0.13569999999999999</v>
      </c>
      <c r="EJ176" s="172">
        <v>5.563699999999999</v>
      </c>
      <c r="EK176" s="173"/>
      <c r="EL176" s="169">
        <v>0</v>
      </c>
      <c r="EM176" s="169">
        <v>0</v>
      </c>
      <c r="EN176" s="59"/>
      <c r="EO176" s="172"/>
      <c r="ES176" s="57">
        <f t="shared" si="174"/>
        <v>5.563699999999999</v>
      </c>
      <c r="ET176" s="57">
        <f t="shared" si="175"/>
        <v>0</v>
      </c>
      <c r="EU176" s="31"/>
      <c r="EV176" s="61">
        <f t="shared" si="165"/>
        <v>1.7931772022215429</v>
      </c>
      <c r="EW176" s="61"/>
      <c r="EX176" s="158">
        <f t="shared" si="217"/>
        <v>-2.7160714999999973</v>
      </c>
      <c r="EY176" s="32">
        <f t="shared" si="218"/>
        <v>7.4776127999999993</v>
      </c>
      <c r="EZ176" s="158">
        <f t="shared" si="166"/>
        <v>9.9766999999999957</v>
      </c>
      <c r="FA176" s="158">
        <f t="shared" si="167"/>
        <v>9.9766999999999957</v>
      </c>
      <c r="FH176" s="174">
        <f t="shared" si="176"/>
        <v>27444.904029999991</v>
      </c>
      <c r="FJ176" s="87">
        <v>1.3863436202527097</v>
      </c>
      <c r="FK176" s="87">
        <f t="shared" si="177"/>
        <v>1.293457968158481</v>
      </c>
      <c r="FM176" s="87" t="e">
        <f t="shared" si="178"/>
        <v>#DIV/0!</v>
      </c>
      <c r="FO176" s="243">
        <f t="shared" si="168"/>
        <v>27444.904029999991</v>
      </c>
      <c r="FP176" s="79">
        <f t="shared" si="169"/>
        <v>0</v>
      </c>
      <c r="FS176" s="79">
        <f t="shared" si="170"/>
        <v>15305.182329999998</v>
      </c>
      <c r="FT176" s="79">
        <f t="shared" si="171"/>
        <v>0</v>
      </c>
      <c r="FU176" s="79">
        <f t="shared" si="179"/>
        <v>1.7931772022215429</v>
      </c>
      <c r="FV176" s="79" t="e">
        <f t="shared" si="179"/>
        <v>#DIV/0!</v>
      </c>
      <c r="FY176" s="79">
        <f t="shared" si="180"/>
        <v>27444.904029999991</v>
      </c>
      <c r="FZ176" s="79">
        <f t="shared" si="181"/>
        <v>0</v>
      </c>
      <c r="GB176" s="178">
        <f t="shared" si="182"/>
        <v>2750.9</v>
      </c>
      <c r="GC176" s="178">
        <f t="shared" si="183"/>
        <v>0</v>
      </c>
      <c r="GG176" s="14">
        <v>7.8561999999999994</v>
      </c>
      <c r="GH176" s="175">
        <f t="shared" si="184"/>
        <v>1.2699142078867642</v>
      </c>
      <c r="GI176" s="14">
        <v>7.8561999999999994</v>
      </c>
      <c r="GJ176" s="175">
        <f t="shared" si="185"/>
        <v>1.2699142078867642</v>
      </c>
      <c r="GK176" s="175">
        <f t="shared" si="150"/>
        <v>0</v>
      </c>
      <c r="GN176" s="14">
        <v>10.202299999999996</v>
      </c>
      <c r="GO176" s="175">
        <f t="shared" si="186"/>
        <v>1.2986303811002771</v>
      </c>
      <c r="GP176" s="179">
        <f t="shared" si="187"/>
        <v>0.97788733912941195</v>
      </c>
      <c r="GQ176" s="14">
        <v>10.202299999999996</v>
      </c>
      <c r="GR176" s="175">
        <f t="shared" si="188"/>
        <v>1.2986303811002771</v>
      </c>
      <c r="GS176" s="175">
        <f t="shared" si="189"/>
        <v>0.97788733912941195</v>
      </c>
      <c r="GV176" s="32">
        <f t="shared" si="190"/>
        <v>27444.904029999991</v>
      </c>
      <c r="GW176" s="32">
        <f t="shared" si="191"/>
        <v>0</v>
      </c>
      <c r="GX176" s="180">
        <f t="shared" si="192"/>
        <v>27444.904029999991</v>
      </c>
      <c r="GZ176" s="32">
        <f t="shared" si="193"/>
        <v>9.9766999999999957</v>
      </c>
      <c r="HA176" s="32" t="e">
        <f t="shared" si="194"/>
        <v>#DIV/0!</v>
      </c>
      <c r="HB176" s="32">
        <f t="shared" si="195"/>
        <v>9.9766999999999957</v>
      </c>
    </row>
    <row r="177" spans="1:210" ht="19.2" customHeight="1" x14ac:dyDescent="0.3">
      <c r="A177" s="50">
        <v>169</v>
      </c>
      <c r="B177" s="51" t="s">
        <v>801</v>
      </c>
      <c r="C177" s="51"/>
      <c r="D177" s="52">
        <v>5</v>
      </c>
      <c r="E177" s="52">
        <v>6</v>
      </c>
      <c r="F177" s="63">
        <v>90</v>
      </c>
      <c r="G177" s="54" t="s">
        <v>127</v>
      </c>
      <c r="H177" s="181" t="s">
        <v>49</v>
      </c>
      <c r="I177" s="55">
        <f t="shared" si="172"/>
        <v>4498.8</v>
      </c>
      <c r="J177" s="55">
        <f t="shared" si="152"/>
        <v>0</v>
      </c>
      <c r="K177" s="55">
        <f t="shared" si="153"/>
        <v>0</v>
      </c>
      <c r="L177" s="56">
        <v>4498.8</v>
      </c>
      <c r="M177" s="56">
        <v>4498.8</v>
      </c>
      <c r="N177" s="56">
        <f t="shared" si="173"/>
        <v>4498.8</v>
      </c>
      <c r="O177" s="56">
        <v>0</v>
      </c>
      <c r="P177" s="56">
        <v>0</v>
      </c>
      <c r="Q177" s="55"/>
      <c r="R177" s="55">
        <v>4498.8</v>
      </c>
      <c r="S177" s="55"/>
      <c r="T177" s="55">
        <v>0</v>
      </c>
      <c r="U177" s="152">
        <v>4498.8</v>
      </c>
      <c r="V177" s="57">
        <v>0.15079999999999999</v>
      </c>
      <c r="W177" s="153">
        <v>8.4099999999999994E-2</v>
      </c>
      <c r="X177" s="57">
        <v>0.33339999999999997</v>
      </c>
      <c r="Y177" s="57">
        <v>7.4700000000000003E-2</v>
      </c>
      <c r="Z177" s="153">
        <v>0.04</v>
      </c>
      <c r="AA177" s="57">
        <v>0.58230000000000004</v>
      </c>
      <c r="AB177" s="153">
        <v>0</v>
      </c>
      <c r="AC177" s="57">
        <v>0.63149999999999995</v>
      </c>
      <c r="AD177" s="57">
        <v>0.15820000000000001</v>
      </c>
      <c r="AE177" s="57">
        <v>0</v>
      </c>
      <c r="AF177" s="57">
        <v>2.1291000000000002</v>
      </c>
      <c r="AG177" s="57">
        <v>0.20380000000000001</v>
      </c>
      <c r="AH177" s="57">
        <v>0.29809999999999998</v>
      </c>
      <c r="AI177" s="153">
        <v>9.06E-2</v>
      </c>
      <c r="AJ177" s="153">
        <v>0.1008</v>
      </c>
      <c r="AK177" s="153">
        <v>7.7700000000000005E-2</v>
      </c>
      <c r="AL177" s="57">
        <v>0.21940000000000001</v>
      </c>
      <c r="AM177" s="153">
        <v>3.2099999999999997E-2</v>
      </c>
      <c r="AN177" s="57">
        <v>0</v>
      </c>
      <c r="AO177" s="153">
        <v>2.2202999999999999</v>
      </c>
      <c r="AP177" s="57">
        <v>1.0488999999999999</v>
      </c>
      <c r="AQ177" s="57">
        <v>8.14E-2</v>
      </c>
      <c r="AR177" s="153">
        <v>0.61850000000000005</v>
      </c>
      <c r="AS177" s="57">
        <v>5.7200000000000001E-2</v>
      </c>
      <c r="AT177" s="57">
        <v>9.2999999999999992E-3</v>
      </c>
      <c r="AU177" s="153">
        <v>0.1726</v>
      </c>
      <c r="AV177" s="153">
        <v>0</v>
      </c>
      <c r="AW177" s="154">
        <v>9.4148000000000014</v>
      </c>
      <c r="AX177" s="58">
        <v>0.47070000000000001</v>
      </c>
      <c r="AY177" s="155">
        <f t="shared" si="154"/>
        <v>0.4667</v>
      </c>
      <c r="AZ177" s="155">
        <f t="shared" si="155"/>
        <v>4.0000000000000036E-3</v>
      </c>
      <c r="BA177" s="14">
        <v>9.8855000000000022</v>
      </c>
      <c r="BB177" s="59">
        <f>BA177-'[1]Тариф 26 свод без  ПДВ'!AU177</f>
        <v>2.8000000000023562E-3</v>
      </c>
      <c r="BC177" s="57">
        <v>0</v>
      </c>
      <c r="BD177" s="57">
        <v>0</v>
      </c>
      <c r="BE177" s="57">
        <v>0</v>
      </c>
      <c r="BF177" s="156">
        <v>9.4148000000000014</v>
      </c>
      <c r="BG177" s="59">
        <v>0.47070000000000001</v>
      </c>
      <c r="BH177" s="59"/>
      <c r="BI177" s="59"/>
      <c r="BJ177" s="14">
        <v>9.8855000000000022</v>
      </c>
      <c r="BK177" s="60"/>
      <c r="BL177" s="60">
        <v>5.3545000000000034</v>
      </c>
      <c r="BM177" s="60">
        <v>0.26769999999999999</v>
      </c>
      <c r="BN177" s="14">
        <v>5.622200000000003</v>
      </c>
      <c r="BO177" s="14"/>
      <c r="BP177" s="157"/>
      <c r="BQ177" s="158">
        <f>BJ177-'[1]Тариф 26 свод без  ПДВ'!BG177</f>
        <v>2.8000000000023562E-3</v>
      </c>
      <c r="BR177" s="77">
        <f>'[1]Тариф 26 свод без  ПДВ'!BG177</f>
        <v>9.8826999999999998</v>
      </c>
      <c r="BS177" s="159">
        <f t="shared" si="156"/>
        <v>2.8000000000023562E-3</v>
      </c>
      <c r="BU177" s="77">
        <f>'[1]Тариф 26 свод без  ПДВ'!AU177</f>
        <v>9.8826999999999998</v>
      </c>
      <c r="BV177" s="159">
        <f t="shared" si="157"/>
        <v>2.8000000000023562E-3</v>
      </c>
      <c r="BX177" s="95">
        <v>4.8174000000000001</v>
      </c>
      <c r="BY177" s="95">
        <v>4.8174000000000001</v>
      </c>
      <c r="BZ177" s="95"/>
      <c r="CA177" s="200">
        <f t="shared" si="158"/>
        <v>2.0520405197824556</v>
      </c>
      <c r="CB177" s="200">
        <f t="shared" si="159"/>
        <v>2.0520405197824556</v>
      </c>
      <c r="CI177" s="160">
        <f>'[1]0 СВОД'!AYY192</f>
        <v>44473.233609643583</v>
      </c>
      <c r="CJ177" s="77">
        <f t="shared" si="160"/>
        <v>533678.80331572297</v>
      </c>
      <c r="CM177" s="161">
        <v>174</v>
      </c>
      <c r="CN177" s="162" t="s">
        <v>802</v>
      </c>
      <c r="CO177" s="163">
        <v>5</v>
      </c>
      <c r="CP177" s="163">
        <v>6</v>
      </c>
      <c r="CQ177" s="164" t="s">
        <v>127</v>
      </c>
      <c r="CR177" s="165" t="s">
        <v>49</v>
      </c>
      <c r="CS177" s="166">
        <v>4498.1000000000004</v>
      </c>
      <c r="CT177" s="166">
        <v>0</v>
      </c>
      <c r="CU177" s="167">
        <v>0</v>
      </c>
      <c r="CV177" s="168">
        <v>4498.1000000000004</v>
      </c>
      <c r="CW177" s="166">
        <v>4498.1000000000004</v>
      </c>
      <c r="CX177" s="167">
        <v>0</v>
      </c>
      <c r="CY177" s="166">
        <v>0</v>
      </c>
      <c r="CZ177" s="166"/>
      <c r="DA177" s="166">
        <v>4498.1000000000004</v>
      </c>
      <c r="DB177" s="166"/>
      <c r="DC177" s="166">
        <v>0</v>
      </c>
      <c r="DD177" s="59">
        <v>0.14810000000000001</v>
      </c>
      <c r="DE177" s="59">
        <v>0.1366</v>
      </c>
      <c r="DF177" s="59">
        <v>0.21920000000000001</v>
      </c>
      <c r="DG177" s="59">
        <v>4.3900000000000002E-2</v>
      </c>
      <c r="DH177" s="59">
        <v>1.4999999999999999E-2</v>
      </c>
      <c r="DI177" s="59">
        <v>0.25629999999999997</v>
      </c>
      <c r="DJ177" s="59">
        <v>4.8099999999999997E-2</v>
      </c>
      <c r="DK177" s="59">
        <v>0.3458</v>
      </c>
      <c r="DL177" s="169">
        <v>0</v>
      </c>
      <c r="DM177" s="59">
        <v>9.6299999999999997E-2</v>
      </c>
      <c r="DN177" s="169">
        <v>0</v>
      </c>
      <c r="DO177" s="170">
        <v>1.3498000000000001</v>
      </c>
      <c r="DP177" s="171">
        <f t="shared" si="161"/>
        <v>2.1291000000000002</v>
      </c>
      <c r="DQ177" s="59">
        <v>9.5699999999999993E-2</v>
      </c>
      <c r="DR177" s="59">
        <v>0.1784</v>
      </c>
      <c r="DS177" s="59">
        <v>2.3699999999999999E-2</v>
      </c>
      <c r="DT177" s="59">
        <v>4.7500000000000001E-2</v>
      </c>
      <c r="DU177" s="59">
        <v>3.2800000000000003E-2</v>
      </c>
      <c r="DV177" s="59">
        <v>7.6600000000000001E-2</v>
      </c>
      <c r="DW177" s="59">
        <v>8.5000000000000006E-3</v>
      </c>
      <c r="DX177" s="169">
        <v>0</v>
      </c>
      <c r="DY177" s="59">
        <v>1.1156999999999999</v>
      </c>
      <c r="DZ177" s="171">
        <f t="shared" si="162"/>
        <v>1.9900510890024201</v>
      </c>
      <c r="EA177" s="59">
        <v>0.63539999999999996</v>
      </c>
      <c r="EB177" s="171">
        <f t="shared" si="163"/>
        <v>1.7788794460182562</v>
      </c>
      <c r="EC177" s="59">
        <v>0.3211</v>
      </c>
      <c r="ED177" s="171">
        <f t="shared" si="164"/>
        <v>1.9261912176891935</v>
      </c>
      <c r="EE177" s="59">
        <v>4.3799999999999999E-2</v>
      </c>
      <c r="EF177" s="59">
        <v>6.1000000000000004E-3</v>
      </c>
      <c r="EG177" s="59">
        <v>8.8999999999999996E-2</v>
      </c>
      <c r="EH177" s="59">
        <v>0</v>
      </c>
      <c r="EI177" s="208">
        <v>0.1333</v>
      </c>
      <c r="EJ177" s="172">
        <v>5.4667000000000003</v>
      </c>
      <c r="EK177" s="173"/>
      <c r="EL177" s="169">
        <v>0</v>
      </c>
      <c r="EM177" s="169">
        <v>0</v>
      </c>
      <c r="EN177" s="59"/>
      <c r="EO177" s="172"/>
      <c r="ES177" s="57">
        <f t="shared" si="174"/>
        <v>5.4667000000000003</v>
      </c>
      <c r="ET177" s="57">
        <f t="shared" si="175"/>
        <v>0</v>
      </c>
      <c r="EU177" s="31"/>
      <c r="EV177" s="61">
        <f t="shared" si="165"/>
        <v>1.808312144438144</v>
      </c>
      <c r="EW177" s="62"/>
      <c r="EX177" s="158">
        <f t="shared" si="217"/>
        <v>-2.7514565000000024</v>
      </c>
      <c r="EY177" s="77">
        <f t="shared" si="218"/>
        <v>7.3472448000000012</v>
      </c>
      <c r="EZ177" s="158">
        <f t="shared" si="166"/>
        <v>9.8855000000000022</v>
      </c>
      <c r="FA177" s="158">
        <f t="shared" si="167"/>
        <v>9.8855000000000022</v>
      </c>
      <c r="FH177" s="174">
        <f t="shared" si="176"/>
        <v>44472.887400000014</v>
      </c>
      <c r="FJ177" s="87">
        <v>1.3675343443027785</v>
      </c>
      <c r="FK177" s="176">
        <f t="shared" si="177"/>
        <v>1.3223157078077559</v>
      </c>
      <c r="FM177" s="87" t="e">
        <f t="shared" si="178"/>
        <v>#DIV/0!</v>
      </c>
      <c r="FO177" s="88">
        <f t="shared" si="168"/>
        <v>44472.887400000014</v>
      </c>
      <c r="FP177" s="79">
        <f t="shared" si="169"/>
        <v>0</v>
      </c>
      <c r="FS177" s="79">
        <f t="shared" si="170"/>
        <v>24593.589960000001</v>
      </c>
      <c r="FT177" s="79">
        <f t="shared" si="171"/>
        <v>0</v>
      </c>
      <c r="FU177" s="79">
        <f t="shared" si="179"/>
        <v>1.8083121444381443</v>
      </c>
      <c r="FV177" s="79" t="e">
        <f t="shared" si="179"/>
        <v>#DIV/0!</v>
      </c>
      <c r="FY177" s="79">
        <f t="shared" si="180"/>
        <v>44472.887400000014</v>
      </c>
      <c r="FZ177" s="79">
        <f t="shared" si="181"/>
        <v>0</v>
      </c>
      <c r="GB177" s="178">
        <f t="shared" si="182"/>
        <v>4498.8</v>
      </c>
      <c r="GC177" s="178">
        <f t="shared" si="183"/>
        <v>0</v>
      </c>
      <c r="GG177" s="14">
        <v>7.7843</v>
      </c>
      <c r="GH177" s="175">
        <f t="shared" si="184"/>
        <v>1.2699279318628525</v>
      </c>
      <c r="GI177" s="14">
        <v>7.7843</v>
      </c>
      <c r="GJ177" s="175">
        <f t="shared" si="185"/>
        <v>1.2699279318628525</v>
      </c>
      <c r="GK177" s="175">
        <f t="shared" si="150"/>
        <v>0</v>
      </c>
      <c r="GN177" s="14">
        <v>10.314199999999998</v>
      </c>
      <c r="GO177" s="175">
        <f t="shared" si="186"/>
        <v>1.3250003211592563</v>
      </c>
      <c r="GP177" s="179">
        <f t="shared" si="187"/>
        <v>0.95843594268096455</v>
      </c>
      <c r="GQ177" s="14">
        <v>10.314199999999998</v>
      </c>
      <c r="GR177" s="175">
        <f t="shared" si="188"/>
        <v>1.3250003211592563</v>
      </c>
      <c r="GS177" s="175">
        <f t="shared" si="189"/>
        <v>0.95843594268096455</v>
      </c>
      <c r="GV177" s="32">
        <f t="shared" si="190"/>
        <v>44472.887400000014</v>
      </c>
      <c r="GW177" s="32">
        <f t="shared" si="191"/>
        <v>0</v>
      </c>
      <c r="GX177" s="180">
        <f t="shared" si="192"/>
        <v>44472.887400000014</v>
      </c>
      <c r="GZ177" s="32">
        <f t="shared" si="193"/>
        <v>9.8855000000000022</v>
      </c>
      <c r="HA177" s="32" t="e">
        <f t="shared" si="194"/>
        <v>#DIV/0!</v>
      </c>
      <c r="HB177" s="32">
        <f t="shared" si="195"/>
        <v>9.8855000000000022</v>
      </c>
    </row>
    <row r="178" spans="1:210" ht="19.2" customHeight="1" x14ac:dyDescent="0.3">
      <c r="A178" s="50">
        <v>170</v>
      </c>
      <c r="B178" s="51" t="s">
        <v>803</v>
      </c>
      <c r="C178" s="51"/>
      <c r="D178" s="52">
        <v>5</v>
      </c>
      <c r="E178" s="52">
        <v>4</v>
      </c>
      <c r="F178" s="63">
        <v>60</v>
      </c>
      <c r="G178" s="54" t="s">
        <v>128</v>
      </c>
      <c r="H178" s="181" t="s">
        <v>49</v>
      </c>
      <c r="I178" s="55">
        <f t="shared" si="172"/>
        <v>2772.7</v>
      </c>
      <c r="J178" s="55">
        <f t="shared" si="152"/>
        <v>0</v>
      </c>
      <c r="K178" s="55">
        <f t="shared" si="153"/>
        <v>0</v>
      </c>
      <c r="L178" s="56">
        <v>2772.7</v>
      </c>
      <c r="M178" s="56">
        <v>2772.7</v>
      </c>
      <c r="N178" s="56">
        <f t="shared" si="173"/>
        <v>2772.7</v>
      </c>
      <c r="O178" s="56">
        <v>0</v>
      </c>
      <c r="P178" s="56">
        <v>0</v>
      </c>
      <c r="Q178" s="55"/>
      <c r="R178" s="55">
        <v>2772.7</v>
      </c>
      <c r="S178" s="55"/>
      <c r="T178" s="55">
        <v>0</v>
      </c>
      <c r="U178" s="152">
        <v>2772.7</v>
      </c>
      <c r="V178" s="57">
        <v>0.16569999999999999</v>
      </c>
      <c r="W178" s="153">
        <v>9.1899999999999996E-2</v>
      </c>
      <c r="X178" s="57">
        <v>0.32569999999999999</v>
      </c>
      <c r="Y178" s="57">
        <v>7.4700000000000003E-2</v>
      </c>
      <c r="Z178" s="153">
        <v>2.8799999999999999E-2</v>
      </c>
      <c r="AA178" s="57">
        <v>0.49609999999999999</v>
      </c>
      <c r="AB178" s="153">
        <v>0</v>
      </c>
      <c r="AC178" s="57">
        <v>0.63149999999999995</v>
      </c>
      <c r="AD178" s="57">
        <v>0.1711</v>
      </c>
      <c r="AE178" s="57">
        <v>0</v>
      </c>
      <c r="AF178" s="57">
        <v>1.7269000000000001</v>
      </c>
      <c r="AG178" s="57">
        <v>0.21970000000000001</v>
      </c>
      <c r="AH178" s="57">
        <v>0.32579999999999998</v>
      </c>
      <c r="AI178" s="153">
        <v>8.7999999999999995E-2</v>
      </c>
      <c r="AJ178" s="153">
        <v>0.1061</v>
      </c>
      <c r="AK178" s="153">
        <v>5.6099999999999997E-2</v>
      </c>
      <c r="AL178" s="57">
        <v>0.17100000000000001</v>
      </c>
      <c r="AM178" s="153">
        <v>3.3500000000000002E-2</v>
      </c>
      <c r="AN178" s="57">
        <v>0</v>
      </c>
      <c r="AO178" s="153">
        <v>2.9397000000000002</v>
      </c>
      <c r="AP178" s="57">
        <v>1.1155999999999999</v>
      </c>
      <c r="AQ178" s="57">
        <v>9.3100000000000002E-2</v>
      </c>
      <c r="AR178" s="153">
        <v>0.61499999999999999</v>
      </c>
      <c r="AS178" s="57">
        <v>5.7799999999999997E-2</v>
      </c>
      <c r="AT178" s="57">
        <v>9.4000000000000004E-3</v>
      </c>
      <c r="AU178" s="153">
        <v>0.4032</v>
      </c>
      <c r="AV178" s="153">
        <v>0</v>
      </c>
      <c r="AW178" s="154">
        <v>9.9464000000000006</v>
      </c>
      <c r="AX178" s="58">
        <v>0.49730000000000002</v>
      </c>
      <c r="AY178" s="155">
        <f t="shared" si="154"/>
        <v>0.49270000000000003</v>
      </c>
      <c r="AZ178" s="155">
        <f t="shared" si="155"/>
        <v>4.599999999999993E-3</v>
      </c>
      <c r="BA178" s="14">
        <v>10.4437</v>
      </c>
      <c r="BB178" s="59">
        <f>BA178-'[1]Тариф 26 свод без  ПДВ'!AU178</f>
        <v>5.3000000000000824E-3</v>
      </c>
      <c r="BC178" s="57">
        <v>0</v>
      </c>
      <c r="BD178" s="57">
        <v>0</v>
      </c>
      <c r="BE178" s="57">
        <v>0</v>
      </c>
      <c r="BF178" s="156">
        <v>9.9464000000000006</v>
      </c>
      <c r="BG178" s="59">
        <v>0.49730000000000002</v>
      </c>
      <c r="BH178" s="59"/>
      <c r="BI178" s="59"/>
      <c r="BJ178" s="14">
        <v>10.4437</v>
      </c>
      <c r="BK178" s="60"/>
      <c r="BL178" s="60">
        <v>4.8729000000000005</v>
      </c>
      <c r="BM178" s="60">
        <v>0.24360000000000001</v>
      </c>
      <c r="BN178" s="14">
        <v>5.1165000000000003</v>
      </c>
      <c r="BO178" s="14"/>
      <c r="BP178" s="157"/>
      <c r="BQ178" s="158">
        <f>BJ178-'[1]Тариф 26 свод без  ПДВ'!BG178</f>
        <v>5.3000000000000824E-3</v>
      </c>
      <c r="BR178" s="77">
        <f>'[1]Тариф 26 свод без  ПДВ'!BG178</f>
        <v>10.4384</v>
      </c>
      <c r="BS178" s="159">
        <f t="shared" si="156"/>
        <v>5.3000000000000824E-3</v>
      </c>
      <c r="BU178" s="77">
        <f>'[1]Тариф 26 свод без  ПДВ'!AU178</f>
        <v>10.4384</v>
      </c>
      <c r="BV178" s="159">
        <f t="shared" si="157"/>
        <v>5.3000000000000824E-3</v>
      </c>
      <c r="BX178" s="95">
        <v>5.1631999999999998</v>
      </c>
      <c r="BY178" s="95">
        <v>5.1631999999999998</v>
      </c>
      <c r="BZ178" s="95"/>
      <c r="CA178" s="207">
        <f t="shared" si="158"/>
        <v>2.0227184691664086</v>
      </c>
      <c r="CB178" s="207">
        <f t="shared" si="159"/>
        <v>2.0227184691664086</v>
      </c>
      <c r="CI178" s="160">
        <f>'[1]0 СВОД'!AYY193</f>
        <v>28957.073900756943</v>
      </c>
      <c r="CJ178" s="77">
        <f t="shared" si="160"/>
        <v>347484.88680908328</v>
      </c>
      <c r="CM178" s="161">
        <v>175</v>
      </c>
      <c r="CN178" s="162" t="s">
        <v>804</v>
      </c>
      <c r="CO178" s="163">
        <v>5</v>
      </c>
      <c r="CP178" s="163">
        <v>4</v>
      </c>
      <c r="CQ178" s="164" t="s">
        <v>128</v>
      </c>
      <c r="CR178" s="165" t="s">
        <v>49</v>
      </c>
      <c r="CS178" s="166">
        <v>2774.1</v>
      </c>
      <c r="CT178" s="166">
        <v>0</v>
      </c>
      <c r="CU178" s="167">
        <v>0</v>
      </c>
      <c r="CV178" s="168">
        <v>2774.1</v>
      </c>
      <c r="CW178" s="166">
        <v>2774.1</v>
      </c>
      <c r="CX178" s="167">
        <v>0</v>
      </c>
      <c r="CY178" s="166">
        <v>0</v>
      </c>
      <c r="CZ178" s="166"/>
      <c r="DA178" s="166">
        <v>2774.1</v>
      </c>
      <c r="DB178" s="166"/>
      <c r="DC178" s="166">
        <v>0</v>
      </c>
      <c r="DD178" s="59">
        <v>0.16250000000000001</v>
      </c>
      <c r="DE178" s="59">
        <v>0.1492</v>
      </c>
      <c r="DF178" s="59">
        <v>0.214</v>
      </c>
      <c r="DG178" s="59">
        <v>4.3900000000000002E-2</v>
      </c>
      <c r="DH178" s="59">
        <v>1.0800000000000001E-2</v>
      </c>
      <c r="DI178" s="59">
        <v>0.2157</v>
      </c>
      <c r="DJ178" s="59">
        <v>4.8099999999999997E-2</v>
      </c>
      <c r="DK178" s="59">
        <v>0.3458</v>
      </c>
      <c r="DL178" s="169">
        <v>0</v>
      </c>
      <c r="DM178" s="59">
        <v>0.1041</v>
      </c>
      <c r="DN178" s="169">
        <v>0</v>
      </c>
      <c r="DO178" s="170">
        <v>1.1331</v>
      </c>
      <c r="DP178" s="171">
        <f t="shared" si="161"/>
        <v>1.7269000000000001</v>
      </c>
      <c r="DQ178" s="59">
        <v>0.1057</v>
      </c>
      <c r="DR178" s="59">
        <v>0.1948</v>
      </c>
      <c r="DS178" s="59">
        <v>2.29E-2</v>
      </c>
      <c r="DT178" s="59">
        <v>4.99E-2</v>
      </c>
      <c r="DU178" s="59">
        <v>2.3599999999999999E-2</v>
      </c>
      <c r="DV178" s="59">
        <v>5.9499999999999997E-2</v>
      </c>
      <c r="DW178" s="59">
        <v>9.1000000000000004E-3</v>
      </c>
      <c r="DX178" s="169">
        <v>0</v>
      </c>
      <c r="DY178" s="59">
        <v>1.4547000000000001</v>
      </c>
      <c r="DZ178" s="171">
        <f t="shared" si="162"/>
        <v>2.0208290369148276</v>
      </c>
      <c r="EA178" s="59">
        <v>0.67479999999999996</v>
      </c>
      <c r="EB178" s="171">
        <f t="shared" si="163"/>
        <v>1.7911973918197983</v>
      </c>
      <c r="EC178" s="59">
        <v>0.307</v>
      </c>
      <c r="ED178" s="171">
        <f t="shared" si="164"/>
        <v>2.003257328990228</v>
      </c>
      <c r="EE178" s="59">
        <v>4.4200000000000003E-2</v>
      </c>
      <c r="EF178" s="59">
        <v>6.1000000000000004E-3</v>
      </c>
      <c r="EG178" s="59">
        <v>0.2928</v>
      </c>
      <c r="EH178" s="59">
        <v>0</v>
      </c>
      <c r="EI178" s="208">
        <v>0.14180000000000001</v>
      </c>
      <c r="EJ178" s="172">
        <v>5.8141000000000007</v>
      </c>
      <c r="EK178" s="173"/>
      <c r="EL178" s="169">
        <v>0</v>
      </c>
      <c r="EM178" s="169">
        <v>0</v>
      </c>
      <c r="EN178" s="59"/>
      <c r="EO178" s="172"/>
      <c r="ES178" s="57">
        <f t="shared" si="174"/>
        <v>5.8141000000000007</v>
      </c>
      <c r="ET178" s="57">
        <f t="shared" si="175"/>
        <v>0</v>
      </c>
      <c r="EU178" s="31"/>
      <c r="EV178" s="61">
        <f t="shared" si="165"/>
        <v>1.7962711339674238</v>
      </c>
      <c r="EW178" s="62"/>
      <c r="EX178" s="158">
        <f t="shared" si="217"/>
        <v>-2.8562994999999995</v>
      </c>
      <c r="EY178" s="77">
        <f t="shared" si="218"/>
        <v>7.8141504000000017</v>
      </c>
      <c r="EZ178" s="158">
        <f t="shared" si="166"/>
        <v>10.4437</v>
      </c>
      <c r="FA178" s="158">
        <f t="shared" si="167"/>
        <v>10.4437</v>
      </c>
      <c r="FH178" s="174">
        <f t="shared" si="176"/>
        <v>28957.246989999996</v>
      </c>
      <c r="FJ178" s="87">
        <v>1.3990471440119709</v>
      </c>
      <c r="FK178" s="176">
        <f t="shared" si="177"/>
        <v>1.2839246637653363</v>
      </c>
      <c r="FM178" s="87" t="e">
        <f t="shared" si="178"/>
        <v>#DIV/0!</v>
      </c>
      <c r="FO178" s="88">
        <f t="shared" si="168"/>
        <v>28957.246989999996</v>
      </c>
      <c r="FP178" s="79">
        <f t="shared" si="169"/>
        <v>0</v>
      </c>
      <c r="FS178" s="79">
        <f t="shared" si="170"/>
        <v>16120.755070000001</v>
      </c>
      <c r="FT178" s="79">
        <f t="shared" si="171"/>
        <v>0</v>
      </c>
      <c r="FU178" s="79">
        <f t="shared" si="179"/>
        <v>1.7962711339674236</v>
      </c>
      <c r="FV178" s="79" t="e">
        <f t="shared" si="179"/>
        <v>#DIV/0!</v>
      </c>
      <c r="FY178" s="79">
        <f t="shared" si="180"/>
        <v>28957.246989999996</v>
      </c>
      <c r="FZ178" s="79">
        <f t="shared" si="181"/>
        <v>0</v>
      </c>
      <c r="GB178" s="178">
        <f t="shared" si="182"/>
        <v>2772.7</v>
      </c>
      <c r="GC178" s="178">
        <f t="shared" si="183"/>
        <v>0</v>
      </c>
      <c r="GG178" s="14">
        <v>8.224000000000002</v>
      </c>
      <c r="GH178" s="175">
        <f t="shared" si="184"/>
        <v>1.2699051556420231</v>
      </c>
      <c r="GI178" s="14">
        <v>8.224000000000002</v>
      </c>
      <c r="GJ178" s="175">
        <f t="shared" si="185"/>
        <v>1.2699051556420231</v>
      </c>
      <c r="GK178" s="175">
        <f t="shared" si="150"/>
        <v>0</v>
      </c>
      <c r="GN178" s="14">
        <v>10.595000000000002</v>
      </c>
      <c r="GO178" s="175">
        <f t="shared" si="186"/>
        <v>1.2883025291828794</v>
      </c>
      <c r="GP178" s="179">
        <f t="shared" si="187"/>
        <v>0.985719679093912</v>
      </c>
      <c r="GQ178" s="14">
        <v>10.595000000000002</v>
      </c>
      <c r="GR178" s="175">
        <f t="shared" si="188"/>
        <v>1.2883025291828794</v>
      </c>
      <c r="GS178" s="175">
        <f t="shared" si="189"/>
        <v>0.985719679093912</v>
      </c>
      <c r="GV178" s="32">
        <f t="shared" si="190"/>
        <v>28957.246989999996</v>
      </c>
      <c r="GW178" s="32">
        <f t="shared" si="191"/>
        <v>0</v>
      </c>
      <c r="GX178" s="180">
        <f t="shared" si="192"/>
        <v>28957.246989999996</v>
      </c>
      <c r="GZ178" s="32">
        <f t="shared" si="193"/>
        <v>10.4437</v>
      </c>
      <c r="HA178" s="32" t="e">
        <f t="shared" si="194"/>
        <v>#DIV/0!</v>
      </c>
      <c r="HB178" s="32">
        <f t="shared" si="195"/>
        <v>10.4437</v>
      </c>
    </row>
    <row r="179" spans="1:210" ht="19.2" customHeight="1" x14ac:dyDescent="0.3">
      <c r="A179" s="50">
        <v>171</v>
      </c>
      <c r="B179" s="51" t="s">
        <v>805</v>
      </c>
      <c r="C179" s="51"/>
      <c r="D179" s="52">
        <v>5</v>
      </c>
      <c r="E179" s="52">
        <v>4</v>
      </c>
      <c r="F179" s="63">
        <v>60</v>
      </c>
      <c r="G179" s="54" t="s">
        <v>129</v>
      </c>
      <c r="H179" s="181" t="s">
        <v>49</v>
      </c>
      <c r="I179" s="55">
        <f t="shared" si="172"/>
        <v>2930.5</v>
      </c>
      <c r="J179" s="55">
        <f t="shared" si="152"/>
        <v>0</v>
      </c>
      <c r="K179" s="55">
        <f t="shared" si="153"/>
        <v>0</v>
      </c>
      <c r="L179" s="56">
        <v>2930.5</v>
      </c>
      <c r="M179" s="56">
        <v>2930.5</v>
      </c>
      <c r="N179" s="56">
        <f t="shared" si="173"/>
        <v>2930.5</v>
      </c>
      <c r="O179" s="56">
        <v>0</v>
      </c>
      <c r="P179" s="56">
        <v>0</v>
      </c>
      <c r="Q179" s="55"/>
      <c r="R179" s="55">
        <v>2930.5</v>
      </c>
      <c r="S179" s="55"/>
      <c r="T179" s="55">
        <v>0</v>
      </c>
      <c r="U179" s="152">
        <v>2930.5</v>
      </c>
      <c r="V179" s="57">
        <v>0.16489999999999999</v>
      </c>
      <c r="W179" s="153">
        <v>9.4500000000000001E-2</v>
      </c>
      <c r="X179" s="57">
        <v>0.3276</v>
      </c>
      <c r="Y179" s="57">
        <v>7.4300000000000005E-2</v>
      </c>
      <c r="Z179" s="153">
        <v>3.0700000000000002E-2</v>
      </c>
      <c r="AA179" s="57">
        <v>0.46329999999999999</v>
      </c>
      <c r="AB179" s="153">
        <v>0</v>
      </c>
      <c r="AC179" s="57">
        <v>0.63149999999999995</v>
      </c>
      <c r="AD179" s="57">
        <v>0.16189999999999999</v>
      </c>
      <c r="AE179" s="57">
        <v>0</v>
      </c>
      <c r="AF179" s="57">
        <v>2.1120999999999999</v>
      </c>
      <c r="AG179" s="57">
        <v>0.2208</v>
      </c>
      <c r="AH179" s="57">
        <v>0.33510000000000001</v>
      </c>
      <c r="AI179" s="153">
        <v>8.8900000000000007E-2</v>
      </c>
      <c r="AJ179" s="153">
        <v>0.10199999999999999</v>
      </c>
      <c r="AK179" s="153">
        <v>5.9700000000000003E-2</v>
      </c>
      <c r="AL179" s="57">
        <v>0.1618</v>
      </c>
      <c r="AM179" s="153">
        <v>3.2399999999999998E-2</v>
      </c>
      <c r="AN179" s="57">
        <v>0</v>
      </c>
      <c r="AO179" s="153">
        <v>2.1305000000000001</v>
      </c>
      <c r="AP179" s="57">
        <v>1.0723</v>
      </c>
      <c r="AQ179" s="57">
        <v>8.8200000000000001E-2</v>
      </c>
      <c r="AR179" s="153">
        <v>0.58479999999999999</v>
      </c>
      <c r="AS179" s="57">
        <v>5.8400000000000001E-2</v>
      </c>
      <c r="AT179" s="57">
        <v>9.4999999999999998E-3</v>
      </c>
      <c r="AU179" s="153">
        <v>0.27200000000000002</v>
      </c>
      <c r="AV179" s="153">
        <v>0</v>
      </c>
      <c r="AW179" s="154">
        <v>9.2772000000000006</v>
      </c>
      <c r="AX179" s="58">
        <v>0.46389999999999998</v>
      </c>
      <c r="AY179" s="155">
        <f t="shared" si="154"/>
        <v>0.45950000000000002</v>
      </c>
      <c r="AZ179" s="155">
        <f t="shared" si="155"/>
        <v>4.3999999999999595E-3</v>
      </c>
      <c r="BA179" s="14">
        <v>9.7411000000000012</v>
      </c>
      <c r="BB179" s="59">
        <f>BA179-'[1]Тариф 26 свод без  ПДВ'!AU179</f>
        <v>-3.8999999999980162E-3</v>
      </c>
      <c r="BC179" s="57">
        <v>0</v>
      </c>
      <c r="BD179" s="57">
        <v>0</v>
      </c>
      <c r="BE179" s="57">
        <v>0</v>
      </c>
      <c r="BF179" s="156">
        <v>9.2772000000000006</v>
      </c>
      <c r="BG179" s="59">
        <v>0.46389999999999998</v>
      </c>
      <c r="BH179" s="59"/>
      <c r="BI179" s="59"/>
      <c r="BJ179" s="14">
        <v>9.7411000000000012</v>
      </c>
      <c r="BK179" s="60"/>
      <c r="BL179" s="60">
        <v>5.2176000000000009</v>
      </c>
      <c r="BM179" s="60">
        <v>0.26090000000000002</v>
      </c>
      <c r="BN179" s="14">
        <v>5.4785000000000013</v>
      </c>
      <c r="BO179" s="14"/>
      <c r="BP179" s="157"/>
      <c r="BQ179" s="158">
        <f>BJ179-'[1]Тариф 26 свод без  ПДВ'!BG179</f>
        <v>-3.8999999999980162E-3</v>
      </c>
      <c r="BR179" s="77">
        <f>'[1]Тариф 26 свод без  ПДВ'!BG179</f>
        <v>9.7449999999999992</v>
      </c>
      <c r="BS179" s="159">
        <f t="shared" si="156"/>
        <v>-3.8999999999980162E-3</v>
      </c>
      <c r="BU179" s="77">
        <f>'[1]Тариф 26 свод без  ПДВ'!AU179</f>
        <v>9.7449999999999992</v>
      </c>
      <c r="BV179" s="159">
        <f t="shared" si="157"/>
        <v>-3.8999999999980162E-3</v>
      </c>
      <c r="BX179" s="95">
        <v>4.4505999999999997</v>
      </c>
      <c r="BY179" s="95">
        <v>4.4505999999999997</v>
      </c>
      <c r="BZ179" s="95"/>
      <c r="CA179" s="62">
        <f t="shared" si="158"/>
        <v>2.1887161281624952</v>
      </c>
      <c r="CB179" s="62">
        <f t="shared" si="159"/>
        <v>2.1887161281624952</v>
      </c>
      <c r="CI179" s="160">
        <f>'[1]0 СВОД'!AYY194</f>
        <v>28545.935029145174</v>
      </c>
      <c r="CJ179" s="77">
        <f t="shared" si="160"/>
        <v>342551.2203497421</v>
      </c>
      <c r="CM179" s="161">
        <v>176</v>
      </c>
      <c r="CN179" s="162" t="s">
        <v>806</v>
      </c>
      <c r="CO179" s="163">
        <v>5</v>
      </c>
      <c r="CP179" s="163">
        <v>4</v>
      </c>
      <c r="CQ179" s="164" t="s">
        <v>129</v>
      </c>
      <c r="CR179" s="165" t="s">
        <v>49</v>
      </c>
      <c r="CS179" s="166">
        <v>2930.4</v>
      </c>
      <c r="CT179" s="166">
        <v>0</v>
      </c>
      <c r="CU179" s="167">
        <v>0</v>
      </c>
      <c r="CV179" s="168">
        <v>2930.4</v>
      </c>
      <c r="CW179" s="166">
        <v>2930.4</v>
      </c>
      <c r="CX179" s="167">
        <v>0</v>
      </c>
      <c r="CY179" s="166">
        <v>0</v>
      </c>
      <c r="CZ179" s="166"/>
      <c r="DA179" s="166">
        <v>2930.4</v>
      </c>
      <c r="DB179" s="166"/>
      <c r="DC179" s="166">
        <v>0</v>
      </c>
      <c r="DD179" s="59">
        <v>0.16170000000000001</v>
      </c>
      <c r="DE179" s="59">
        <v>0.1535</v>
      </c>
      <c r="DF179" s="59">
        <v>0.21529999999999999</v>
      </c>
      <c r="DG179" s="59">
        <v>4.3700000000000003E-2</v>
      </c>
      <c r="DH179" s="59">
        <v>1.15E-2</v>
      </c>
      <c r="DI179" s="59">
        <v>0.20419999999999999</v>
      </c>
      <c r="DJ179" s="59">
        <v>4.8099999999999997E-2</v>
      </c>
      <c r="DK179" s="59">
        <v>0.3458</v>
      </c>
      <c r="DL179" s="169">
        <v>0</v>
      </c>
      <c r="DM179" s="59">
        <v>9.8500000000000004E-2</v>
      </c>
      <c r="DN179" s="169">
        <v>0</v>
      </c>
      <c r="DO179" s="170">
        <v>1.2478</v>
      </c>
      <c r="DP179" s="171">
        <f t="shared" si="161"/>
        <v>2.1120999999999999</v>
      </c>
      <c r="DQ179" s="59">
        <v>0.10630000000000001</v>
      </c>
      <c r="DR179" s="59">
        <v>0.20050000000000001</v>
      </c>
      <c r="DS179" s="59">
        <v>2.3199999999999998E-2</v>
      </c>
      <c r="DT179" s="59">
        <v>4.8000000000000001E-2</v>
      </c>
      <c r="DU179" s="59">
        <v>2.52E-2</v>
      </c>
      <c r="DV179" s="59">
        <v>5.6399999999999999E-2</v>
      </c>
      <c r="DW179" s="59">
        <v>8.6E-3</v>
      </c>
      <c r="DX179" s="169">
        <v>0</v>
      </c>
      <c r="DY179" s="59">
        <v>1.0883</v>
      </c>
      <c r="DZ179" s="171">
        <f t="shared" si="162"/>
        <v>1.9576403565193421</v>
      </c>
      <c r="EA179" s="59">
        <v>0.64949999999999997</v>
      </c>
      <c r="EB179" s="171">
        <f t="shared" si="163"/>
        <v>1.7867590454195537</v>
      </c>
      <c r="EC179" s="59">
        <v>0.30309999999999998</v>
      </c>
      <c r="ED179" s="171">
        <f t="shared" si="164"/>
        <v>1.9293962388650612</v>
      </c>
      <c r="EE179" s="59">
        <v>4.4699999999999997E-2</v>
      </c>
      <c r="EF179" s="59">
        <v>6.1999999999999998E-3</v>
      </c>
      <c r="EG179" s="59">
        <v>0.16619999999999999</v>
      </c>
      <c r="EH179" s="59">
        <v>0</v>
      </c>
      <c r="EI179" s="208">
        <v>0.13139999999999999</v>
      </c>
      <c r="EJ179" s="172">
        <v>5.3876999999999988</v>
      </c>
      <c r="EK179" s="173"/>
      <c r="EL179" s="169">
        <v>0</v>
      </c>
      <c r="EM179" s="169">
        <v>0</v>
      </c>
      <c r="EN179" s="59"/>
      <c r="EO179" s="172"/>
      <c r="ES179" s="57">
        <f t="shared" si="174"/>
        <v>5.3876999999999988</v>
      </c>
      <c r="ET179" s="57">
        <f t="shared" si="175"/>
        <v>0</v>
      </c>
      <c r="EU179" s="31"/>
      <c r="EV179" s="61">
        <f t="shared" si="165"/>
        <v>1.8080256881415082</v>
      </c>
      <c r="EW179" s="62"/>
      <c r="EX179" s="158">
        <f t="shared" si="217"/>
        <v>-2.7101515000000029</v>
      </c>
      <c r="EY179" s="77">
        <f t="shared" si="218"/>
        <v>7.241068799999999</v>
      </c>
      <c r="EZ179" s="158">
        <f t="shared" si="166"/>
        <v>9.7411000000000012</v>
      </c>
      <c r="FA179" s="158">
        <f t="shared" si="167"/>
        <v>9.7411000000000012</v>
      </c>
      <c r="FH179" s="174">
        <f t="shared" si="176"/>
        <v>28546.293550000002</v>
      </c>
      <c r="FJ179" s="87">
        <v>1.3934331904152055</v>
      </c>
      <c r="FK179" s="176">
        <f t="shared" si="177"/>
        <v>1.2975331006740016</v>
      </c>
      <c r="FM179" s="87" t="e">
        <f t="shared" si="178"/>
        <v>#DIV/0!</v>
      </c>
      <c r="FO179" s="88">
        <f t="shared" si="168"/>
        <v>28546.293550000002</v>
      </c>
      <c r="FP179" s="79">
        <f t="shared" si="169"/>
        <v>0</v>
      </c>
      <c r="FS179" s="79">
        <f t="shared" si="170"/>
        <v>15788.654849999997</v>
      </c>
      <c r="FT179" s="79">
        <f t="shared" si="171"/>
        <v>0</v>
      </c>
      <c r="FU179" s="79">
        <f t="shared" si="179"/>
        <v>1.808025688141508</v>
      </c>
      <c r="FV179" s="79" t="e">
        <f t="shared" si="179"/>
        <v>#DIV/0!</v>
      </c>
      <c r="FY179" s="79">
        <f t="shared" si="180"/>
        <v>28546.293550000002</v>
      </c>
      <c r="FZ179" s="79">
        <f t="shared" si="181"/>
        <v>0</v>
      </c>
      <c r="GB179" s="178">
        <f t="shared" si="182"/>
        <v>2930.5</v>
      </c>
      <c r="GC179" s="178">
        <f t="shared" si="183"/>
        <v>0</v>
      </c>
      <c r="GG179" s="14">
        <v>7.6706000000000003</v>
      </c>
      <c r="GH179" s="175">
        <f t="shared" si="184"/>
        <v>1.2699267332412068</v>
      </c>
      <c r="GI179" s="14">
        <v>7.6706000000000003</v>
      </c>
      <c r="GJ179" s="175">
        <f t="shared" si="185"/>
        <v>1.2699267332412068</v>
      </c>
      <c r="GK179" s="175">
        <f t="shared" si="150"/>
        <v>0</v>
      </c>
      <c r="GN179" s="14">
        <v>9.982899999999999</v>
      </c>
      <c r="GO179" s="175">
        <f t="shared" si="186"/>
        <v>1.3014496910280811</v>
      </c>
      <c r="GP179" s="179">
        <f t="shared" si="187"/>
        <v>0.97577858137414997</v>
      </c>
      <c r="GQ179" s="14">
        <v>9.982899999999999</v>
      </c>
      <c r="GR179" s="175">
        <f t="shared" si="188"/>
        <v>1.3014496910280811</v>
      </c>
      <c r="GS179" s="175">
        <f t="shared" si="189"/>
        <v>0.97577858137414997</v>
      </c>
      <c r="GV179" s="32">
        <f t="shared" si="190"/>
        <v>28546.293550000002</v>
      </c>
      <c r="GW179" s="32">
        <f t="shared" si="191"/>
        <v>0</v>
      </c>
      <c r="GX179" s="180">
        <f t="shared" si="192"/>
        <v>28546.293550000002</v>
      </c>
      <c r="GZ179" s="32">
        <f t="shared" si="193"/>
        <v>9.7411000000000012</v>
      </c>
      <c r="HA179" s="32" t="e">
        <f t="shared" si="194"/>
        <v>#DIV/0!</v>
      </c>
      <c r="HB179" s="32">
        <f t="shared" si="195"/>
        <v>9.7411000000000012</v>
      </c>
    </row>
    <row r="180" spans="1:210" ht="19.2" customHeight="1" x14ac:dyDescent="0.3">
      <c r="A180" s="50">
        <v>172</v>
      </c>
      <c r="B180" s="51" t="s">
        <v>807</v>
      </c>
      <c r="C180" s="51"/>
      <c r="D180" s="52">
        <v>5</v>
      </c>
      <c r="E180" s="52">
        <v>6</v>
      </c>
      <c r="F180" s="63">
        <v>80</v>
      </c>
      <c r="G180" s="54" t="s">
        <v>130</v>
      </c>
      <c r="H180" s="181" t="s">
        <v>56</v>
      </c>
      <c r="I180" s="55">
        <f t="shared" si="172"/>
        <v>4352.1000000000004</v>
      </c>
      <c r="J180" s="55">
        <f t="shared" si="152"/>
        <v>0</v>
      </c>
      <c r="K180" s="55">
        <f t="shared" si="153"/>
        <v>0</v>
      </c>
      <c r="L180" s="56">
        <v>4352.1000000000004</v>
      </c>
      <c r="M180" s="56">
        <v>4352.1000000000004</v>
      </c>
      <c r="N180" s="56">
        <f t="shared" si="173"/>
        <v>4352.1000000000004</v>
      </c>
      <c r="O180" s="56">
        <v>0</v>
      </c>
      <c r="P180" s="56">
        <v>0</v>
      </c>
      <c r="Q180" s="55"/>
      <c r="R180" s="55">
        <v>4352.1000000000004</v>
      </c>
      <c r="S180" s="55"/>
      <c r="T180" s="55">
        <v>0</v>
      </c>
      <c r="U180" s="152">
        <v>4352.1000000000004</v>
      </c>
      <c r="V180" s="57">
        <v>0.1492</v>
      </c>
      <c r="W180" s="153">
        <v>9.8100000000000007E-2</v>
      </c>
      <c r="X180" s="57">
        <v>0.32819999999999999</v>
      </c>
      <c r="Y180" s="57">
        <v>7.3800000000000004E-2</v>
      </c>
      <c r="Z180" s="153">
        <v>2.9600000000000001E-2</v>
      </c>
      <c r="AA180" s="57">
        <v>0.64759999999999995</v>
      </c>
      <c r="AB180" s="153">
        <v>0</v>
      </c>
      <c r="AC180" s="57">
        <v>0.63149999999999995</v>
      </c>
      <c r="AD180" s="57">
        <v>0.1454</v>
      </c>
      <c r="AE180" s="57">
        <v>0</v>
      </c>
      <c r="AF180" s="57">
        <v>1.3431999999999999</v>
      </c>
      <c r="AG180" s="57">
        <v>0.19789999999999999</v>
      </c>
      <c r="AH180" s="57">
        <v>0.34770000000000001</v>
      </c>
      <c r="AI180" s="153">
        <v>9.0999999999999998E-2</v>
      </c>
      <c r="AJ180" s="153">
        <v>9.3700000000000006E-2</v>
      </c>
      <c r="AK180" s="153">
        <v>5.7599999999999998E-2</v>
      </c>
      <c r="AL180" s="57">
        <v>0.23880000000000001</v>
      </c>
      <c r="AM180" s="153">
        <v>3.5700000000000003E-2</v>
      </c>
      <c r="AN180" s="57">
        <v>0</v>
      </c>
      <c r="AO180" s="153">
        <v>2.6991000000000001</v>
      </c>
      <c r="AP180" s="57">
        <v>1.1607000000000001</v>
      </c>
      <c r="AQ180" s="57">
        <v>8.8300000000000003E-2</v>
      </c>
      <c r="AR180" s="153">
        <v>0.56869999999999998</v>
      </c>
      <c r="AS180" s="57">
        <v>4.5400000000000003E-2</v>
      </c>
      <c r="AT180" s="57">
        <v>7.4000000000000003E-3</v>
      </c>
      <c r="AU180" s="153">
        <v>0.21640000000000001</v>
      </c>
      <c r="AV180" s="153">
        <v>0</v>
      </c>
      <c r="AW180" s="154">
        <v>9.2950000000000017</v>
      </c>
      <c r="AX180" s="58">
        <v>0.46479999999999999</v>
      </c>
      <c r="AY180" s="155">
        <f t="shared" si="154"/>
        <v>0.46029999999999999</v>
      </c>
      <c r="AZ180" s="155">
        <f t="shared" si="155"/>
        <v>4.500000000000004E-3</v>
      </c>
      <c r="BA180" s="14">
        <v>9.759800000000002</v>
      </c>
      <c r="BB180" s="59">
        <f>BA180-'[1]Тариф 26 свод без  ПДВ'!AU180</f>
        <v>-3.2999999999976382E-3</v>
      </c>
      <c r="BC180" s="57">
        <v>0</v>
      </c>
      <c r="BD180" s="57">
        <v>0</v>
      </c>
      <c r="BE180" s="57">
        <v>0</v>
      </c>
      <c r="BF180" s="156">
        <v>9.2950000000000017</v>
      </c>
      <c r="BG180" s="59">
        <v>0.46479999999999999</v>
      </c>
      <c r="BH180" s="59"/>
      <c r="BI180" s="59"/>
      <c r="BJ180" s="14">
        <v>9.759800000000002</v>
      </c>
      <c r="BK180" s="60"/>
      <c r="BL180" s="60">
        <v>4.6501000000000019</v>
      </c>
      <c r="BM180" s="60">
        <v>0.23250000000000001</v>
      </c>
      <c r="BN180" s="14">
        <v>4.8826000000000018</v>
      </c>
      <c r="BO180" s="14"/>
      <c r="BP180" s="157"/>
      <c r="BQ180" s="158">
        <f>BJ180-'[1]Тариф 26 свод без  ПДВ'!BG180</f>
        <v>-3.2999999999976382E-3</v>
      </c>
      <c r="BR180" s="77">
        <f>'[1]Тариф 26 свод без  ПДВ'!BG180</f>
        <v>9.7630999999999997</v>
      </c>
      <c r="BS180" s="159">
        <f t="shared" si="156"/>
        <v>-3.2999999999976382E-3</v>
      </c>
      <c r="BU180" s="77">
        <f>'[1]Тариф 26 свод без  ПДВ'!AU180</f>
        <v>9.7630999999999997</v>
      </c>
      <c r="BV180" s="159">
        <f t="shared" si="157"/>
        <v>-3.2999999999976382E-3</v>
      </c>
      <c r="BX180" s="95">
        <v>4.5225</v>
      </c>
      <c r="BY180" s="95">
        <v>4.5225</v>
      </c>
      <c r="BZ180" s="95"/>
      <c r="CA180" s="62">
        <f t="shared" si="158"/>
        <v>2.1580541735765619</v>
      </c>
      <c r="CB180" s="62">
        <f t="shared" si="159"/>
        <v>2.1580541735765619</v>
      </c>
      <c r="CI180" s="160">
        <f>'[1]0 СВОД'!AYY195</f>
        <v>42475.271906909482</v>
      </c>
      <c r="CJ180" s="77">
        <f t="shared" si="160"/>
        <v>509703.26288291381</v>
      </c>
      <c r="CM180" s="161">
        <v>177</v>
      </c>
      <c r="CN180" s="183" t="s">
        <v>808</v>
      </c>
      <c r="CO180" s="163">
        <v>5</v>
      </c>
      <c r="CP180" s="163">
        <v>6</v>
      </c>
      <c r="CQ180" s="164" t="s">
        <v>130</v>
      </c>
      <c r="CR180" s="165" t="s">
        <v>56</v>
      </c>
      <c r="CS180" s="166">
        <v>4344.3999999999996</v>
      </c>
      <c r="CT180" s="166">
        <v>0</v>
      </c>
      <c r="CU180" s="167">
        <v>0</v>
      </c>
      <c r="CV180" s="168">
        <v>4344.3999999999996</v>
      </c>
      <c r="CW180" s="166">
        <v>4344.3999999999996</v>
      </c>
      <c r="CX180" s="167">
        <v>0</v>
      </c>
      <c r="CY180" s="166">
        <v>0</v>
      </c>
      <c r="CZ180" s="166"/>
      <c r="DA180" s="166">
        <v>4344.3999999999996</v>
      </c>
      <c r="DB180" s="166"/>
      <c r="DC180" s="166">
        <v>0</v>
      </c>
      <c r="DD180" s="59">
        <v>0.1467</v>
      </c>
      <c r="DE180" s="59">
        <v>0.15959999999999999</v>
      </c>
      <c r="DF180" s="59">
        <v>0.2162</v>
      </c>
      <c r="DG180" s="59">
        <v>4.3400000000000001E-2</v>
      </c>
      <c r="DH180" s="59">
        <v>1.11E-2</v>
      </c>
      <c r="DI180" s="59">
        <v>0.28549999999999998</v>
      </c>
      <c r="DJ180" s="59">
        <v>4.8099999999999997E-2</v>
      </c>
      <c r="DK180" s="59">
        <v>0.3458</v>
      </c>
      <c r="DL180" s="169">
        <v>0</v>
      </c>
      <c r="DM180" s="59">
        <v>8.8599999999999998E-2</v>
      </c>
      <c r="DN180" s="169">
        <v>0</v>
      </c>
      <c r="DO180" s="184">
        <v>0.83460000000000001</v>
      </c>
      <c r="DP180" s="171">
        <f t="shared" si="161"/>
        <v>1.3431999999999999</v>
      </c>
      <c r="DQ180" s="59">
        <v>9.5500000000000002E-2</v>
      </c>
      <c r="DR180" s="59">
        <v>0.2084</v>
      </c>
      <c r="DS180" s="59">
        <v>2.3800000000000002E-2</v>
      </c>
      <c r="DT180" s="59">
        <v>4.4200000000000003E-2</v>
      </c>
      <c r="DU180" s="59">
        <v>2.4299999999999999E-2</v>
      </c>
      <c r="DV180" s="59">
        <v>8.3599999999999994E-2</v>
      </c>
      <c r="DW180" s="59">
        <v>1.0200000000000001E-2</v>
      </c>
      <c r="DX180" s="169">
        <v>0</v>
      </c>
      <c r="DY180" s="59">
        <v>1.3785000000000001</v>
      </c>
      <c r="DZ180" s="171">
        <f t="shared" si="162"/>
        <v>1.9579978237214364</v>
      </c>
      <c r="EA180" s="59">
        <v>0.6986</v>
      </c>
      <c r="EB180" s="171">
        <f t="shared" si="163"/>
        <v>1.7878614371600345</v>
      </c>
      <c r="EC180" s="59">
        <v>0.2944</v>
      </c>
      <c r="ED180" s="171">
        <f t="shared" si="164"/>
        <v>1.9317255434782608</v>
      </c>
      <c r="EE180" s="59">
        <v>3.4799999999999998E-2</v>
      </c>
      <c r="EF180" s="59">
        <v>4.7999999999999996E-3</v>
      </c>
      <c r="EG180" s="59">
        <v>0.22509999999999999</v>
      </c>
      <c r="EH180" s="59">
        <v>0</v>
      </c>
      <c r="EI180" s="208">
        <v>0.1326</v>
      </c>
      <c r="EJ180" s="172">
        <v>5.4384000000000006</v>
      </c>
      <c r="EK180" s="173"/>
      <c r="EL180" s="169">
        <v>0</v>
      </c>
      <c r="EM180" s="169">
        <v>0</v>
      </c>
      <c r="EN180" s="59"/>
      <c r="EO180" s="172"/>
      <c r="ES180" s="57">
        <f t="shared" si="174"/>
        <v>5.4384000000000006</v>
      </c>
      <c r="ET180" s="57">
        <f t="shared" si="175"/>
        <v>0</v>
      </c>
      <c r="EU180" s="31"/>
      <c r="EV180" s="61">
        <f t="shared" si="165"/>
        <v>1.7946087084436602</v>
      </c>
      <c r="EW180" s="62"/>
      <c r="EX180" s="158">
        <f t="shared" si="217"/>
        <v>-2.6626880000000019</v>
      </c>
      <c r="EY180" s="77">
        <f t="shared" si="218"/>
        <v>7.3092096000000009</v>
      </c>
      <c r="EZ180" s="158">
        <f t="shared" si="166"/>
        <v>9.759800000000002</v>
      </c>
      <c r="FA180" s="158">
        <f t="shared" si="167"/>
        <v>9.759800000000002</v>
      </c>
      <c r="FH180" s="174">
        <f t="shared" si="176"/>
        <v>42475.625580000014</v>
      </c>
      <c r="FJ180" s="87">
        <v>1.3649970579582231</v>
      </c>
      <c r="FK180" s="176">
        <f t="shared" si="177"/>
        <v>1.3147344882398901</v>
      </c>
      <c r="FM180" s="87" t="e">
        <f t="shared" si="178"/>
        <v>#DIV/0!</v>
      </c>
      <c r="FO180" s="88">
        <f t="shared" si="168"/>
        <v>42475.625580000014</v>
      </c>
      <c r="FP180" s="79">
        <f t="shared" si="169"/>
        <v>0</v>
      </c>
      <c r="FS180" s="79">
        <f t="shared" si="170"/>
        <v>23668.460640000005</v>
      </c>
      <c r="FT180" s="79">
        <f t="shared" si="171"/>
        <v>0</v>
      </c>
      <c r="FU180" s="79">
        <f t="shared" si="179"/>
        <v>1.7946087084436602</v>
      </c>
      <c r="FV180" s="79" t="e">
        <f t="shared" si="179"/>
        <v>#DIV/0!</v>
      </c>
      <c r="FY180" s="79">
        <f t="shared" si="180"/>
        <v>42475.625580000014</v>
      </c>
      <c r="FZ180" s="79">
        <f t="shared" si="181"/>
        <v>0</v>
      </c>
      <c r="GB180" s="178">
        <f t="shared" si="182"/>
        <v>4352.1000000000004</v>
      </c>
      <c r="GC180" s="178">
        <f t="shared" si="183"/>
        <v>0</v>
      </c>
      <c r="GG180" s="14">
        <v>7.6853000000000016</v>
      </c>
      <c r="GH180" s="175">
        <f t="shared" si="184"/>
        <v>1.2699309070563283</v>
      </c>
      <c r="GI180" s="14">
        <v>7.6853000000000016</v>
      </c>
      <c r="GJ180" s="175">
        <f t="shared" si="185"/>
        <v>1.2699309070563283</v>
      </c>
      <c r="GK180" s="175">
        <f t="shared" si="150"/>
        <v>0</v>
      </c>
      <c r="GN180" s="14">
        <v>9.9794999999999998</v>
      </c>
      <c r="GO180" s="175">
        <f t="shared" si="186"/>
        <v>1.2985179498523152</v>
      </c>
      <c r="GP180" s="179">
        <f t="shared" si="187"/>
        <v>0.97798486898141213</v>
      </c>
      <c r="GQ180" s="14">
        <v>9.9794999999999998</v>
      </c>
      <c r="GR180" s="175">
        <f t="shared" si="188"/>
        <v>1.2985179498523152</v>
      </c>
      <c r="GS180" s="175">
        <f t="shared" si="189"/>
        <v>0.97798486898141213</v>
      </c>
      <c r="GV180" s="32">
        <f t="shared" si="190"/>
        <v>42475.625580000014</v>
      </c>
      <c r="GW180" s="32">
        <f t="shared" si="191"/>
        <v>0</v>
      </c>
      <c r="GX180" s="180">
        <f t="shared" si="192"/>
        <v>42475.625580000014</v>
      </c>
      <c r="GZ180" s="32">
        <f t="shared" si="193"/>
        <v>9.759800000000002</v>
      </c>
      <c r="HA180" s="32" t="e">
        <f t="shared" si="194"/>
        <v>#DIV/0!</v>
      </c>
      <c r="HB180" s="32">
        <f t="shared" si="195"/>
        <v>9.759800000000002</v>
      </c>
    </row>
    <row r="181" spans="1:210" ht="19.2" customHeight="1" x14ac:dyDescent="0.3">
      <c r="A181" s="50">
        <v>173</v>
      </c>
      <c r="B181" s="51" t="s">
        <v>809</v>
      </c>
      <c r="C181" s="51"/>
      <c r="D181" s="52">
        <v>5</v>
      </c>
      <c r="E181" s="52">
        <v>7</v>
      </c>
      <c r="F181" s="63">
        <v>80</v>
      </c>
      <c r="G181" s="54" t="s">
        <v>131</v>
      </c>
      <c r="H181" s="181" t="s">
        <v>56</v>
      </c>
      <c r="I181" s="55">
        <f t="shared" si="172"/>
        <v>4515.3999999999996</v>
      </c>
      <c r="J181" s="55">
        <f t="shared" si="152"/>
        <v>0</v>
      </c>
      <c r="K181" s="55">
        <f t="shared" si="153"/>
        <v>0</v>
      </c>
      <c r="L181" s="56">
        <v>4515.3999999999996</v>
      </c>
      <c r="M181" s="56">
        <v>4515.3999999999996</v>
      </c>
      <c r="N181" s="56">
        <f t="shared" si="173"/>
        <v>4515.3999999999996</v>
      </c>
      <c r="O181" s="56">
        <v>0</v>
      </c>
      <c r="P181" s="56">
        <v>0</v>
      </c>
      <c r="Q181" s="55"/>
      <c r="R181" s="55">
        <v>4515.3999999999996</v>
      </c>
      <c r="S181" s="55"/>
      <c r="T181" s="55">
        <v>0</v>
      </c>
      <c r="U181" s="152">
        <v>4515.3999999999996</v>
      </c>
      <c r="V181" s="57">
        <v>0.16339999999999999</v>
      </c>
      <c r="W181" s="153">
        <v>0.109</v>
      </c>
      <c r="X181" s="57">
        <v>0.3296</v>
      </c>
      <c r="Y181" s="57">
        <v>7.4300000000000005E-2</v>
      </c>
      <c r="Z181" s="153">
        <v>3.32E-2</v>
      </c>
      <c r="AA181" s="57">
        <v>0.73640000000000005</v>
      </c>
      <c r="AB181" s="153">
        <v>0</v>
      </c>
      <c r="AC181" s="57">
        <v>0.63149999999999995</v>
      </c>
      <c r="AD181" s="57">
        <v>0.1401</v>
      </c>
      <c r="AE181" s="57">
        <v>0</v>
      </c>
      <c r="AF181" s="57">
        <v>1.5924</v>
      </c>
      <c r="AG181" s="57">
        <v>0.2132</v>
      </c>
      <c r="AH181" s="57">
        <v>0.31340000000000001</v>
      </c>
      <c r="AI181" s="153">
        <v>8.7999999999999995E-2</v>
      </c>
      <c r="AJ181" s="153">
        <v>9.74E-2</v>
      </c>
      <c r="AK181" s="153">
        <v>6.4500000000000002E-2</v>
      </c>
      <c r="AL181" s="57">
        <v>0.2903</v>
      </c>
      <c r="AM181" s="153">
        <v>3.6700000000000003E-2</v>
      </c>
      <c r="AN181" s="57">
        <v>0</v>
      </c>
      <c r="AO181" s="153">
        <v>1.9159999999999999</v>
      </c>
      <c r="AP181" s="57">
        <v>1.3132999999999999</v>
      </c>
      <c r="AQ181" s="57">
        <v>0.1094</v>
      </c>
      <c r="AR181" s="153">
        <v>0.62629999999999997</v>
      </c>
      <c r="AS181" s="57">
        <v>6.9800000000000001E-2</v>
      </c>
      <c r="AT181" s="57">
        <v>1.1299999999999999E-2</v>
      </c>
      <c r="AU181" s="153">
        <v>0.30259999999999998</v>
      </c>
      <c r="AV181" s="153">
        <v>0</v>
      </c>
      <c r="AW181" s="154">
        <v>9.262100000000002</v>
      </c>
      <c r="AX181" s="58">
        <v>0.46310000000000001</v>
      </c>
      <c r="AY181" s="155">
        <f t="shared" si="154"/>
        <v>0.45760000000000001</v>
      </c>
      <c r="AZ181" s="155">
        <f t="shared" si="155"/>
        <v>5.5000000000000049E-3</v>
      </c>
      <c r="BA181" s="14">
        <v>9.7252000000000027</v>
      </c>
      <c r="BB181" s="59">
        <f>BA181-'[1]Тариф 26 свод без  ПДВ'!AU181</f>
        <v>-4.5999999999963848E-3</v>
      </c>
      <c r="BC181" s="57">
        <v>0</v>
      </c>
      <c r="BD181" s="57">
        <v>0</v>
      </c>
      <c r="BE181" s="57">
        <v>0</v>
      </c>
      <c r="BF181" s="156">
        <v>9.262100000000002</v>
      </c>
      <c r="BG181" s="59">
        <v>0.46310000000000001</v>
      </c>
      <c r="BH181" s="59"/>
      <c r="BI181" s="59"/>
      <c r="BJ181" s="14">
        <v>9.7252000000000027</v>
      </c>
      <c r="BK181" s="60"/>
      <c r="BL181" s="60">
        <v>5.1039000000000012</v>
      </c>
      <c r="BM181" s="60">
        <v>0.25519999999999998</v>
      </c>
      <c r="BN181" s="14">
        <v>5.3591000000000015</v>
      </c>
      <c r="BO181" s="14"/>
      <c r="BP181" s="157"/>
      <c r="BQ181" s="158">
        <f>BJ181-'[1]Тариф 26 свод без  ПДВ'!BG181</f>
        <v>-4.5999999999963848E-3</v>
      </c>
      <c r="BR181" s="77">
        <f>'[1]Тариф 26 свод без  ПДВ'!BG181</f>
        <v>9.7297999999999991</v>
      </c>
      <c r="BS181" s="159">
        <f t="shared" si="156"/>
        <v>-4.5999999999963848E-3</v>
      </c>
      <c r="BU181" s="77">
        <f>'[1]Тариф 26 свод без  ПДВ'!AU181</f>
        <v>9.7297999999999991</v>
      </c>
      <c r="BV181" s="159">
        <f t="shared" si="157"/>
        <v>-4.5999999999963848E-3</v>
      </c>
      <c r="BX181" s="95">
        <v>4.4497</v>
      </c>
      <c r="BY181" s="95">
        <v>4.4497</v>
      </c>
      <c r="BZ181" s="95"/>
      <c r="CA181" s="62">
        <f t="shared" si="158"/>
        <v>2.1855855450929282</v>
      </c>
      <c r="CB181" s="62">
        <f t="shared" si="159"/>
        <v>2.1855855450929282</v>
      </c>
      <c r="CI181" s="160">
        <f>'[1]0 СВОД'!AYY196</f>
        <v>43912.452450299708</v>
      </c>
      <c r="CJ181" s="77">
        <f t="shared" si="160"/>
        <v>526949.42940359656</v>
      </c>
      <c r="CM181" s="161">
        <v>178</v>
      </c>
      <c r="CN181" s="183" t="s">
        <v>810</v>
      </c>
      <c r="CO181" s="163">
        <v>5</v>
      </c>
      <c r="CP181" s="163">
        <v>7</v>
      </c>
      <c r="CQ181" s="164" t="s">
        <v>131</v>
      </c>
      <c r="CR181" s="165" t="s">
        <v>56</v>
      </c>
      <c r="CS181" s="166">
        <v>4507.3999999999996</v>
      </c>
      <c r="CT181" s="166">
        <v>0</v>
      </c>
      <c r="CU181" s="167">
        <v>0</v>
      </c>
      <c r="CV181" s="168">
        <v>4507.3999999999996</v>
      </c>
      <c r="CW181" s="166">
        <v>4507.3999999999996</v>
      </c>
      <c r="CX181" s="167">
        <v>0</v>
      </c>
      <c r="CY181" s="166">
        <v>0</v>
      </c>
      <c r="CZ181" s="166"/>
      <c r="DA181" s="166">
        <v>4507.3999999999996</v>
      </c>
      <c r="DB181" s="166"/>
      <c r="DC181" s="166">
        <v>0</v>
      </c>
      <c r="DD181" s="59">
        <v>0.1608</v>
      </c>
      <c r="DE181" s="59">
        <v>0.14380000000000001</v>
      </c>
      <c r="DF181" s="59">
        <v>0.21709999999999999</v>
      </c>
      <c r="DG181" s="59">
        <v>4.3799999999999999E-2</v>
      </c>
      <c r="DH181" s="59">
        <v>1.2500000000000001E-2</v>
      </c>
      <c r="DI181" s="59">
        <v>0.3392</v>
      </c>
      <c r="DJ181" s="59">
        <v>4.8099999999999997E-2</v>
      </c>
      <c r="DK181" s="59">
        <v>0.3458</v>
      </c>
      <c r="DL181" s="169">
        <v>0</v>
      </c>
      <c r="DM181" s="59">
        <v>8.5400000000000004E-2</v>
      </c>
      <c r="DN181" s="169">
        <v>0</v>
      </c>
      <c r="DO181" s="184">
        <v>0.97950000000000004</v>
      </c>
      <c r="DP181" s="171">
        <f t="shared" si="161"/>
        <v>1.5924</v>
      </c>
      <c r="DQ181" s="59">
        <v>0.1028</v>
      </c>
      <c r="DR181" s="59">
        <v>0.18779999999999999</v>
      </c>
      <c r="DS181" s="59">
        <v>2.3E-2</v>
      </c>
      <c r="DT181" s="59">
        <v>4.5900000000000003E-2</v>
      </c>
      <c r="DU181" s="59">
        <v>2.7300000000000001E-2</v>
      </c>
      <c r="DV181" s="59">
        <v>0.10150000000000001</v>
      </c>
      <c r="DW181" s="59">
        <v>1.0699999999999999E-2</v>
      </c>
      <c r="DX181" s="169">
        <v>0</v>
      </c>
      <c r="DY181" s="59">
        <v>0.96799999999999997</v>
      </c>
      <c r="DZ181" s="171">
        <f t="shared" si="162"/>
        <v>1.9793388429752066</v>
      </c>
      <c r="EA181" s="59">
        <v>0.79630000000000001</v>
      </c>
      <c r="EB181" s="171">
        <f t="shared" si="163"/>
        <v>1.7866382016827826</v>
      </c>
      <c r="EC181" s="59">
        <v>0.32490000000000002</v>
      </c>
      <c r="ED181" s="171">
        <f t="shared" si="164"/>
        <v>1.9276700523237917</v>
      </c>
      <c r="EE181" s="59">
        <v>5.3499999999999999E-2</v>
      </c>
      <c r="EF181" s="59">
        <v>7.4000000000000003E-3</v>
      </c>
      <c r="EG181" s="59">
        <v>0.26050000000000001</v>
      </c>
      <c r="EH181" s="59">
        <v>0</v>
      </c>
      <c r="EI181" s="208">
        <v>0.1321</v>
      </c>
      <c r="EJ181" s="172">
        <v>5.4177000000000008</v>
      </c>
      <c r="EK181" s="173"/>
      <c r="EL181" s="169">
        <v>0</v>
      </c>
      <c r="EM181" s="169">
        <v>0</v>
      </c>
      <c r="EN181" s="59"/>
      <c r="EO181" s="172"/>
      <c r="ES181" s="57">
        <f t="shared" si="174"/>
        <v>5.4177000000000008</v>
      </c>
      <c r="ET181" s="57">
        <f t="shared" si="175"/>
        <v>0</v>
      </c>
      <c r="EU181" s="31"/>
      <c r="EV181" s="61">
        <f t="shared" si="165"/>
        <v>1.7950790926038727</v>
      </c>
      <c r="EW181" s="62"/>
      <c r="EX181" s="158">
        <f t="shared" si="217"/>
        <v>-2.6551015000000016</v>
      </c>
      <c r="EY181" s="77">
        <f t="shared" si="218"/>
        <v>7.281388800000002</v>
      </c>
      <c r="EZ181" s="158">
        <f t="shared" si="166"/>
        <v>9.7252000000000027</v>
      </c>
      <c r="FA181" s="158">
        <f t="shared" si="167"/>
        <v>9.7252000000000027</v>
      </c>
      <c r="FH181" s="174">
        <f t="shared" si="176"/>
        <v>43913.16808000001</v>
      </c>
      <c r="FJ181" s="87">
        <v>1.3612418553998926</v>
      </c>
      <c r="FK181" s="176">
        <f t="shared" si="177"/>
        <v>1.3187069479850306</v>
      </c>
      <c r="FM181" s="87" t="e">
        <f t="shared" si="178"/>
        <v>#DIV/0!</v>
      </c>
      <c r="FO181" s="88">
        <f t="shared" si="168"/>
        <v>43913.16808000001</v>
      </c>
      <c r="FP181" s="79">
        <f t="shared" si="169"/>
        <v>0</v>
      </c>
      <c r="FS181" s="79">
        <f t="shared" si="170"/>
        <v>24463.082580000002</v>
      </c>
      <c r="FT181" s="79">
        <f t="shared" si="171"/>
        <v>0</v>
      </c>
      <c r="FU181" s="79">
        <f t="shared" si="179"/>
        <v>1.7950790926038727</v>
      </c>
      <c r="FV181" s="79" t="e">
        <f t="shared" si="179"/>
        <v>#DIV/0!</v>
      </c>
      <c r="FY181" s="79">
        <f t="shared" si="180"/>
        <v>43913.16808000001</v>
      </c>
      <c r="FZ181" s="79">
        <f t="shared" si="181"/>
        <v>0</v>
      </c>
      <c r="GB181" s="178">
        <f t="shared" si="182"/>
        <v>4515.3999999999996</v>
      </c>
      <c r="GC181" s="178">
        <f t="shared" si="183"/>
        <v>0</v>
      </c>
      <c r="GG181" s="14">
        <v>7.6580000000000013</v>
      </c>
      <c r="GH181" s="175">
        <f t="shared" si="184"/>
        <v>1.2699399320971534</v>
      </c>
      <c r="GI181" s="14">
        <v>7.6580000000000013</v>
      </c>
      <c r="GJ181" s="175">
        <f t="shared" si="185"/>
        <v>1.2699399320971534</v>
      </c>
      <c r="GK181" s="175">
        <f t="shared" si="150"/>
        <v>0</v>
      </c>
      <c r="GN181" s="14">
        <v>9.8426000000000027</v>
      </c>
      <c r="GO181" s="175">
        <f t="shared" si="186"/>
        <v>1.2852703055628103</v>
      </c>
      <c r="GP181" s="179">
        <f t="shared" si="187"/>
        <v>0.98807225733038018</v>
      </c>
      <c r="GQ181" s="14">
        <v>9.8426000000000027</v>
      </c>
      <c r="GR181" s="175">
        <f t="shared" si="188"/>
        <v>1.2852703055628103</v>
      </c>
      <c r="GS181" s="175">
        <f t="shared" si="189"/>
        <v>0.98807225733038018</v>
      </c>
      <c r="GV181" s="32">
        <f t="shared" si="190"/>
        <v>43913.16808000001</v>
      </c>
      <c r="GW181" s="32">
        <f t="shared" si="191"/>
        <v>0</v>
      </c>
      <c r="GX181" s="180">
        <f t="shared" si="192"/>
        <v>43913.16808000001</v>
      </c>
      <c r="GZ181" s="32">
        <f t="shared" si="193"/>
        <v>9.7252000000000027</v>
      </c>
      <c r="HA181" s="32" t="e">
        <f t="shared" si="194"/>
        <v>#DIV/0!</v>
      </c>
      <c r="HB181" s="32">
        <f t="shared" si="195"/>
        <v>9.7252000000000027</v>
      </c>
    </row>
    <row r="182" spans="1:210" ht="19.2" customHeight="1" x14ac:dyDescent="0.3">
      <c r="A182" s="50">
        <v>174</v>
      </c>
      <c r="B182" s="51" t="s">
        <v>811</v>
      </c>
      <c r="C182" s="51"/>
      <c r="D182" s="52">
        <v>9</v>
      </c>
      <c r="E182" s="52">
        <v>3</v>
      </c>
      <c r="F182" s="63">
        <v>108</v>
      </c>
      <c r="G182" s="54" t="s">
        <v>227</v>
      </c>
      <c r="H182" s="181" t="s">
        <v>173</v>
      </c>
      <c r="I182" s="55">
        <f t="shared" si="172"/>
        <v>610.39999999999964</v>
      </c>
      <c r="J182" s="55">
        <f t="shared" si="152"/>
        <v>5028.5</v>
      </c>
      <c r="K182" s="55">
        <f t="shared" si="153"/>
        <v>0</v>
      </c>
      <c r="L182" s="56">
        <v>5638.9</v>
      </c>
      <c r="M182" s="56">
        <v>5638.9</v>
      </c>
      <c r="N182" s="56">
        <f t="shared" si="173"/>
        <v>610.39999999999964</v>
      </c>
      <c r="O182" s="56">
        <v>0</v>
      </c>
      <c r="P182" s="56">
        <v>0</v>
      </c>
      <c r="Q182" s="55"/>
      <c r="R182" s="55">
        <v>5638.9</v>
      </c>
      <c r="S182" s="55"/>
      <c r="T182" s="55">
        <v>5028.5</v>
      </c>
      <c r="U182" s="152">
        <v>610.39999999999964</v>
      </c>
      <c r="V182" s="57">
        <v>0.17979999999999999</v>
      </c>
      <c r="W182" s="57">
        <v>0.1075</v>
      </c>
      <c r="X182" s="153">
        <v>0.28220000000000001</v>
      </c>
      <c r="Y182" s="153">
        <v>7.3499999999999996E-2</v>
      </c>
      <c r="Z182" s="57">
        <v>2.3400000000000001E-2</v>
      </c>
      <c r="AA182" s="57">
        <v>0.2626</v>
      </c>
      <c r="AB182" s="57">
        <v>0</v>
      </c>
      <c r="AC182" s="153">
        <v>0.63149999999999995</v>
      </c>
      <c r="AD182" s="57">
        <v>0.15140000000000001</v>
      </c>
      <c r="AE182" s="57">
        <v>0</v>
      </c>
      <c r="AF182" s="57">
        <v>2.7631999999999999</v>
      </c>
      <c r="AG182" s="57">
        <v>0.23400000000000001</v>
      </c>
      <c r="AH182" s="57">
        <v>0.37409999999999999</v>
      </c>
      <c r="AI182" s="57">
        <v>0.11940000000000001</v>
      </c>
      <c r="AJ182" s="57">
        <v>0.1177</v>
      </c>
      <c r="AK182" s="57">
        <v>4.5499999999999999E-2</v>
      </c>
      <c r="AL182" s="57">
        <v>0.1012</v>
      </c>
      <c r="AM182" s="57">
        <v>0.03</v>
      </c>
      <c r="AN182" s="57">
        <v>0</v>
      </c>
      <c r="AO182" s="57">
        <v>1.2204999999999999</v>
      </c>
      <c r="AP182" s="153">
        <v>1.5304</v>
      </c>
      <c r="AQ182" s="153">
        <v>8.5300000000000001E-2</v>
      </c>
      <c r="AR182" s="57">
        <v>0.46310000000000001</v>
      </c>
      <c r="AS182" s="57">
        <v>3.6400000000000002E-2</v>
      </c>
      <c r="AT182" s="153">
        <v>5.8999999999999999E-3</v>
      </c>
      <c r="AU182" s="153">
        <v>0.32129999999999997</v>
      </c>
      <c r="AV182" s="153">
        <v>0</v>
      </c>
      <c r="AW182" s="154">
        <v>9.1599000000000022</v>
      </c>
      <c r="AX182" s="58">
        <v>0.45800000000000002</v>
      </c>
      <c r="AY182" s="155">
        <f t="shared" si="154"/>
        <v>0.45369999999999999</v>
      </c>
      <c r="AZ182" s="155">
        <f t="shared" si="155"/>
        <v>4.300000000000026E-3</v>
      </c>
      <c r="BA182" s="14">
        <v>9.6179000000000023</v>
      </c>
      <c r="BB182" s="59">
        <f>BA182-'[1]Тариф 26 свод без  ПДВ'!AU182</f>
        <v>2.2000000000019782E-3</v>
      </c>
      <c r="BC182" s="57">
        <v>2.0446</v>
      </c>
      <c r="BD182" s="57">
        <v>0</v>
      </c>
      <c r="BE182" s="57">
        <v>0.49409999999999998</v>
      </c>
      <c r="BF182" s="156">
        <v>11.698600000000003</v>
      </c>
      <c r="BG182" s="59">
        <v>0.58489999999999998</v>
      </c>
      <c r="BH182" s="59"/>
      <c r="BI182" s="59"/>
      <c r="BJ182" s="14">
        <v>12.283500000000002</v>
      </c>
      <c r="BK182" s="60"/>
      <c r="BL182" s="60">
        <v>5.6246000000000009</v>
      </c>
      <c r="BM182" s="60">
        <v>0.28120000000000001</v>
      </c>
      <c r="BN182" s="14">
        <v>5.905800000000001</v>
      </c>
      <c r="BO182" s="14"/>
      <c r="BP182" s="157"/>
      <c r="BQ182" s="158">
        <f>BJ182-'[1]Тариф 26 свод без  ПДВ'!BG182</f>
        <v>-2.7999999999988034E-3</v>
      </c>
      <c r="BR182" s="77">
        <f>'[1]Тариф 26 свод без  ПДВ'!BG182</f>
        <v>12.286300000000001</v>
      </c>
      <c r="BS182" s="159">
        <f t="shared" si="156"/>
        <v>-2.7999999999988034E-3</v>
      </c>
      <c r="BU182" s="77">
        <f>'[1]Тариф 26 свод без  ПДВ'!AU182</f>
        <v>9.6157000000000004</v>
      </c>
      <c r="BV182" s="159">
        <f t="shared" si="157"/>
        <v>2.2000000000019782E-3</v>
      </c>
      <c r="BX182" s="95">
        <v>4.3717999999999995</v>
      </c>
      <c r="BY182" s="95">
        <v>4.3717999999999995</v>
      </c>
      <c r="BZ182" s="95"/>
      <c r="CA182" s="62">
        <f t="shared" si="158"/>
        <v>2.1999862756759239</v>
      </c>
      <c r="CB182" s="62">
        <f t="shared" si="159"/>
        <v>2.809712246671852</v>
      </c>
      <c r="CI182" s="160">
        <f>'[1]0 СВОД'!AYY197</f>
        <v>67638.111424466275</v>
      </c>
      <c r="CJ182" s="77">
        <f t="shared" si="160"/>
        <v>811657.3370935953</v>
      </c>
      <c r="CM182" s="161">
        <v>179</v>
      </c>
      <c r="CN182" s="183" t="s">
        <v>812</v>
      </c>
      <c r="CO182" s="163">
        <v>9</v>
      </c>
      <c r="CP182" s="163">
        <v>3</v>
      </c>
      <c r="CQ182" s="164" t="s">
        <v>227</v>
      </c>
      <c r="CR182" s="165" t="s">
        <v>173</v>
      </c>
      <c r="CS182" s="166">
        <v>610.40999999999985</v>
      </c>
      <c r="CT182" s="166">
        <v>5016.6900000000005</v>
      </c>
      <c r="CU182" s="167">
        <v>0</v>
      </c>
      <c r="CV182" s="168">
        <v>5627.1</v>
      </c>
      <c r="CW182" s="166">
        <v>5627.1</v>
      </c>
      <c r="CX182" s="167">
        <v>0</v>
      </c>
      <c r="CY182" s="166">
        <v>0</v>
      </c>
      <c r="CZ182" s="166"/>
      <c r="DA182" s="166">
        <v>5627.1</v>
      </c>
      <c r="DB182" s="166"/>
      <c r="DC182" s="166">
        <v>5016.6900000000005</v>
      </c>
      <c r="DD182" s="59">
        <v>0.1772</v>
      </c>
      <c r="DE182" s="59">
        <v>0.17169999999999999</v>
      </c>
      <c r="DF182" s="59">
        <v>0.186</v>
      </c>
      <c r="DG182" s="59">
        <v>4.3400000000000001E-2</v>
      </c>
      <c r="DH182" s="59">
        <v>8.8000000000000005E-3</v>
      </c>
      <c r="DI182" s="59">
        <v>0.1149</v>
      </c>
      <c r="DJ182" s="59">
        <v>4.8099999999999997E-2</v>
      </c>
      <c r="DK182" s="59">
        <v>0.3458</v>
      </c>
      <c r="DL182" s="169">
        <v>0</v>
      </c>
      <c r="DM182" s="59">
        <v>9.2399999999999996E-2</v>
      </c>
      <c r="DN182" s="169">
        <v>0</v>
      </c>
      <c r="DO182" s="184">
        <v>1.7035</v>
      </c>
      <c r="DP182" s="171">
        <f t="shared" si="161"/>
        <v>2.7631999999999999</v>
      </c>
      <c r="DQ182" s="59">
        <v>0.1128</v>
      </c>
      <c r="DR182" s="59">
        <v>0.2248</v>
      </c>
      <c r="DS182" s="59">
        <v>3.0800000000000001E-2</v>
      </c>
      <c r="DT182" s="59">
        <v>5.5599999999999997E-2</v>
      </c>
      <c r="DU182" s="59">
        <v>1.9199999999999998E-2</v>
      </c>
      <c r="DV182" s="59">
        <v>3.5299999999999998E-2</v>
      </c>
      <c r="DW182" s="59">
        <v>7.4999999999999997E-3</v>
      </c>
      <c r="DX182" s="169">
        <v>0</v>
      </c>
      <c r="DY182" s="59">
        <v>0.61550000000000005</v>
      </c>
      <c r="DZ182" s="171">
        <f t="shared" si="162"/>
        <v>1.9829406986190086</v>
      </c>
      <c r="EA182" s="59">
        <v>0.90659999999999996</v>
      </c>
      <c r="EB182" s="171">
        <f t="shared" si="163"/>
        <v>1.7821530994926098</v>
      </c>
      <c r="EC182" s="59">
        <v>0.25069999999999998</v>
      </c>
      <c r="ED182" s="171">
        <f t="shared" si="164"/>
        <v>1.8472277622656563</v>
      </c>
      <c r="EE182" s="59">
        <v>2.7900000000000001E-2</v>
      </c>
      <c r="EF182" s="59">
        <v>3.8999999999999998E-3</v>
      </c>
      <c r="EG182" s="59">
        <v>0.19120000000000001</v>
      </c>
      <c r="EH182" s="59">
        <v>0</v>
      </c>
      <c r="EI182" s="155">
        <v>0.1343</v>
      </c>
      <c r="EJ182" s="172">
        <v>5.5078999999999994</v>
      </c>
      <c r="EK182" s="173"/>
      <c r="EL182" s="59">
        <v>1.7714000000000001</v>
      </c>
      <c r="EM182" s="59">
        <v>0.25779999999999997</v>
      </c>
      <c r="EN182" s="59">
        <v>0.18509999999999999</v>
      </c>
      <c r="EO182" s="172">
        <v>7.5878999999999994</v>
      </c>
      <c r="ES182" s="57">
        <f t="shared" si="174"/>
        <v>5.5078999999999994</v>
      </c>
      <c r="ET182" s="57">
        <f t="shared" si="175"/>
        <v>7.5878999999999994</v>
      </c>
      <c r="EU182" s="31"/>
      <c r="EV182" s="61">
        <f t="shared" si="165"/>
        <v>1.7462009114181454</v>
      </c>
      <c r="EW182" s="61">
        <f>BJ182/ET182</f>
        <v>1.6188273435337843</v>
      </c>
      <c r="EX182" s="185">
        <v>7.1966000000000001</v>
      </c>
      <c r="EY182" s="174">
        <v>10.0944</v>
      </c>
      <c r="EZ182" s="158">
        <f t="shared" si="166"/>
        <v>9.6179000000000023</v>
      </c>
      <c r="FA182" s="158">
        <f t="shared" si="167"/>
        <v>12.283500000000002</v>
      </c>
      <c r="FB182" s="158">
        <f>BA182-EX182</f>
        <v>2.4213000000000022</v>
      </c>
      <c r="FC182" s="158">
        <f>BJ182-EY182</f>
        <v>2.1891000000000016</v>
      </c>
      <c r="FD182" s="175">
        <f t="shared" ref="FD182:FD183" si="219">FB182/EX182</f>
        <v>0.33645054609121006</v>
      </c>
      <c r="FE182" s="175">
        <f t="shared" ref="FE182:FE183" si="220">FC182/FA182</f>
        <v>0.17821467822688983</v>
      </c>
      <c r="FF182" s="158"/>
      <c r="FG182" s="174"/>
      <c r="FH182" s="174">
        <f t="shared" si="176"/>
        <v>54234.376310000007</v>
      </c>
      <c r="FI182" s="174"/>
      <c r="FJ182" s="176">
        <v>1.262</v>
      </c>
      <c r="FK182" s="176">
        <f t="shared" si="177"/>
        <v>1.3836774258463909</v>
      </c>
      <c r="FL182" s="87">
        <v>1.298</v>
      </c>
      <c r="FM182" s="177">
        <f t="shared" si="178"/>
        <v>1.2471705266053807</v>
      </c>
      <c r="FO182" s="88">
        <f t="shared" si="168"/>
        <v>54234.376310000007</v>
      </c>
      <c r="FP182" s="79">
        <f t="shared" si="169"/>
        <v>61767.579750000012</v>
      </c>
      <c r="FS182" s="79">
        <f t="shared" si="170"/>
        <v>31058.497309999995</v>
      </c>
      <c r="FT182" s="79">
        <f t="shared" si="171"/>
        <v>38155.755149999997</v>
      </c>
      <c r="FU182" s="79">
        <f t="shared" si="179"/>
        <v>1.7462009114181454</v>
      </c>
      <c r="FV182" s="79">
        <f t="shared" si="179"/>
        <v>1.6188273435337845</v>
      </c>
      <c r="FY182" s="79">
        <f t="shared" si="180"/>
        <v>5870.7661599999983</v>
      </c>
      <c r="FZ182" s="79">
        <f t="shared" si="181"/>
        <v>61767.579750000012</v>
      </c>
      <c r="GB182" s="178">
        <f t="shared" si="182"/>
        <v>610.39999999999964</v>
      </c>
      <c r="GC182" s="178">
        <f t="shared" si="183"/>
        <v>5028.5</v>
      </c>
      <c r="GG182" s="14">
        <v>7.5734999999999992</v>
      </c>
      <c r="GH182" s="175">
        <f t="shared" si="184"/>
        <v>1.2699412424902625</v>
      </c>
      <c r="GI182" s="14">
        <v>10.665799999999999</v>
      </c>
      <c r="GJ182" s="175">
        <f t="shared" si="185"/>
        <v>1.1516716983254893</v>
      </c>
      <c r="GK182" s="175">
        <f t="shared" si="150"/>
        <v>0.1182695441647732</v>
      </c>
      <c r="GN182" s="14">
        <v>9.4964000000000013</v>
      </c>
      <c r="GO182" s="175">
        <f t="shared" si="186"/>
        <v>1.2538984617415994</v>
      </c>
      <c r="GP182" s="179">
        <f t="shared" si="187"/>
        <v>1.0127943220588855</v>
      </c>
      <c r="GQ182" s="14">
        <v>11.964000000000002</v>
      </c>
      <c r="GR182" s="175">
        <f t="shared" si="188"/>
        <v>1.1217161394363295</v>
      </c>
      <c r="GS182" s="175">
        <f t="shared" si="189"/>
        <v>1.026705115346038</v>
      </c>
      <c r="GV182" s="32">
        <f t="shared" si="190"/>
        <v>5870.7661599999983</v>
      </c>
      <c r="GW182" s="32">
        <f t="shared" si="191"/>
        <v>61767.579750000012</v>
      </c>
      <c r="GX182" s="180">
        <f t="shared" si="192"/>
        <v>67638.345910000004</v>
      </c>
      <c r="GZ182" s="32">
        <f t="shared" si="193"/>
        <v>9.6179000000000023</v>
      </c>
      <c r="HA182" s="32">
        <f t="shared" si="194"/>
        <v>12.283500000000002</v>
      </c>
      <c r="HB182" s="32">
        <f t="shared" si="195"/>
        <v>11.994953964425687</v>
      </c>
    </row>
    <row r="183" spans="1:210" ht="19.2" customHeight="1" x14ac:dyDescent="0.3">
      <c r="A183" s="50">
        <v>175</v>
      </c>
      <c r="B183" s="51" t="s">
        <v>813</v>
      </c>
      <c r="C183" s="51"/>
      <c r="D183" s="52">
        <v>9</v>
      </c>
      <c r="E183" s="52">
        <v>3</v>
      </c>
      <c r="F183" s="63">
        <v>108</v>
      </c>
      <c r="G183" s="54" t="s">
        <v>228</v>
      </c>
      <c r="H183" s="181" t="s">
        <v>173</v>
      </c>
      <c r="I183" s="55">
        <f t="shared" si="172"/>
        <v>613</v>
      </c>
      <c r="J183" s="55">
        <f t="shared" si="152"/>
        <v>5027.2</v>
      </c>
      <c r="K183" s="55">
        <f t="shared" si="153"/>
        <v>0</v>
      </c>
      <c r="L183" s="56">
        <v>5640.2</v>
      </c>
      <c r="M183" s="56">
        <v>5640.2</v>
      </c>
      <c r="N183" s="56">
        <f t="shared" si="173"/>
        <v>613</v>
      </c>
      <c r="O183" s="56">
        <v>0</v>
      </c>
      <c r="P183" s="56">
        <v>0</v>
      </c>
      <c r="Q183" s="55"/>
      <c r="R183" s="55">
        <v>5640.2</v>
      </c>
      <c r="S183" s="55"/>
      <c r="T183" s="55">
        <v>5027.2</v>
      </c>
      <c r="U183" s="152">
        <v>613</v>
      </c>
      <c r="V183" s="57">
        <v>0.17680000000000001</v>
      </c>
      <c r="W183" s="57">
        <v>6.88E-2</v>
      </c>
      <c r="X183" s="153">
        <v>0.28360000000000002</v>
      </c>
      <c r="Y183" s="153">
        <v>7.3700000000000002E-2</v>
      </c>
      <c r="Z183" s="57">
        <v>2.3400000000000001E-2</v>
      </c>
      <c r="AA183" s="57">
        <v>0.23100000000000001</v>
      </c>
      <c r="AB183" s="57">
        <v>0</v>
      </c>
      <c r="AC183" s="153">
        <v>0.63149999999999995</v>
      </c>
      <c r="AD183" s="57">
        <v>0.15140000000000001</v>
      </c>
      <c r="AE183" s="57">
        <v>0</v>
      </c>
      <c r="AF183" s="57">
        <v>1.988</v>
      </c>
      <c r="AG183" s="57">
        <v>0.2301</v>
      </c>
      <c r="AH183" s="57">
        <v>0.248</v>
      </c>
      <c r="AI183" s="57">
        <v>0.11990000000000001</v>
      </c>
      <c r="AJ183" s="57">
        <v>0.1177</v>
      </c>
      <c r="AK183" s="57">
        <v>4.5499999999999999E-2</v>
      </c>
      <c r="AL183" s="57">
        <v>5.8400000000000001E-2</v>
      </c>
      <c r="AM183" s="57">
        <v>0.03</v>
      </c>
      <c r="AN183" s="57">
        <v>0</v>
      </c>
      <c r="AO183" s="57">
        <v>2.1930999999999998</v>
      </c>
      <c r="AP183" s="153">
        <v>1.6395</v>
      </c>
      <c r="AQ183" s="153">
        <v>8.43E-2</v>
      </c>
      <c r="AR183" s="57">
        <v>0.40799999999999997</v>
      </c>
      <c r="AS183" s="57">
        <v>3.6700000000000003E-2</v>
      </c>
      <c r="AT183" s="153">
        <v>6.0000000000000001E-3</v>
      </c>
      <c r="AU183" s="153">
        <v>0.43130000000000002</v>
      </c>
      <c r="AV183" s="153">
        <v>0</v>
      </c>
      <c r="AW183" s="154">
        <v>9.2766999999999999</v>
      </c>
      <c r="AX183" s="58">
        <v>0.46379999999999999</v>
      </c>
      <c r="AY183" s="155">
        <f t="shared" si="154"/>
        <v>0.45960000000000001</v>
      </c>
      <c r="AZ183" s="155">
        <f t="shared" si="155"/>
        <v>4.1999999999999815E-3</v>
      </c>
      <c r="BA183" s="14">
        <v>9.7405000000000008</v>
      </c>
      <c r="BB183" s="59">
        <f>BA183-'[1]Тариф 26 свод без  ПДВ'!AU183</f>
        <v>-4.1999999999990933E-3</v>
      </c>
      <c r="BC183" s="57">
        <v>2.0451000000000001</v>
      </c>
      <c r="BD183" s="57">
        <v>0</v>
      </c>
      <c r="BE183" s="57">
        <v>0.61770000000000003</v>
      </c>
      <c r="BF183" s="156">
        <v>11.939499999999999</v>
      </c>
      <c r="BG183" s="59">
        <v>0.59699999999999998</v>
      </c>
      <c r="BH183" s="59"/>
      <c r="BI183" s="59"/>
      <c r="BJ183" s="14">
        <v>12.536499999999998</v>
      </c>
      <c r="BK183" s="60"/>
      <c r="BL183" s="60">
        <v>4.6048000000000009</v>
      </c>
      <c r="BM183" s="60">
        <v>0.23019999999999999</v>
      </c>
      <c r="BN183" s="14">
        <v>4.8350000000000009</v>
      </c>
      <c r="BO183" s="14"/>
      <c r="BP183" s="157"/>
      <c r="BQ183" s="158">
        <f>BJ183-'[1]Тариф 26 свод без  ПДВ'!BG183</f>
        <v>-3.100000000001657E-3</v>
      </c>
      <c r="BR183" s="77">
        <f>'[1]Тариф 26 свод без  ПДВ'!BG183</f>
        <v>12.5396</v>
      </c>
      <c r="BS183" s="159">
        <f t="shared" si="156"/>
        <v>-3.100000000001657E-3</v>
      </c>
      <c r="BU183" s="77">
        <f>'[1]Тариф 26 свод без  ПДВ'!AU183</f>
        <v>9.7446999999999999</v>
      </c>
      <c r="BV183" s="159">
        <f t="shared" si="157"/>
        <v>-4.1999999999990933E-3</v>
      </c>
      <c r="BX183" s="95">
        <v>4.6497000000000002</v>
      </c>
      <c r="BY183" s="95">
        <v>4.6497000000000002</v>
      </c>
      <c r="BZ183" s="95"/>
      <c r="CA183" s="62">
        <f t="shared" si="158"/>
        <v>2.0948663354625032</v>
      </c>
      <c r="CB183" s="62">
        <f t="shared" si="159"/>
        <v>2.696195453470116</v>
      </c>
      <c r="CI183" s="160">
        <f>'[1]0 СВОД'!AYY198</f>
        <v>68994.77281824821</v>
      </c>
      <c r="CJ183" s="77">
        <f t="shared" si="160"/>
        <v>827937.27381897857</v>
      </c>
      <c r="CM183" s="161">
        <v>180</v>
      </c>
      <c r="CN183" s="183" t="s">
        <v>814</v>
      </c>
      <c r="CO183" s="163">
        <v>9</v>
      </c>
      <c r="CP183" s="163">
        <v>3</v>
      </c>
      <c r="CQ183" s="164" t="s">
        <v>228</v>
      </c>
      <c r="CR183" s="165" t="s">
        <v>173</v>
      </c>
      <c r="CS183" s="166">
        <v>613</v>
      </c>
      <c r="CT183" s="166">
        <v>5026.1000000000004</v>
      </c>
      <c r="CU183" s="167">
        <v>0</v>
      </c>
      <c r="CV183" s="168">
        <v>5639.1</v>
      </c>
      <c r="CW183" s="166">
        <v>5639.1</v>
      </c>
      <c r="CX183" s="167">
        <v>0</v>
      </c>
      <c r="CY183" s="166">
        <v>0</v>
      </c>
      <c r="CZ183" s="166"/>
      <c r="DA183" s="166">
        <v>5639.1</v>
      </c>
      <c r="DB183" s="166"/>
      <c r="DC183" s="166">
        <v>5026.1000000000004</v>
      </c>
      <c r="DD183" s="59">
        <v>0.17380000000000001</v>
      </c>
      <c r="DE183" s="59">
        <v>0.1118</v>
      </c>
      <c r="DF183" s="59">
        <v>0.1865</v>
      </c>
      <c r="DG183" s="59">
        <v>4.3400000000000001E-2</v>
      </c>
      <c r="DH183" s="59">
        <v>8.8000000000000005E-3</v>
      </c>
      <c r="DI183" s="59">
        <v>9.9199999999999997E-2</v>
      </c>
      <c r="DJ183" s="59">
        <v>4.8099999999999997E-2</v>
      </c>
      <c r="DK183" s="59">
        <v>0.3458</v>
      </c>
      <c r="DL183" s="169">
        <v>0</v>
      </c>
      <c r="DM183" s="59">
        <v>9.2200000000000004E-2</v>
      </c>
      <c r="DN183" s="169">
        <v>0</v>
      </c>
      <c r="DO183" s="184">
        <v>1.3952</v>
      </c>
      <c r="DP183" s="171">
        <f t="shared" si="161"/>
        <v>1.988</v>
      </c>
      <c r="DQ183" s="59">
        <v>0.11070000000000001</v>
      </c>
      <c r="DR183" s="59">
        <v>0.14879999999999999</v>
      </c>
      <c r="DS183" s="59">
        <v>3.09E-2</v>
      </c>
      <c r="DT183" s="59">
        <v>5.5500000000000001E-2</v>
      </c>
      <c r="DU183" s="59">
        <v>1.9199999999999998E-2</v>
      </c>
      <c r="DV183" s="59">
        <v>2.0400000000000001E-2</v>
      </c>
      <c r="DW183" s="59">
        <v>7.4999999999999997E-3</v>
      </c>
      <c r="DX183" s="169">
        <v>0</v>
      </c>
      <c r="DY183" s="59">
        <v>1.1478999999999999</v>
      </c>
      <c r="DZ183" s="171">
        <f t="shared" si="162"/>
        <v>1.9105322763306909</v>
      </c>
      <c r="EA183" s="59">
        <v>0.96430000000000005</v>
      </c>
      <c r="EB183" s="171">
        <f t="shared" si="163"/>
        <v>1.7876179612153893</v>
      </c>
      <c r="EC183" s="59">
        <v>0.22070000000000001</v>
      </c>
      <c r="ED183" s="171">
        <f t="shared" si="164"/>
        <v>1.8486633439057543</v>
      </c>
      <c r="EE183" s="59">
        <v>2.81E-2</v>
      </c>
      <c r="EF183" s="59">
        <v>3.8999999999999998E-3</v>
      </c>
      <c r="EG183" s="59">
        <v>0.26319999999999999</v>
      </c>
      <c r="EH183" s="59">
        <v>0</v>
      </c>
      <c r="EI183" s="155">
        <v>0.1381</v>
      </c>
      <c r="EJ183" s="172">
        <v>5.6639999999999997</v>
      </c>
      <c r="EK183" s="173"/>
      <c r="EL183" s="59">
        <v>1.768</v>
      </c>
      <c r="EM183" s="59">
        <v>0.36080000000000001</v>
      </c>
      <c r="EN183" s="59">
        <v>0.19139999999999999</v>
      </c>
      <c r="EO183" s="172">
        <v>7.8460999999999999</v>
      </c>
      <c r="ES183" s="57">
        <f t="shared" si="174"/>
        <v>5.6639999999999997</v>
      </c>
      <c r="ET183" s="57">
        <f t="shared" si="175"/>
        <v>7.8460999999999999</v>
      </c>
      <c r="EU183" s="31"/>
      <c r="EV183" s="61">
        <f t="shared" si="165"/>
        <v>1.7197210451977403</v>
      </c>
      <c r="EW183" s="61">
        <f>BJ183/ET183</f>
        <v>1.597800180981634</v>
      </c>
      <c r="EX183" s="185">
        <v>7.3672000000000004</v>
      </c>
      <c r="EY183" s="174">
        <v>10.435600000000001</v>
      </c>
      <c r="EZ183" s="158">
        <f t="shared" si="166"/>
        <v>9.7405000000000008</v>
      </c>
      <c r="FA183" s="219">
        <f t="shared" si="167"/>
        <v>12.536499999999998</v>
      </c>
      <c r="FB183" s="158">
        <f>BA183-EX183</f>
        <v>2.3733000000000004</v>
      </c>
      <c r="FC183" s="158">
        <f>BJ183-EY183</f>
        <v>2.1008999999999975</v>
      </c>
      <c r="FD183" s="175">
        <f t="shared" si="219"/>
        <v>0.3221440981648388</v>
      </c>
      <c r="FE183" s="175">
        <f t="shared" si="220"/>
        <v>0.16758265863678043</v>
      </c>
      <c r="FF183" s="158"/>
      <c r="FG183" s="174"/>
      <c r="FH183" s="174">
        <f t="shared" si="176"/>
        <v>54938.3681</v>
      </c>
      <c r="FI183" s="174"/>
      <c r="FJ183" s="176">
        <v>1.3007</v>
      </c>
      <c r="FK183" s="176">
        <f t="shared" si="177"/>
        <v>1.3221504153130932</v>
      </c>
      <c r="FL183" s="87">
        <v>1.33</v>
      </c>
      <c r="FM183" s="177">
        <f t="shared" si="178"/>
        <v>1.2013535195350631</v>
      </c>
      <c r="FO183" s="88">
        <f t="shared" si="168"/>
        <v>54938.3681</v>
      </c>
      <c r="FP183" s="79">
        <f t="shared" si="169"/>
        <v>63023.492799999993</v>
      </c>
      <c r="FS183" s="79">
        <f t="shared" si="170"/>
        <v>31946.092799999999</v>
      </c>
      <c r="FT183" s="79">
        <f t="shared" si="171"/>
        <v>39443.913919999999</v>
      </c>
      <c r="FU183" s="79">
        <f t="shared" si="179"/>
        <v>1.7197210451977403</v>
      </c>
      <c r="FV183" s="79">
        <f t="shared" si="179"/>
        <v>1.597800180981634</v>
      </c>
      <c r="FY183" s="79">
        <f t="shared" si="180"/>
        <v>5970.9265000000005</v>
      </c>
      <c r="FZ183" s="79">
        <f t="shared" si="181"/>
        <v>63023.492799999993</v>
      </c>
      <c r="GB183" s="178">
        <f t="shared" si="182"/>
        <v>613</v>
      </c>
      <c r="GC183" s="178">
        <f t="shared" si="183"/>
        <v>5027.2</v>
      </c>
      <c r="GG183" s="14">
        <v>7.6701000000000006</v>
      </c>
      <c r="GH183" s="175">
        <f t="shared" si="184"/>
        <v>1.2699312916389618</v>
      </c>
      <c r="GI183" s="14">
        <v>10.812900000000001</v>
      </c>
      <c r="GJ183" s="175">
        <f t="shared" si="185"/>
        <v>1.1594021955257143</v>
      </c>
      <c r="GK183" s="175">
        <f t="shared" si="150"/>
        <v>0.11052909611324746</v>
      </c>
      <c r="GN183" s="14">
        <v>9.6571999999999978</v>
      </c>
      <c r="GO183" s="175">
        <f t="shared" si="186"/>
        <v>1.2590709377974207</v>
      </c>
      <c r="GP183" s="179">
        <f t="shared" si="187"/>
        <v>1.0086256886053933</v>
      </c>
      <c r="GQ183" s="14">
        <v>12.166699999999997</v>
      </c>
      <c r="GR183" s="175">
        <f t="shared" si="188"/>
        <v>1.1252023046546251</v>
      </c>
      <c r="GS183" s="175">
        <f t="shared" si="189"/>
        <v>1.0303944372755145</v>
      </c>
      <c r="GV183" s="32">
        <f t="shared" si="190"/>
        <v>5970.9265000000005</v>
      </c>
      <c r="GW183" s="32">
        <f t="shared" si="191"/>
        <v>63023.492799999993</v>
      </c>
      <c r="GX183" s="180">
        <f t="shared" si="192"/>
        <v>68994.419299999994</v>
      </c>
      <c r="GZ183" s="32">
        <f t="shared" si="193"/>
        <v>9.7405000000000008</v>
      </c>
      <c r="HA183" s="32">
        <f t="shared" si="194"/>
        <v>12.536499999999998</v>
      </c>
      <c r="HB183" s="32">
        <f t="shared" si="195"/>
        <v>12.232619286550122</v>
      </c>
    </row>
    <row r="184" spans="1:210" ht="19.2" customHeight="1" x14ac:dyDescent="0.3">
      <c r="A184" s="50">
        <v>176</v>
      </c>
      <c r="B184" s="51" t="s">
        <v>815</v>
      </c>
      <c r="C184" s="51"/>
      <c r="D184" s="52">
        <v>5</v>
      </c>
      <c r="E184" s="52">
        <v>8</v>
      </c>
      <c r="F184" s="63">
        <v>120</v>
      </c>
      <c r="G184" s="54" t="s">
        <v>132</v>
      </c>
      <c r="H184" s="181" t="s">
        <v>49</v>
      </c>
      <c r="I184" s="55">
        <f t="shared" si="172"/>
        <v>5960.3</v>
      </c>
      <c r="J184" s="55">
        <f t="shared" si="152"/>
        <v>0</v>
      </c>
      <c r="K184" s="55">
        <f t="shared" si="153"/>
        <v>0</v>
      </c>
      <c r="L184" s="56">
        <v>5960.3</v>
      </c>
      <c r="M184" s="56">
        <v>5960.3</v>
      </c>
      <c r="N184" s="56">
        <f t="shared" si="173"/>
        <v>5960.3</v>
      </c>
      <c r="O184" s="56">
        <v>0</v>
      </c>
      <c r="P184" s="56">
        <v>0</v>
      </c>
      <c r="Q184" s="55"/>
      <c r="R184" s="55">
        <v>5960.3</v>
      </c>
      <c r="S184" s="55"/>
      <c r="T184" s="55">
        <v>0</v>
      </c>
      <c r="U184" s="152">
        <v>5960.3</v>
      </c>
      <c r="V184" s="57">
        <v>0.15049999999999999</v>
      </c>
      <c r="W184" s="153">
        <v>9.1300000000000006E-2</v>
      </c>
      <c r="X184" s="57">
        <v>0.3327</v>
      </c>
      <c r="Y184" s="57">
        <v>7.4999999999999997E-2</v>
      </c>
      <c r="Z184" s="153">
        <v>4.36E-2</v>
      </c>
      <c r="AA184" s="57">
        <v>0.69599999999999995</v>
      </c>
      <c r="AB184" s="153">
        <v>0</v>
      </c>
      <c r="AC184" s="57">
        <v>0.63149999999999995</v>
      </c>
      <c r="AD184" s="57">
        <v>0.15790000000000001</v>
      </c>
      <c r="AE184" s="57">
        <v>0</v>
      </c>
      <c r="AF184" s="57">
        <v>2.2069999999999999</v>
      </c>
      <c r="AG184" s="57">
        <v>0.19969999999999999</v>
      </c>
      <c r="AH184" s="57">
        <v>0.33450000000000002</v>
      </c>
      <c r="AI184" s="153">
        <v>9.1499999999999998E-2</v>
      </c>
      <c r="AJ184" s="153">
        <v>9.9299999999999999E-2</v>
      </c>
      <c r="AK184" s="153">
        <v>8.4699999999999998E-2</v>
      </c>
      <c r="AL184" s="57">
        <v>0.26919999999999999</v>
      </c>
      <c r="AM184" s="153">
        <v>3.2300000000000002E-2</v>
      </c>
      <c r="AN184" s="57">
        <v>0</v>
      </c>
      <c r="AO184" s="153">
        <v>1.8093999999999999</v>
      </c>
      <c r="AP184" s="57">
        <v>1.073</v>
      </c>
      <c r="AQ184" s="57">
        <v>8.3299999999999999E-2</v>
      </c>
      <c r="AR184" s="153">
        <v>0.58960000000000001</v>
      </c>
      <c r="AS184" s="57">
        <v>5.9499999999999997E-2</v>
      </c>
      <c r="AT184" s="57">
        <v>9.7000000000000003E-3</v>
      </c>
      <c r="AU184" s="153">
        <v>0.23880000000000001</v>
      </c>
      <c r="AV184" s="153">
        <v>0</v>
      </c>
      <c r="AW184" s="154">
        <v>9.3600000000000012</v>
      </c>
      <c r="AX184" s="58">
        <v>0.46800000000000003</v>
      </c>
      <c r="AY184" s="155">
        <f t="shared" si="154"/>
        <v>0.46379999999999999</v>
      </c>
      <c r="AZ184" s="155">
        <f t="shared" si="155"/>
        <v>4.200000000000037E-3</v>
      </c>
      <c r="BA184" s="14">
        <v>9.8280000000000012</v>
      </c>
      <c r="BB184" s="59">
        <f>BA184-'[1]Тариф 26 свод без  ПДВ'!AU184</f>
        <v>-9.9999999997990585E-5</v>
      </c>
      <c r="BC184" s="57">
        <v>0</v>
      </c>
      <c r="BD184" s="57">
        <v>0</v>
      </c>
      <c r="BE184" s="57">
        <v>0</v>
      </c>
      <c r="BF184" s="156">
        <v>9.3600000000000012</v>
      </c>
      <c r="BG184" s="59">
        <v>0.46800000000000003</v>
      </c>
      <c r="BH184" s="59"/>
      <c r="BI184" s="59"/>
      <c r="BJ184" s="14">
        <v>9.8280000000000012</v>
      </c>
      <c r="BK184" s="60"/>
      <c r="BL184" s="60">
        <v>5.6492000000000004</v>
      </c>
      <c r="BM184" s="60">
        <v>0.28249999999999997</v>
      </c>
      <c r="BN184" s="14">
        <v>5.9317000000000002</v>
      </c>
      <c r="BO184" s="14"/>
      <c r="BP184" s="157"/>
      <c r="BQ184" s="158">
        <f>BJ184-'[1]Тариф 26 свод без  ПДВ'!BG184</f>
        <v>-9.9999999997990585E-5</v>
      </c>
      <c r="BR184" s="77">
        <f>'[1]Тариф 26 свод без  ПДВ'!BG184</f>
        <v>9.8280999999999992</v>
      </c>
      <c r="BS184" s="159">
        <f t="shared" si="156"/>
        <v>-9.9999999997990585E-5</v>
      </c>
      <c r="BU184" s="77">
        <f>'[1]Тариф 26 свод без  ПДВ'!AU184</f>
        <v>9.8280999999999992</v>
      </c>
      <c r="BV184" s="159">
        <f t="shared" si="157"/>
        <v>-9.9999999997990585E-5</v>
      </c>
      <c r="BX184" s="95">
        <v>4.3087</v>
      </c>
      <c r="BY184" s="95">
        <v>4.3087</v>
      </c>
      <c r="BZ184" s="95"/>
      <c r="CA184" s="62">
        <f t="shared" si="158"/>
        <v>2.2809664167846453</v>
      </c>
      <c r="CB184" s="62">
        <f t="shared" si="159"/>
        <v>2.2809664167846453</v>
      </c>
      <c r="CI184" s="160">
        <f>'[1]0 СВОД'!AYY199</f>
        <v>58578.53790576179</v>
      </c>
      <c r="CJ184" s="77">
        <f t="shared" si="160"/>
        <v>702942.45486914145</v>
      </c>
      <c r="CM184" s="161">
        <v>181</v>
      </c>
      <c r="CN184" s="183" t="s">
        <v>816</v>
      </c>
      <c r="CO184" s="163">
        <v>5</v>
      </c>
      <c r="CP184" s="163">
        <v>8</v>
      </c>
      <c r="CQ184" s="164" t="s">
        <v>132</v>
      </c>
      <c r="CR184" s="165" t="s">
        <v>49</v>
      </c>
      <c r="CS184" s="166">
        <v>5958.1</v>
      </c>
      <c r="CT184" s="166">
        <v>0</v>
      </c>
      <c r="CU184" s="167">
        <v>0</v>
      </c>
      <c r="CV184" s="168">
        <v>5958.1</v>
      </c>
      <c r="CW184" s="166">
        <v>5958.1</v>
      </c>
      <c r="CX184" s="167">
        <v>0</v>
      </c>
      <c r="CY184" s="166">
        <v>0</v>
      </c>
      <c r="CZ184" s="166"/>
      <c r="DA184" s="166">
        <v>5958.1</v>
      </c>
      <c r="DB184" s="166"/>
      <c r="DC184" s="166">
        <v>0</v>
      </c>
      <c r="DD184" s="59">
        <v>0.14799999999999999</v>
      </c>
      <c r="DE184" s="59">
        <v>0.15329999999999999</v>
      </c>
      <c r="DF184" s="59">
        <v>0.21890000000000001</v>
      </c>
      <c r="DG184" s="59">
        <v>4.4200000000000003E-2</v>
      </c>
      <c r="DH184" s="59">
        <v>1.6400000000000001E-2</v>
      </c>
      <c r="DI184" s="59">
        <v>0.30599999999999999</v>
      </c>
      <c r="DJ184" s="59">
        <v>4.8099999999999997E-2</v>
      </c>
      <c r="DK184" s="59">
        <v>0.3458</v>
      </c>
      <c r="DL184" s="169">
        <v>0</v>
      </c>
      <c r="DM184" s="59">
        <v>9.6100000000000005E-2</v>
      </c>
      <c r="DN184" s="169">
        <v>0</v>
      </c>
      <c r="DO184" s="184">
        <v>1.3214999999999999</v>
      </c>
      <c r="DP184" s="171">
        <f t="shared" si="161"/>
        <v>2.2069999999999999</v>
      </c>
      <c r="DQ184" s="59">
        <v>9.6199999999999994E-2</v>
      </c>
      <c r="DR184" s="59">
        <v>0.20019999999999999</v>
      </c>
      <c r="DS184" s="59">
        <v>2.3900000000000001E-2</v>
      </c>
      <c r="DT184" s="59">
        <v>4.6699999999999998E-2</v>
      </c>
      <c r="DU184" s="59">
        <v>3.5799999999999998E-2</v>
      </c>
      <c r="DV184" s="59">
        <v>9.4E-2</v>
      </c>
      <c r="DW184" s="59">
        <v>8.6E-3</v>
      </c>
      <c r="DX184" s="169">
        <v>0</v>
      </c>
      <c r="DY184" s="59">
        <v>0.90159999999999996</v>
      </c>
      <c r="DZ184" s="171">
        <f t="shared" si="162"/>
        <v>2.0068766637089617</v>
      </c>
      <c r="EA184" s="59">
        <v>0.65139999999999998</v>
      </c>
      <c r="EB184" s="171">
        <f t="shared" si="163"/>
        <v>1.7750997850782928</v>
      </c>
      <c r="EC184" s="59">
        <v>0.29549999999999998</v>
      </c>
      <c r="ED184" s="171">
        <f t="shared" si="164"/>
        <v>1.9952622673434857</v>
      </c>
      <c r="EE184" s="59">
        <v>4.5499999999999999E-2</v>
      </c>
      <c r="EF184" s="59">
        <v>6.3E-3</v>
      </c>
      <c r="EG184" s="59">
        <v>0.21</v>
      </c>
      <c r="EH184" s="59">
        <v>0</v>
      </c>
      <c r="EI184" s="208">
        <v>0.13289999999999999</v>
      </c>
      <c r="EJ184" s="172">
        <v>5.4468999999999994</v>
      </c>
      <c r="EK184" s="173"/>
      <c r="EL184" s="169">
        <v>0</v>
      </c>
      <c r="EM184" s="169">
        <v>0</v>
      </c>
      <c r="EN184" s="59"/>
      <c r="EO184" s="172"/>
      <c r="ES184" s="57">
        <f t="shared" si="174"/>
        <v>5.4468999999999994</v>
      </c>
      <c r="ET184" s="57">
        <f t="shared" si="175"/>
        <v>0</v>
      </c>
      <c r="EU184" s="31"/>
      <c r="EV184" s="61">
        <f t="shared" si="165"/>
        <v>1.8043290679101878</v>
      </c>
      <c r="EW184" s="62"/>
      <c r="EX184" s="158">
        <f t="shared" ref="EX184:EX191" si="221">ES184*1.305-BA184</f>
        <v>-2.7197955000000027</v>
      </c>
      <c r="EY184" s="77">
        <f t="shared" ref="EY184:EY190" si="222">ES184*1.344</f>
        <v>7.3206335999999999</v>
      </c>
      <c r="EZ184" s="158">
        <f t="shared" si="166"/>
        <v>9.8280000000000012</v>
      </c>
      <c r="FA184" s="158">
        <f t="shared" si="167"/>
        <v>9.8280000000000012</v>
      </c>
      <c r="FH184" s="174">
        <f t="shared" si="176"/>
        <v>58577.828400000006</v>
      </c>
      <c r="FJ184" s="87">
        <v>1.3344471167085863</v>
      </c>
      <c r="FK184" s="176">
        <f t="shared" si="177"/>
        <v>1.3521173265828363</v>
      </c>
      <c r="FM184" s="87" t="e">
        <f t="shared" si="178"/>
        <v>#DIV/0!</v>
      </c>
      <c r="FO184" s="88">
        <f t="shared" si="168"/>
        <v>58577.828400000006</v>
      </c>
      <c r="FP184" s="79">
        <f t="shared" si="169"/>
        <v>0</v>
      </c>
      <c r="FS184" s="79">
        <f t="shared" si="170"/>
        <v>32465.158069999998</v>
      </c>
      <c r="FT184" s="79">
        <f t="shared" si="171"/>
        <v>0</v>
      </c>
      <c r="FU184" s="79">
        <f t="shared" si="179"/>
        <v>1.8043290679101878</v>
      </c>
      <c r="FV184" s="79" t="e">
        <f t="shared" si="179"/>
        <v>#DIV/0!</v>
      </c>
      <c r="FY184" s="79">
        <f t="shared" si="180"/>
        <v>58577.828400000006</v>
      </c>
      <c r="FZ184" s="79">
        <f t="shared" si="181"/>
        <v>0</v>
      </c>
      <c r="GB184" s="178">
        <f t="shared" si="182"/>
        <v>5960.3</v>
      </c>
      <c r="GC184" s="178">
        <f t="shared" si="183"/>
        <v>0</v>
      </c>
      <c r="GG184" s="14">
        <v>7.738900000000001</v>
      </c>
      <c r="GH184" s="175">
        <f t="shared" si="184"/>
        <v>1.2699479254157569</v>
      </c>
      <c r="GI184" s="14">
        <v>7.738900000000001</v>
      </c>
      <c r="GJ184" s="175">
        <f t="shared" si="185"/>
        <v>1.2699479254157569</v>
      </c>
      <c r="GK184" s="175">
        <f t="shared" si="150"/>
        <v>0</v>
      </c>
      <c r="GN184" s="14">
        <v>10.059699999999999</v>
      </c>
      <c r="GO184" s="175">
        <f t="shared" si="186"/>
        <v>1.2998875809223531</v>
      </c>
      <c r="GP184" s="179">
        <f t="shared" si="187"/>
        <v>0.97696750400111354</v>
      </c>
      <c r="GQ184" s="14">
        <v>10.059699999999999</v>
      </c>
      <c r="GR184" s="175">
        <f t="shared" si="188"/>
        <v>1.2998875809223531</v>
      </c>
      <c r="GS184" s="175">
        <f t="shared" si="189"/>
        <v>0.97696750400111354</v>
      </c>
      <c r="GV184" s="32">
        <f t="shared" si="190"/>
        <v>58577.828400000006</v>
      </c>
      <c r="GW184" s="32">
        <f t="shared" si="191"/>
        <v>0</v>
      </c>
      <c r="GX184" s="180">
        <f t="shared" si="192"/>
        <v>58577.828400000006</v>
      </c>
      <c r="GZ184" s="32">
        <f t="shared" si="193"/>
        <v>9.8280000000000012</v>
      </c>
      <c r="HA184" s="32" t="e">
        <f t="shared" si="194"/>
        <v>#DIV/0!</v>
      </c>
      <c r="HB184" s="32">
        <f t="shared" si="195"/>
        <v>9.8280000000000012</v>
      </c>
    </row>
    <row r="185" spans="1:210" ht="19.2" customHeight="1" x14ac:dyDescent="0.3">
      <c r="A185" s="50">
        <v>177</v>
      </c>
      <c r="B185" s="51" t="s">
        <v>817</v>
      </c>
      <c r="C185" s="51"/>
      <c r="D185" s="52">
        <v>5</v>
      </c>
      <c r="E185" s="52">
        <v>4</v>
      </c>
      <c r="F185" s="63">
        <v>60</v>
      </c>
      <c r="G185" s="54" t="s">
        <v>133</v>
      </c>
      <c r="H185" s="181" t="s">
        <v>49</v>
      </c>
      <c r="I185" s="55">
        <f t="shared" si="172"/>
        <v>2900.4</v>
      </c>
      <c r="J185" s="55">
        <f t="shared" si="152"/>
        <v>0</v>
      </c>
      <c r="K185" s="55">
        <f t="shared" si="153"/>
        <v>0</v>
      </c>
      <c r="L185" s="56">
        <v>2900.4</v>
      </c>
      <c r="M185" s="56">
        <v>2900.4</v>
      </c>
      <c r="N185" s="56">
        <f t="shared" si="173"/>
        <v>2900.4</v>
      </c>
      <c r="O185" s="56">
        <v>0</v>
      </c>
      <c r="P185" s="56">
        <v>0</v>
      </c>
      <c r="Q185" s="55"/>
      <c r="R185" s="55">
        <v>2900.4</v>
      </c>
      <c r="S185" s="55"/>
      <c r="T185" s="55">
        <v>0</v>
      </c>
      <c r="U185" s="152">
        <v>2900.4</v>
      </c>
      <c r="V185" s="57">
        <v>0.1656</v>
      </c>
      <c r="W185" s="153">
        <v>8.7800000000000003E-2</v>
      </c>
      <c r="X185" s="57">
        <v>0.32619999999999999</v>
      </c>
      <c r="Y185" s="57">
        <v>7.4499999999999997E-2</v>
      </c>
      <c r="Z185" s="153">
        <v>3.1E-2</v>
      </c>
      <c r="AA185" s="57">
        <v>0.4743</v>
      </c>
      <c r="AB185" s="153">
        <v>0</v>
      </c>
      <c r="AC185" s="57">
        <v>0.63149999999999995</v>
      </c>
      <c r="AD185" s="57">
        <v>0.1636</v>
      </c>
      <c r="AE185" s="57">
        <v>0</v>
      </c>
      <c r="AF185" s="57">
        <v>2.2536</v>
      </c>
      <c r="AG185" s="57">
        <v>0.22140000000000001</v>
      </c>
      <c r="AH185" s="57">
        <v>0.32019999999999998</v>
      </c>
      <c r="AI185" s="153">
        <v>8.8599999999999998E-2</v>
      </c>
      <c r="AJ185" s="153">
        <v>0.10349999999999999</v>
      </c>
      <c r="AK185" s="153">
        <v>6.0299999999999999E-2</v>
      </c>
      <c r="AL185" s="57">
        <v>0.16350000000000001</v>
      </c>
      <c r="AM185" s="153">
        <v>3.2599999999999997E-2</v>
      </c>
      <c r="AN185" s="57">
        <v>0</v>
      </c>
      <c r="AO185" s="153">
        <v>2.0939999999999999</v>
      </c>
      <c r="AP185" s="57">
        <v>1.1488</v>
      </c>
      <c r="AQ185" s="57">
        <v>9.1200000000000003E-2</v>
      </c>
      <c r="AR185" s="153">
        <v>0.58179999999999998</v>
      </c>
      <c r="AS185" s="57">
        <v>5.5500000000000001E-2</v>
      </c>
      <c r="AT185" s="57">
        <v>8.9999999999999993E-3</v>
      </c>
      <c r="AU185" s="153">
        <v>0.23730000000000001</v>
      </c>
      <c r="AV185" s="153">
        <v>0</v>
      </c>
      <c r="AW185" s="154">
        <v>9.4157999999999991</v>
      </c>
      <c r="AX185" s="58">
        <v>0.4708</v>
      </c>
      <c r="AY185" s="155">
        <f t="shared" si="154"/>
        <v>0.4662</v>
      </c>
      <c r="AZ185" s="155">
        <f t="shared" si="155"/>
        <v>4.599999999999993E-3</v>
      </c>
      <c r="BA185" s="14">
        <v>9.8865999999999996</v>
      </c>
      <c r="BB185" s="59">
        <f>BA185-'[1]Тариф 26 свод без  ПДВ'!AU185</f>
        <v>2.3999999999997357E-3</v>
      </c>
      <c r="BC185" s="57">
        <v>0</v>
      </c>
      <c r="BD185" s="57">
        <v>0</v>
      </c>
      <c r="BE185" s="57">
        <v>0</v>
      </c>
      <c r="BF185" s="156">
        <v>9.4157999999999991</v>
      </c>
      <c r="BG185" s="59">
        <v>0.4708</v>
      </c>
      <c r="BH185" s="59"/>
      <c r="BI185" s="59"/>
      <c r="BJ185" s="14">
        <v>9.8865999999999996</v>
      </c>
      <c r="BK185" s="60"/>
      <c r="BL185" s="60">
        <v>5.3539000000000012</v>
      </c>
      <c r="BM185" s="60">
        <v>0.26769999999999999</v>
      </c>
      <c r="BN185" s="14">
        <v>5.6216000000000008</v>
      </c>
      <c r="BO185" s="14"/>
      <c r="BP185" s="157"/>
      <c r="BQ185" s="158">
        <f>BJ185-'[1]Тариф 26 свод без  ПДВ'!BG185</f>
        <v>2.3999999999997357E-3</v>
      </c>
      <c r="BR185" s="77">
        <f>'[1]Тариф 26 свод без  ПДВ'!BG185</f>
        <v>9.8841999999999999</v>
      </c>
      <c r="BS185" s="159">
        <f t="shared" si="156"/>
        <v>2.3999999999997357E-3</v>
      </c>
      <c r="BU185" s="77">
        <f>'[1]Тариф 26 свод без  ПДВ'!AU185</f>
        <v>9.8841999999999999</v>
      </c>
      <c r="BV185" s="159">
        <f t="shared" si="157"/>
        <v>2.3999999999997357E-3</v>
      </c>
      <c r="BX185" s="95">
        <v>4.3502000000000001</v>
      </c>
      <c r="BY185" s="95">
        <v>4.3502000000000001</v>
      </c>
      <c r="BZ185" s="95"/>
      <c r="CA185" s="182">
        <f t="shared" si="158"/>
        <v>2.2726771182934118</v>
      </c>
      <c r="CB185" s="182">
        <f t="shared" si="159"/>
        <v>2.2726771182934118</v>
      </c>
      <c r="CI185" s="160">
        <f>'[1]0 СВОД'!AYY200</f>
        <v>28675.461497783388</v>
      </c>
      <c r="CJ185" s="77">
        <f t="shared" si="160"/>
        <v>344105.53797340067</v>
      </c>
      <c r="CM185" s="161">
        <v>182</v>
      </c>
      <c r="CN185" s="162" t="s">
        <v>818</v>
      </c>
      <c r="CO185" s="163">
        <v>5</v>
      </c>
      <c r="CP185" s="163">
        <v>4</v>
      </c>
      <c r="CQ185" s="164" t="s">
        <v>133</v>
      </c>
      <c r="CR185" s="165" t="s">
        <v>49</v>
      </c>
      <c r="CS185" s="166">
        <v>2899.5</v>
      </c>
      <c r="CT185" s="166">
        <v>0</v>
      </c>
      <c r="CU185" s="167">
        <v>0</v>
      </c>
      <c r="CV185" s="168">
        <v>2899.5</v>
      </c>
      <c r="CW185" s="166">
        <v>2899.5</v>
      </c>
      <c r="CX185" s="167">
        <v>0</v>
      </c>
      <c r="CY185" s="166">
        <v>0</v>
      </c>
      <c r="CZ185" s="166"/>
      <c r="DA185" s="166">
        <v>2899.5</v>
      </c>
      <c r="DB185" s="166"/>
      <c r="DC185" s="166">
        <v>0</v>
      </c>
      <c r="DD185" s="59">
        <v>0.1623</v>
      </c>
      <c r="DE185" s="59">
        <v>0.1605</v>
      </c>
      <c r="DF185" s="59">
        <v>0.2145</v>
      </c>
      <c r="DG185" s="59">
        <v>4.3900000000000002E-2</v>
      </c>
      <c r="DH185" s="59">
        <v>1.1599999999999999E-2</v>
      </c>
      <c r="DI185" s="59">
        <v>0.2064</v>
      </c>
      <c r="DJ185" s="59">
        <v>4.8099999999999997E-2</v>
      </c>
      <c r="DK185" s="59">
        <v>0.3458</v>
      </c>
      <c r="DL185" s="169">
        <v>0</v>
      </c>
      <c r="DM185" s="59">
        <v>9.9599999999999994E-2</v>
      </c>
      <c r="DN185" s="169">
        <v>0</v>
      </c>
      <c r="DO185" s="170">
        <v>1.3498999999999999</v>
      </c>
      <c r="DP185" s="171">
        <f t="shared" si="161"/>
        <v>2.2536</v>
      </c>
      <c r="DQ185" s="59">
        <v>0.1067</v>
      </c>
      <c r="DR185" s="59">
        <v>0.20960000000000001</v>
      </c>
      <c r="DS185" s="59">
        <v>2.3099999999999999E-2</v>
      </c>
      <c r="DT185" s="59">
        <v>4.87E-2</v>
      </c>
      <c r="DU185" s="59">
        <v>2.5399999999999999E-2</v>
      </c>
      <c r="DV185" s="59">
        <v>5.7000000000000002E-2</v>
      </c>
      <c r="DW185" s="59">
        <v>8.6999999999999994E-3</v>
      </c>
      <c r="DX185" s="169">
        <v>0</v>
      </c>
      <c r="DY185" s="59">
        <v>1.0406</v>
      </c>
      <c r="DZ185" s="171">
        <f t="shared" si="162"/>
        <v>2.0123005958101094</v>
      </c>
      <c r="EA185" s="59">
        <v>0.69289999999999996</v>
      </c>
      <c r="EB185" s="171">
        <f t="shared" si="163"/>
        <v>1.7895800259777748</v>
      </c>
      <c r="EC185" s="59">
        <v>0.30159999999999998</v>
      </c>
      <c r="ED185" s="171">
        <f t="shared" si="164"/>
        <v>1.9290450928381964</v>
      </c>
      <c r="EE185" s="59">
        <v>4.2500000000000003E-2</v>
      </c>
      <c r="EF185" s="59">
        <v>5.8999999999999999E-3</v>
      </c>
      <c r="EG185" s="59">
        <v>0.21640000000000001</v>
      </c>
      <c r="EH185" s="59">
        <v>0</v>
      </c>
      <c r="EI185" s="208">
        <v>0.13550000000000001</v>
      </c>
      <c r="EJ185" s="172">
        <v>5.5571999999999999</v>
      </c>
      <c r="EK185" s="173"/>
      <c r="EL185" s="169">
        <v>0</v>
      </c>
      <c r="EM185" s="169">
        <v>0</v>
      </c>
      <c r="EN185" s="59"/>
      <c r="EO185" s="172"/>
      <c r="ES185" s="57">
        <f t="shared" si="174"/>
        <v>5.5571999999999999</v>
      </c>
      <c r="ET185" s="57">
        <f t="shared" si="175"/>
        <v>0</v>
      </c>
      <c r="EU185" s="31"/>
      <c r="EV185" s="61">
        <f t="shared" si="165"/>
        <v>1.7790613978262433</v>
      </c>
      <c r="EW185" s="62"/>
      <c r="EX185" s="158">
        <f t="shared" si="221"/>
        <v>-2.6344539999999999</v>
      </c>
      <c r="EY185" s="77">
        <f t="shared" si="222"/>
        <v>7.4688768000000003</v>
      </c>
      <c r="EZ185" s="158">
        <f t="shared" si="166"/>
        <v>9.8865999999999996</v>
      </c>
      <c r="FA185" s="158">
        <f t="shared" si="167"/>
        <v>9.8865999999999996</v>
      </c>
      <c r="FH185" s="174">
        <f t="shared" si="176"/>
        <v>28675.094639999999</v>
      </c>
      <c r="FJ185" s="87">
        <v>1.3699344993881808</v>
      </c>
      <c r="FK185" s="176">
        <f t="shared" si="177"/>
        <v>1.2986470510968082</v>
      </c>
      <c r="FM185" s="87" t="e">
        <f t="shared" si="178"/>
        <v>#DIV/0!</v>
      </c>
      <c r="FO185" s="88">
        <f t="shared" si="168"/>
        <v>28675.094639999999</v>
      </c>
      <c r="FP185" s="79">
        <f t="shared" si="169"/>
        <v>0</v>
      </c>
      <c r="FS185" s="79">
        <f t="shared" si="170"/>
        <v>16118.10288</v>
      </c>
      <c r="FT185" s="79">
        <f t="shared" si="171"/>
        <v>0</v>
      </c>
      <c r="FU185" s="79">
        <f t="shared" si="179"/>
        <v>1.7790613978262433</v>
      </c>
      <c r="FV185" s="79" t="e">
        <f t="shared" si="179"/>
        <v>#DIV/0!</v>
      </c>
      <c r="FY185" s="79">
        <f t="shared" si="180"/>
        <v>28675.094639999999</v>
      </c>
      <c r="FZ185" s="79">
        <f t="shared" si="181"/>
        <v>0</v>
      </c>
      <c r="GB185" s="178">
        <f t="shared" si="182"/>
        <v>2900.4</v>
      </c>
      <c r="GC185" s="178">
        <f t="shared" si="183"/>
        <v>0</v>
      </c>
      <c r="GG185" s="14">
        <v>7.7853000000000012</v>
      </c>
      <c r="GH185" s="175">
        <f t="shared" si="184"/>
        <v>1.2699061050955003</v>
      </c>
      <c r="GI185" s="14">
        <v>7.7853000000000012</v>
      </c>
      <c r="GJ185" s="175">
        <f t="shared" si="185"/>
        <v>1.2699061050955003</v>
      </c>
      <c r="GK185" s="175">
        <f t="shared" si="150"/>
        <v>0</v>
      </c>
      <c r="GN185" s="14">
        <v>10.103999999999999</v>
      </c>
      <c r="GO185" s="175">
        <f t="shared" si="186"/>
        <v>1.2978305267619741</v>
      </c>
      <c r="GP185" s="179">
        <f t="shared" si="187"/>
        <v>0.97848376880443388</v>
      </c>
      <c r="GQ185" s="14">
        <v>10.103999999999999</v>
      </c>
      <c r="GR185" s="175">
        <f t="shared" si="188"/>
        <v>1.2978305267619741</v>
      </c>
      <c r="GS185" s="175">
        <f t="shared" si="189"/>
        <v>0.97848376880443388</v>
      </c>
      <c r="GV185" s="32">
        <f t="shared" si="190"/>
        <v>28675.094639999999</v>
      </c>
      <c r="GW185" s="32">
        <f t="shared" si="191"/>
        <v>0</v>
      </c>
      <c r="GX185" s="180">
        <f t="shared" si="192"/>
        <v>28675.094639999999</v>
      </c>
      <c r="GZ185" s="32">
        <f t="shared" si="193"/>
        <v>9.8865999999999996</v>
      </c>
      <c r="HA185" s="32" t="e">
        <f t="shared" si="194"/>
        <v>#DIV/0!</v>
      </c>
      <c r="HB185" s="32">
        <f t="shared" si="195"/>
        <v>9.8865999999999996</v>
      </c>
    </row>
    <row r="186" spans="1:210" ht="19.2" customHeight="1" x14ac:dyDescent="0.3">
      <c r="A186" s="50">
        <v>178</v>
      </c>
      <c r="B186" s="51" t="s">
        <v>819</v>
      </c>
      <c r="C186" s="51"/>
      <c r="D186" s="52">
        <v>5</v>
      </c>
      <c r="E186" s="52">
        <v>4</v>
      </c>
      <c r="F186" s="63">
        <v>60</v>
      </c>
      <c r="G186" s="54" t="s">
        <v>134</v>
      </c>
      <c r="H186" s="181" t="s">
        <v>49</v>
      </c>
      <c r="I186" s="55">
        <f t="shared" si="172"/>
        <v>2908</v>
      </c>
      <c r="J186" s="55">
        <f t="shared" si="152"/>
        <v>0</v>
      </c>
      <c r="K186" s="55">
        <f t="shared" si="153"/>
        <v>0</v>
      </c>
      <c r="L186" s="56">
        <v>2908</v>
      </c>
      <c r="M186" s="56">
        <v>2908</v>
      </c>
      <c r="N186" s="56">
        <f t="shared" si="173"/>
        <v>2908</v>
      </c>
      <c r="O186" s="56">
        <v>0</v>
      </c>
      <c r="P186" s="56">
        <v>0</v>
      </c>
      <c r="Q186" s="55"/>
      <c r="R186" s="55">
        <v>2908</v>
      </c>
      <c r="S186" s="55"/>
      <c r="T186" s="55">
        <v>0</v>
      </c>
      <c r="U186" s="152">
        <v>2908</v>
      </c>
      <c r="V186" s="57">
        <v>0.1651</v>
      </c>
      <c r="W186" s="153">
        <v>8.7599999999999997E-2</v>
      </c>
      <c r="X186" s="57">
        <v>0.32850000000000001</v>
      </c>
      <c r="Y186" s="57">
        <v>7.3899999999999993E-2</v>
      </c>
      <c r="Z186" s="153">
        <v>3.09E-2</v>
      </c>
      <c r="AA186" s="57">
        <v>0.47299999999999998</v>
      </c>
      <c r="AB186" s="153">
        <v>0</v>
      </c>
      <c r="AC186" s="57">
        <v>0.63149999999999995</v>
      </c>
      <c r="AD186" s="57">
        <v>0.16320000000000001</v>
      </c>
      <c r="AE186" s="57">
        <v>0</v>
      </c>
      <c r="AF186" s="57">
        <v>1.3754</v>
      </c>
      <c r="AG186" s="57">
        <v>0.2185</v>
      </c>
      <c r="AH186" s="57">
        <v>0.31059999999999999</v>
      </c>
      <c r="AI186" s="153">
        <v>8.8200000000000001E-2</v>
      </c>
      <c r="AJ186" s="153">
        <v>0.1016</v>
      </c>
      <c r="AK186" s="153">
        <v>6.0100000000000001E-2</v>
      </c>
      <c r="AL186" s="57">
        <v>0.16309999999999999</v>
      </c>
      <c r="AM186" s="153">
        <v>3.2599999999999997E-2</v>
      </c>
      <c r="AN186" s="57">
        <v>0</v>
      </c>
      <c r="AO186" s="153">
        <v>3.1564000000000001</v>
      </c>
      <c r="AP186" s="57">
        <v>1.1033999999999999</v>
      </c>
      <c r="AQ186" s="57">
        <v>8.2699999999999996E-2</v>
      </c>
      <c r="AR186" s="153">
        <v>0.54459999999999997</v>
      </c>
      <c r="AS186" s="57">
        <v>5.5800000000000002E-2</v>
      </c>
      <c r="AT186" s="57">
        <v>9.1000000000000004E-3</v>
      </c>
      <c r="AU186" s="153">
        <v>0.42720000000000002</v>
      </c>
      <c r="AV186" s="153">
        <v>0</v>
      </c>
      <c r="AW186" s="154">
        <v>9.6829999999999998</v>
      </c>
      <c r="AX186" s="58">
        <v>0.48420000000000002</v>
      </c>
      <c r="AY186" s="155">
        <f t="shared" si="154"/>
        <v>0.48</v>
      </c>
      <c r="AZ186" s="155">
        <f t="shared" si="155"/>
        <v>4.200000000000037E-3</v>
      </c>
      <c r="BA186" s="14">
        <v>10.167199999999999</v>
      </c>
      <c r="BB186" s="59">
        <f>BA186-'[1]Тариф 26 свод без  ПДВ'!AU186</f>
        <v>3.8999999999997925E-3</v>
      </c>
      <c r="BC186" s="57">
        <v>0</v>
      </c>
      <c r="BD186" s="57">
        <v>0</v>
      </c>
      <c r="BE186" s="57">
        <v>0</v>
      </c>
      <c r="BF186" s="156">
        <v>9.6829999999999998</v>
      </c>
      <c r="BG186" s="59">
        <v>0.48420000000000002</v>
      </c>
      <c r="BH186" s="59"/>
      <c r="BI186" s="59"/>
      <c r="BJ186" s="14">
        <v>10.167199999999999</v>
      </c>
      <c r="BK186" s="60"/>
      <c r="BL186" s="60">
        <v>4.4514000000000014</v>
      </c>
      <c r="BM186" s="60">
        <v>0.22259999999999999</v>
      </c>
      <c r="BN186" s="14">
        <v>4.6740000000000013</v>
      </c>
      <c r="BO186" s="14"/>
      <c r="BP186" s="157"/>
      <c r="BQ186" s="158">
        <f>BJ186-'[1]Тариф 26 свод без  ПДВ'!BG186</f>
        <v>3.8999999999997925E-3</v>
      </c>
      <c r="BR186" s="77">
        <f>'[1]Тариф 26 свод без  ПДВ'!BG186</f>
        <v>10.1633</v>
      </c>
      <c r="BS186" s="159">
        <f t="shared" si="156"/>
        <v>3.8999999999997925E-3</v>
      </c>
      <c r="BU186" s="77">
        <f>'[1]Тариф 26 свод без  ПДВ'!AU186</f>
        <v>10.1633</v>
      </c>
      <c r="BV186" s="159">
        <f t="shared" si="157"/>
        <v>3.8999999999997925E-3</v>
      </c>
      <c r="BX186" s="95">
        <v>4.3338000000000001</v>
      </c>
      <c r="BY186" s="95">
        <v>4.3338000000000001</v>
      </c>
      <c r="BZ186" s="95"/>
      <c r="CA186" s="182">
        <f t="shared" si="158"/>
        <v>2.3460242743089204</v>
      </c>
      <c r="CB186" s="182">
        <f t="shared" si="159"/>
        <v>2.3460242743089204</v>
      </c>
      <c r="CI186" s="160">
        <f>'[1]0 СВОД'!AYY201</f>
        <v>29566.118818286683</v>
      </c>
      <c r="CJ186" s="77">
        <f t="shared" si="160"/>
        <v>354793.42581944016</v>
      </c>
      <c r="CM186" s="161">
        <v>183</v>
      </c>
      <c r="CN186" s="162" t="s">
        <v>820</v>
      </c>
      <c r="CO186" s="163">
        <v>5</v>
      </c>
      <c r="CP186" s="163">
        <v>4</v>
      </c>
      <c r="CQ186" s="164" t="s">
        <v>134</v>
      </c>
      <c r="CR186" s="165" t="s">
        <v>49</v>
      </c>
      <c r="CS186" s="166">
        <v>2907.1</v>
      </c>
      <c r="CT186" s="166">
        <v>0</v>
      </c>
      <c r="CU186" s="167">
        <v>0</v>
      </c>
      <c r="CV186" s="168">
        <v>2907.1</v>
      </c>
      <c r="CW186" s="166">
        <v>2907.1</v>
      </c>
      <c r="CX186" s="167">
        <v>0</v>
      </c>
      <c r="CY186" s="166">
        <v>0</v>
      </c>
      <c r="CZ186" s="166"/>
      <c r="DA186" s="166">
        <v>2907.1</v>
      </c>
      <c r="DB186" s="166"/>
      <c r="DC186" s="166">
        <v>0</v>
      </c>
      <c r="DD186" s="59">
        <v>0.1618</v>
      </c>
      <c r="DE186" s="59">
        <v>0.1424</v>
      </c>
      <c r="DF186" s="59">
        <v>0.216</v>
      </c>
      <c r="DG186" s="59">
        <v>4.3499999999999997E-2</v>
      </c>
      <c r="DH186" s="59">
        <v>1.1599999999999999E-2</v>
      </c>
      <c r="DI186" s="59">
        <v>0.2059</v>
      </c>
      <c r="DJ186" s="59">
        <v>4.8099999999999997E-2</v>
      </c>
      <c r="DK186" s="59">
        <v>0.3458</v>
      </c>
      <c r="DL186" s="169">
        <v>0</v>
      </c>
      <c r="DM186" s="59">
        <v>9.9299999999999999E-2</v>
      </c>
      <c r="DN186" s="169">
        <v>0</v>
      </c>
      <c r="DO186" s="170">
        <v>0.89799999999999991</v>
      </c>
      <c r="DP186" s="171">
        <f t="shared" si="161"/>
        <v>1.3754</v>
      </c>
      <c r="DQ186" s="59">
        <v>0.1052</v>
      </c>
      <c r="DR186" s="59">
        <v>0.18590000000000001</v>
      </c>
      <c r="DS186" s="59">
        <v>2.3E-2</v>
      </c>
      <c r="DT186" s="59">
        <v>4.7800000000000002E-2</v>
      </c>
      <c r="DU186" s="59">
        <v>2.5399999999999999E-2</v>
      </c>
      <c r="DV186" s="59">
        <v>5.6800000000000003E-2</v>
      </c>
      <c r="DW186" s="59">
        <v>8.6999999999999994E-3</v>
      </c>
      <c r="DX186" s="169">
        <v>0</v>
      </c>
      <c r="DY186" s="170">
        <v>1.6626999999999998</v>
      </c>
      <c r="DZ186" s="171">
        <f t="shared" si="162"/>
        <v>1.898358092259578</v>
      </c>
      <c r="EA186" s="59">
        <v>0.66600000000000004</v>
      </c>
      <c r="EB186" s="171">
        <f t="shared" si="163"/>
        <v>1.7809309309309307</v>
      </c>
      <c r="EC186" s="59">
        <v>0.28139999999999998</v>
      </c>
      <c r="ED186" s="171">
        <f t="shared" si="164"/>
        <v>1.9353233830845771</v>
      </c>
      <c r="EE186" s="59">
        <v>4.2700000000000002E-2</v>
      </c>
      <c r="EF186" s="59">
        <v>5.8999999999999999E-3</v>
      </c>
      <c r="EG186" s="59">
        <v>0.21920000000000001</v>
      </c>
      <c r="EH186" s="59">
        <v>0</v>
      </c>
      <c r="EI186" s="208">
        <v>0.1376</v>
      </c>
      <c r="EJ186" s="172">
        <v>5.6406999999999989</v>
      </c>
      <c r="EK186" s="173"/>
      <c r="EL186" s="169">
        <v>0</v>
      </c>
      <c r="EM186" s="169">
        <v>0</v>
      </c>
      <c r="EN186" s="59"/>
      <c r="EO186" s="172"/>
      <c r="ES186" s="57">
        <f t="shared" si="174"/>
        <v>5.6406999999999989</v>
      </c>
      <c r="ET186" s="57">
        <f t="shared" si="175"/>
        <v>0</v>
      </c>
      <c r="EU186" s="31"/>
      <c r="EV186" s="61">
        <f t="shared" si="165"/>
        <v>1.8024713244810044</v>
      </c>
      <c r="EW186" s="62"/>
      <c r="EX186" s="158">
        <f t="shared" si="221"/>
        <v>-2.806086500000001</v>
      </c>
      <c r="EY186" s="77">
        <f t="shared" si="222"/>
        <v>7.5811007999999989</v>
      </c>
      <c r="EZ186" s="158">
        <f t="shared" si="166"/>
        <v>10.167199999999999</v>
      </c>
      <c r="FA186" s="158">
        <f t="shared" si="167"/>
        <v>10.167199999999999</v>
      </c>
      <c r="FH186" s="174">
        <f t="shared" si="176"/>
        <v>29566.217599999996</v>
      </c>
      <c r="FJ186" s="87">
        <v>1.3928235857251763</v>
      </c>
      <c r="FK186" s="176">
        <f t="shared" si="177"/>
        <v>1.2941131547126583</v>
      </c>
      <c r="FM186" s="87" t="e">
        <f t="shared" si="178"/>
        <v>#DIV/0!</v>
      </c>
      <c r="FO186" s="88">
        <f t="shared" si="168"/>
        <v>29566.217599999996</v>
      </c>
      <c r="FP186" s="79">
        <f t="shared" si="169"/>
        <v>0</v>
      </c>
      <c r="FS186" s="79">
        <f t="shared" si="170"/>
        <v>16403.155599999998</v>
      </c>
      <c r="FT186" s="79">
        <f t="shared" si="171"/>
        <v>0</v>
      </c>
      <c r="FU186" s="79">
        <f t="shared" si="179"/>
        <v>1.802471324481004</v>
      </c>
      <c r="FV186" s="79" t="e">
        <f t="shared" si="179"/>
        <v>#DIV/0!</v>
      </c>
      <c r="FY186" s="79">
        <f t="shared" si="180"/>
        <v>29566.217599999996</v>
      </c>
      <c r="FZ186" s="79">
        <f t="shared" si="181"/>
        <v>0</v>
      </c>
      <c r="GB186" s="178">
        <f t="shared" si="182"/>
        <v>2908</v>
      </c>
      <c r="GC186" s="178">
        <f t="shared" si="183"/>
        <v>0</v>
      </c>
      <c r="GG186" s="14">
        <v>8.0061000000000018</v>
      </c>
      <c r="GH186" s="175">
        <f t="shared" si="184"/>
        <v>1.2699316770962137</v>
      </c>
      <c r="GI186" s="14">
        <v>8.0061000000000018</v>
      </c>
      <c r="GJ186" s="175">
        <f t="shared" si="185"/>
        <v>1.2699316770962137</v>
      </c>
      <c r="GK186" s="175">
        <f t="shared" si="150"/>
        <v>0</v>
      </c>
      <c r="GN186" s="14">
        <v>10.400399999999999</v>
      </c>
      <c r="GO186" s="175">
        <f t="shared" si="186"/>
        <v>1.2990594671562929</v>
      </c>
      <c r="GP186" s="179">
        <f t="shared" si="187"/>
        <v>0.97757778546978957</v>
      </c>
      <c r="GQ186" s="14">
        <v>10.400399999999999</v>
      </c>
      <c r="GR186" s="175">
        <f t="shared" si="188"/>
        <v>1.2990594671562929</v>
      </c>
      <c r="GS186" s="175">
        <f t="shared" si="189"/>
        <v>0.97757778546978957</v>
      </c>
      <c r="GV186" s="32">
        <f t="shared" si="190"/>
        <v>29566.217599999996</v>
      </c>
      <c r="GW186" s="32">
        <f t="shared" si="191"/>
        <v>0</v>
      </c>
      <c r="GX186" s="180">
        <f t="shared" si="192"/>
        <v>29566.217599999996</v>
      </c>
      <c r="GZ186" s="32">
        <f t="shared" si="193"/>
        <v>10.167199999999999</v>
      </c>
      <c r="HA186" s="32" t="e">
        <f t="shared" si="194"/>
        <v>#DIV/0!</v>
      </c>
      <c r="HB186" s="32">
        <f t="shared" si="195"/>
        <v>10.167199999999999</v>
      </c>
    </row>
    <row r="187" spans="1:210" ht="19.2" customHeight="1" x14ac:dyDescent="0.3">
      <c r="A187" s="50">
        <v>179</v>
      </c>
      <c r="B187" s="51" t="s">
        <v>821</v>
      </c>
      <c r="C187" s="51"/>
      <c r="D187" s="52">
        <v>5</v>
      </c>
      <c r="E187" s="52">
        <v>4</v>
      </c>
      <c r="F187" s="63">
        <v>60</v>
      </c>
      <c r="G187" s="54" t="s">
        <v>135</v>
      </c>
      <c r="H187" s="181" t="s">
        <v>49</v>
      </c>
      <c r="I187" s="55">
        <f t="shared" si="172"/>
        <v>2877.2</v>
      </c>
      <c r="J187" s="55">
        <f t="shared" si="152"/>
        <v>0</v>
      </c>
      <c r="K187" s="55">
        <f t="shared" si="153"/>
        <v>0</v>
      </c>
      <c r="L187" s="56">
        <v>2877.2</v>
      </c>
      <c r="M187" s="56">
        <v>2877.2</v>
      </c>
      <c r="N187" s="56">
        <f t="shared" si="173"/>
        <v>2877.2</v>
      </c>
      <c r="O187" s="56">
        <v>0</v>
      </c>
      <c r="P187" s="56">
        <v>0</v>
      </c>
      <c r="Q187" s="55"/>
      <c r="R187" s="55">
        <v>2877.2</v>
      </c>
      <c r="S187" s="55"/>
      <c r="T187" s="55">
        <v>0</v>
      </c>
      <c r="U187" s="152">
        <v>2877.2</v>
      </c>
      <c r="V187" s="57">
        <v>0.16089999999999999</v>
      </c>
      <c r="W187" s="153">
        <v>8.8499999999999995E-2</v>
      </c>
      <c r="X187" s="57">
        <v>0.32540000000000002</v>
      </c>
      <c r="Y187" s="57">
        <v>7.4300000000000005E-2</v>
      </c>
      <c r="Z187" s="153">
        <v>2.7799999999999998E-2</v>
      </c>
      <c r="AA187" s="57">
        <v>0.47810000000000002</v>
      </c>
      <c r="AB187" s="153">
        <v>0</v>
      </c>
      <c r="AC187" s="57">
        <v>0.63149999999999995</v>
      </c>
      <c r="AD187" s="57">
        <v>0.16489999999999999</v>
      </c>
      <c r="AE187" s="57">
        <v>0</v>
      </c>
      <c r="AF187" s="57">
        <v>1.7894000000000001</v>
      </c>
      <c r="AG187" s="57">
        <v>0.2135</v>
      </c>
      <c r="AH187" s="57">
        <v>0.314</v>
      </c>
      <c r="AI187" s="153">
        <v>8.8400000000000006E-2</v>
      </c>
      <c r="AJ187" s="153">
        <v>0.1021</v>
      </c>
      <c r="AK187" s="153">
        <v>5.3999999999999999E-2</v>
      </c>
      <c r="AL187" s="57">
        <v>0.1648</v>
      </c>
      <c r="AM187" s="153">
        <v>3.2800000000000003E-2</v>
      </c>
      <c r="AN187" s="57">
        <v>0</v>
      </c>
      <c r="AO187" s="153">
        <v>2.5211000000000001</v>
      </c>
      <c r="AP187" s="57">
        <v>1.1024</v>
      </c>
      <c r="AQ187" s="57">
        <v>8.7300000000000003E-2</v>
      </c>
      <c r="AR187" s="153">
        <v>0.59470000000000001</v>
      </c>
      <c r="AS187" s="57">
        <v>5.5800000000000002E-2</v>
      </c>
      <c r="AT187" s="57">
        <v>9.1000000000000004E-3</v>
      </c>
      <c r="AU187" s="153">
        <v>0.33460000000000001</v>
      </c>
      <c r="AV187" s="153">
        <v>0</v>
      </c>
      <c r="AW187" s="154">
        <v>9.4154</v>
      </c>
      <c r="AX187" s="58">
        <v>0.4708</v>
      </c>
      <c r="AY187" s="155">
        <f t="shared" si="154"/>
        <v>0.46639999999999998</v>
      </c>
      <c r="AZ187" s="155">
        <f t="shared" si="155"/>
        <v>4.400000000000015E-3</v>
      </c>
      <c r="BA187" s="14">
        <v>9.8862000000000005</v>
      </c>
      <c r="BB187" s="59">
        <f>BA187-'[1]Тариф 26 свод без  ПДВ'!AU187</f>
        <v>2.9000000000003467E-3</v>
      </c>
      <c r="BC187" s="57">
        <v>0</v>
      </c>
      <c r="BD187" s="57">
        <v>0</v>
      </c>
      <c r="BE187" s="57">
        <v>0</v>
      </c>
      <c r="BF187" s="156">
        <v>9.4154</v>
      </c>
      <c r="BG187" s="59">
        <v>0.4708</v>
      </c>
      <c r="BH187" s="59"/>
      <c r="BI187" s="59"/>
      <c r="BJ187" s="14">
        <v>9.8862000000000005</v>
      </c>
      <c r="BK187" s="60"/>
      <c r="BL187" s="60">
        <v>4.8626000000000005</v>
      </c>
      <c r="BM187" s="60">
        <v>0.24310000000000001</v>
      </c>
      <c r="BN187" s="14">
        <v>5.1057000000000006</v>
      </c>
      <c r="BO187" s="14"/>
      <c r="BP187" s="157"/>
      <c r="BQ187" s="158">
        <f>BJ187-'[1]Тариф 26 свод без  ПДВ'!BG187</f>
        <v>2.9000000000003467E-3</v>
      </c>
      <c r="BR187" s="77">
        <f>'[1]Тариф 26 свод без  ПДВ'!BG187</f>
        <v>9.8833000000000002</v>
      </c>
      <c r="BS187" s="159">
        <f t="shared" si="156"/>
        <v>2.9000000000003467E-3</v>
      </c>
      <c r="BU187" s="77">
        <f>'[1]Тариф 26 свод без  ПДВ'!AU187</f>
        <v>9.8833000000000002</v>
      </c>
      <c r="BV187" s="159">
        <f t="shared" si="157"/>
        <v>2.9000000000003467E-3</v>
      </c>
      <c r="BX187" s="95">
        <v>4.3992000000000004</v>
      </c>
      <c r="BY187" s="95">
        <v>6.0821000000000005</v>
      </c>
      <c r="BZ187" s="95"/>
      <c r="CA187" s="182">
        <f t="shared" si="158"/>
        <v>2.2472722313147844</v>
      </c>
      <c r="CB187" s="182">
        <f t="shared" si="159"/>
        <v>1.625458312096151</v>
      </c>
      <c r="CD187" s="160">
        <f>L187-CE187</f>
        <v>2877.2</v>
      </c>
      <c r="CE187" s="160">
        <f>T187</f>
        <v>0</v>
      </c>
      <c r="CF187" s="77">
        <f>CD187*BA187</f>
        <v>28444.574639999999</v>
      </c>
      <c r="CG187" s="77">
        <f>BJ187*CE187</f>
        <v>0</v>
      </c>
      <c r="CI187" s="160">
        <f>'[1]0 СВОД'!AYY202</f>
        <v>28444.410375803938</v>
      </c>
      <c r="CJ187" s="77">
        <f t="shared" si="160"/>
        <v>341332.92450964724</v>
      </c>
      <c r="CM187" s="161">
        <v>184</v>
      </c>
      <c r="CN187" s="162" t="s">
        <v>822</v>
      </c>
      <c r="CO187" s="163">
        <v>5</v>
      </c>
      <c r="CP187" s="163">
        <v>4</v>
      </c>
      <c r="CQ187" s="164" t="s">
        <v>135</v>
      </c>
      <c r="CR187" s="165" t="s">
        <v>49</v>
      </c>
      <c r="CS187" s="166">
        <v>2876.4</v>
      </c>
      <c r="CT187" s="166">
        <v>0</v>
      </c>
      <c r="CU187" s="167">
        <v>0</v>
      </c>
      <c r="CV187" s="168">
        <v>2876.4</v>
      </c>
      <c r="CW187" s="166">
        <v>2876.4</v>
      </c>
      <c r="CX187" s="167">
        <v>0</v>
      </c>
      <c r="CY187" s="166">
        <v>0</v>
      </c>
      <c r="CZ187" s="166"/>
      <c r="DA187" s="166">
        <v>2876.4</v>
      </c>
      <c r="DB187" s="166"/>
      <c r="DC187" s="166">
        <v>0</v>
      </c>
      <c r="DD187" s="59">
        <v>0.15790000000000001</v>
      </c>
      <c r="DE187" s="59">
        <v>0.1439</v>
      </c>
      <c r="DF187" s="59">
        <v>0.214</v>
      </c>
      <c r="DG187" s="59">
        <v>4.3700000000000003E-2</v>
      </c>
      <c r="DH187" s="59">
        <v>1.04E-2</v>
      </c>
      <c r="DI187" s="59">
        <v>0.20810000000000001</v>
      </c>
      <c r="DJ187" s="59">
        <v>4.8099999999999997E-2</v>
      </c>
      <c r="DK187" s="59">
        <v>0.3458</v>
      </c>
      <c r="DL187" s="169">
        <v>0</v>
      </c>
      <c r="DM187" s="59">
        <v>0.1004</v>
      </c>
      <c r="DN187" s="169">
        <v>0</v>
      </c>
      <c r="DO187" s="170">
        <v>1.1167999999999998</v>
      </c>
      <c r="DP187" s="171">
        <f t="shared" si="161"/>
        <v>1.7894000000000001</v>
      </c>
      <c r="DQ187" s="59">
        <v>0.1028</v>
      </c>
      <c r="DR187" s="59">
        <v>0.18790000000000001</v>
      </c>
      <c r="DS187" s="59">
        <v>2.3E-2</v>
      </c>
      <c r="DT187" s="59">
        <v>4.8000000000000001E-2</v>
      </c>
      <c r="DU187" s="59">
        <v>2.2800000000000001E-2</v>
      </c>
      <c r="DV187" s="59">
        <v>5.74E-2</v>
      </c>
      <c r="DW187" s="59">
        <v>8.8000000000000005E-3</v>
      </c>
      <c r="DX187" s="169">
        <v>0</v>
      </c>
      <c r="DY187" s="59">
        <v>1.2497</v>
      </c>
      <c r="DZ187" s="171">
        <f t="shared" si="162"/>
        <v>2.0173641674001761</v>
      </c>
      <c r="EA187" s="59">
        <v>0.66700000000000004</v>
      </c>
      <c r="EB187" s="171">
        <f t="shared" si="163"/>
        <v>1.7836581709145427</v>
      </c>
      <c r="EC187" s="59">
        <v>0.29749999999999999</v>
      </c>
      <c r="ED187" s="171">
        <f t="shared" si="164"/>
        <v>1.9989915966386556</v>
      </c>
      <c r="EE187" s="59">
        <v>4.2700000000000002E-2</v>
      </c>
      <c r="EF187" s="59">
        <v>5.8999999999999999E-3</v>
      </c>
      <c r="EG187" s="59">
        <v>0.2054</v>
      </c>
      <c r="EH187" s="59">
        <v>0</v>
      </c>
      <c r="EI187" s="208">
        <v>0.13270000000000001</v>
      </c>
      <c r="EJ187" s="172">
        <v>5.4406999999999996</v>
      </c>
      <c r="EK187" s="173"/>
      <c r="EL187" s="169">
        <v>0</v>
      </c>
      <c r="EM187" s="169">
        <v>0</v>
      </c>
      <c r="EN187" s="59"/>
      <c r="EO187" s="172"/>
      <c r="ES187" s="57">
        <f t="shared" si="174"/>
        <v>5.4406999999999996</v>
      </c>
      <c r="ET187" s="57">
        <f t="shared" si="175"/>
        <v>0</v>
      </c>
      <c r="EU187" s="31"/>
      <c r="EV187" s="61">
        <f t="shared" si="165"/>
        <v>1.8170823607256421</v>
      </c>
      <c r="EW187" s="62"/>
      <c r="EX187" s="158">
        <f t="shared" si="221"/>
        <v>-2.7860865000000015</v>
      </c>
      <c r="EY187" s="77">
        <f t="shared" si="222"/>
        <v>7.3123008</v>
      </c>
      <c r="EZ187" s="158">
        <f t="shared" si="166"/>
        <v>9.8862000000000005</v>
      </c>
      <c r="FA187" s="158">
        <f t="shared" si="167"/>
        <v>9.8862000000000005</v>
      </c>
      <c r="FH187" s="174">
        <f t="shared" si="176"/>
        <v>28444.574639999999</v>
      </c>
      <c r="FJ187" s="87">
        <v>1.4066572316062271</v>
      </c>
      <c r="FK187" s="176">
        <f t="shared" si="177"/>
        <v>1.291773375842785</v>
      </c>
      <c r="FM187" s="87" t="e">
        <f t="shared" si="178"/>
        <v>#DIV/0!</v>
      </c>
      <c r="FO187" s="88">
        <f t="shared" si="168"/>
        <v>28444.574639999999</v>
      </c>
      <c r="FP187" s="79">
        <f t="shared" si="169"/>
        <v>0</v>
      </c>
      <c r="FS187" s="79">
        <f t="shared" si="170"/>
        <v>15653.982039999997</v>
      </c>
      <c r="FT187" s="79">
        <f t="shared" si="171"/>
        <v>0</v>
      </c>
      <c r="FU187" s="79">
        <f t="shared" si="179"/>
        <v>1.8170823607256421</v>
      </c>
      <c r="FV187" s="79" t="e">
        <f t="shared" si="179"/>
        <v>#DIV/0!</v>
      </c>
      <c r="FY187" s="79">
        <f t="shared" si="180"/>
        <v>28444.574639999999</v>
      </c>
      <c r="FZ187" s="79">
        <f t="shared" si="181"/>
        <v>0</v>
      </c>
      <c r="GB187" s="178">
        <f t="shared" si="182"/>
        <v>2877.2</v>
      </c>
      <c r="GC187" s="178">
        <f t="shared" si="183"/>
        <v>0</v>
      </c>
      <c r="GG187" s="14">
        <v>7.7849000000000004</v>
      </c>
      <c r="GH187" s="175">
        <f t="shared" si="184"/>
        <v>1.2699199732816093</v>
      </c>
      <c r="GI187" s="14">
        <v>7.7849000000000004</v>
      </c>
      <c r="GJ187" s="175">
        <f t="shared" si="185"/>
        <v>1.2699199732816093</v>
      </c>
      <c r="GK187" s="175">
        <f t="shared" si="150"/>
        <v>0</v>
      </c>
      <c r="GN187" s="14">
        <v>10.072699999999999</v>
      </c>
      <c r="GO187" s="175">
        <f t="shared" si="186"/>
        <v>1.2938766072781922</v>
      </c>
      <c r="GP187" s="179">
        <f t="shared" si="187"/>
        <v>0.98148460690778061</v>
      </c>
      <c r="GQ187" s="14">
        <v>10.072699999999999</v>
      </c>
      <c r="GR187" s="175">
        <f t="shared" si="188"/>
        <v>1.2938766072781922</v>
      </c>
      <c r="GS187" s="175">
        <f t="shared" si="189"/>
        <v>0.98148460690778061</v>
      </c>
      <c r="GV187" s="32">
        <f t="shared" si="190"/>
        <v>28444.574639999999</v>
      </c>
      <c r="GW187" s="32">
        <f t="shared" si="191"/>
        <v>0</v>
      </c>
      <c r="GX187" s="180">
        <f t="shared" si="192"/>
        <v>28444.574639999999</v>
      </c>
      <c r="GZ187" s="32">
        <f t="shared" si="193"/>
        <v>9.8862000000000005</v>
      </c>
      <c r="HA187" s="32" t="e">
        <f t="shared" si="194"/>
        <v>#DIV/0!</v>
      </c>
      <c r="HB187" s="32">
        <f t="shared" si="195"/>
        <v>9.8862000000000005</v>
      </c>
    </row>
    <row r="188" spans="1:210" ht="19.2" customHeight="1" x14ac:dyDescent="0.3">
      <c r="A188" s="50">
        <v>180</v>
      </c>
      <c r="B188" s="51" t="s">
        <v>823</v>
      </c>
      <c r="C188" s="51"/>
      <c r="D188" s="52">
        <v>5</v>
      </c>
      <c r="E188" s="52">
        <v>4</v>
      </c>
      <c r="F188" s="63">
        <v>60</v>
      </c>
      <c r="G188" s="54" t="s">
        <v>136</v>
      </c>
      <c r="H188" s="181" t="s">
        <v>49</v>
      </c>
      <c r="I188" s="55">
        <f t="shared" si="172"/>
        <v>2873.7</v>
      </c>
      <c r="J188" s="55">
        <f t="shared" si="152"/>
        <v>0</v>
      </c>
      <c r="K188" s="55">
        <f t="shared" si="153"/>
        <v>0</v>
      </c>
      <c r="L188" s="56">
        <v>2873.7</v>
      </c>
      <c r="M188" s="56">
        <v>2873.7</v>
      </c>
      <c r="N188" s="56">
        <f t="shared" si="173"/>
        <v>2873.7</v>
      </c>
      <c r="O188" s="56">
        <v>0</v>
      </c>
      <c r="P188" s="56">
        <v>0</v>
      </c>
      <c r="Q188" s="55"/>
      <c r="R188" s="55">
        <v>2873.7</v>
      </c>
      <c r="S188" s="55"/>
      <c r="T188" s="55">
        <v>0</v>
      </c>
      <c r="U188" s="152">
        <v>2873.7</v>
      </c>
      <c r="V188" s="57">
        <v>0.16109999999999999</v>
      </c>
      <c r="W188" s="153">
        <v>8.8599999999999998E-2</v>
      </c>
      <c r="X188" s="57">
        <v>0.32579999999999998</v>
      </c>
      <c r="Y188" s="57">
        <v>7.4099999999999999E-2</v>
      </c>
      <c r="Z188" s="153">
        <v>2.7799999999999998E-2</v>
      </c>
      <c r="AA188" s="57">
        <v>0.47870000000000001</v>
      </c>
      <c r="AB188" s="153">
        <v>0</v>
      </c>
      <c r="AC188" s="57">
        <v>0.63149999999999995</v>
      </c>
      <c r="AD188" s="57">
        <v>0.1651</v>
      </c>
      <c r="AE188" s="57">
        <v>0</v>
      </c>
      <c r="AF188" s="57">
        <v>1.5673999999999999</v>
      </c>
      <c r="AG188" s="57">
        <v>0.21199999999999999</v>
      </c>
      <c r="AH188" s="57">
        <v>0.31440000000000001</v>
      </c>
      <c r="AI188" s="153">
        <v>8.8499999999999995E-2</v>
      </c>
      <c r="AJ188" s="153">
        <v>0.1011</v>
      </c>
      <c r="AK188" s="153">
        <v>5.4100000000000002E-2</v>
      </c>
      <c r="AL188" s="57">
        <v>0.16500000000000001</v>
      </c>
      <c r="AM188" s="153">
        <v>3.2800000000000003E-2</v>
      </c>
      <c r="AN188" s="57">
        <v>0</v>
      </c>
      <c r="AO188" s="153">
        <v>2.8805999999999998</v>
      </c>
      <c r="AP188" s="57">
        <v>1.1021000000000001</v>
      </c>
      <c r="AQ188" s="57">
        <v>8.7900000000000006E-2</v>
      </c>
      <c r="AR188" s="153">
        <v>0.61380000000000001</v>
      </c>
      <c r="AS188" s="57">
        <v>5.6099999999999997E-2</v>
      </c>
      <c r="AT188" s="57">
        <v>9.1000000000000004E-3</v>
      </c>
      <c r="AU188" s="153">
        <v>0.17829999999999999</v>
      </c>
      <c r="AV188" s="153">
        <v>0</v>
      </c>
      <c r="AW188" s="154">
        <v>9.4158999999999988</v>
      </c>
      <c r="AX188" s="58">
        <v>0.4708</v>
      </c>
      <c r="AY188" s="155">
        <f t="shared" si="154"/>
        <v>0.46639999999999998</v>
      </c>
      <c r="AZ188" s="155">
        <f t="shared" si="155"/>
        <v>4.400000000000015E-3</v>
      </c>
      <c r="BA188" s="14">
        <v>9.8866999999999994</v>
      </c>
      <c r="BB188" s="59">
        <f>BA188-'[1]Тариф 26 свод без  ПДВ'!AU188</f>
        <v>2.7999999999988034E-3</v>
      </c>
      <c r="BC188" s="57">
        <v>0</v>
      </c>
      <c r="BD188" s="57">
        <v>0</v>
      </c>
      <c r="BE188" s="57">
        <v>0</v>
      </c>
      <c r="BF188" s="156">
        <v>9.4158999999999988</v>
      </c>
      <c r="BG188" s="59">
        <v>0.4708</v>
      </c>
      <c r="BH188" s="59"/>
      <c r="BI188" s="59"/>
      <c r="BJ188" s="14">
        <v>9.8866999999999994</v>
      </c>
      <c r="BK188" s="60"/>
      <c r="BL188" s="60">
        <v>4.6410999999999998</v>
      </c>
      <c r="BM188" s="60">
        <v>0.2321</v>
      </c>
      <c r="BN188" s="14">
        <v>4.8731999999999998</v>
      </c>
      <c r="BO188" s="14"/>
      <c r="BP188" s="157"/>
      <c r="BQ188" s="158">
        <f>BJ188-'[1]Тариф 26 свод без  ПДВ'!BG188</f>
        <v>2.7999999999988034E-3</v>
      </c>
      <c r="BR188" s="77">
        <f>'[1]Тариф 26 свод без  ПДВ'!BG188</f>
        <v>9.8839000000000006</v>
      </c>
      <c r="BS188" s="159">
        <f t="shared" si="156"/>
        <v>2.7999999999988034E-3</v>
      </c>
      <c r="BU188" s="77">
        <f>'[1]Тариф 26 свод без  ПДВ'!AU188</f>
        <v>9.8839000000000006</v>
      </c>
      <c r="BV188" s="159">
        <f t="shared" si="157"/>
        <v>2.7999999999988034E-3</v>
      </c>
      <c r="BX188" s="95">
        <v>4.5239000000000003</v>
      </c>
      <c r="BY188" s="95">
        <v>6.3512000000000004</v>
      </c>
      <c r="BZ188" s="95"/>
      <c r="CA188" s="182">
        <f t="shared" si="158"/>
        <v>2.185437343884701</v>
      </c>
      <c r="CB188" s="182">
        <f t="shared" si="159"/>
        <v>1.5566664567325859</v>
      </c>
      <c r="CD188" s="160">
        <f>L188-CE188</f>
        <v>2873.7</v>
      </c>
      <c r="CE188" s="160">
        <f>T188</f>
        <v>0</v>
      </c>
      <c r="CF188" s="77">
        <f>CD188*BA188</f>
        <v>28411.409789999998</v>
      </c>
      <c r="CG188" s="77">
        <f>BJ188*CE188</f>
        <v>0</v>
      </c>
      <c r="CI188" s="160">
        <f>'[1]0 СВОД'!AYY203</f>
        <v>28411.002178244944</v>
      </c>
      <c r="CJ188" s="77">
        <f t="shared" si="160"/>
        <v>340932.02613893931</v>
      </c>
      <c r="CM188" s="161">
        <v>185</v>
      </c>
      <c r="CN188" s="162" t="s">
        <v>824</v>
      </c>
      <c r="CO188" s="163">
        <v>5</v>
      </c>
      <c r="CP188" s="163">
        <v>4</v>
      </c>
      <c r="CQ188" s="164" t="s">
        <v>136</v>
      </c>
      <c r="CR188" s="165" t="s">
        <v>49</v>
      </c>
      <c r="CS188" s="166">
        <v>2873.7</v>
      </c>
      <c r="CT188" s="166">
        <v>0</v>
      </c>
      <c r="CU188" s="167">
        <v>0</v>
      </c>
      <c r="CV188" s="168">
        <v>2873.7</v>
      </c>
      <c r="CW188" s="166">
        <v>2873.7</v>
      </c>
      <c r="CX188" s="167">
        <v>0</v>
      </c>
      <c r="CY188" s="166">
        <v>0</v>
      </c>
      <c r="CZ188" s="166"/>
      <c r="DA188" s="166">
        <v>2873.7</v>
      </c>
      <c r="DB188" s="166"/>
      <c r="DC188" s="166">
        <v>0</v>
      </c>
      <c r="DD188" s="59">
        <v>0.15690000000000001</v>
      </c>
      <c r="DE188" s="59">
        <v>0.14399999999999999</v>
      </c>
      <c r="DF188" s="59">
        <v>0.2142</v>
      </c>
      <c r="DG188" s="59">
        <v>4.36E-2</v>
      </c>
      <c r="DH188" s="59">
        <v>1.04E-2</v>
      </c>
      <c r="DI188" s="59">
        <v>0.2082</v>
      </c>
      <c r="DJ188" s="59">
        <v>4.8099999999999997E-2</v>
      </c>
      <c r="DK188" s="59">
        <v>0.3458</v>
      </c>
      <c r="DL188" s="169">
        <v>0</v>
      </c>
      <c r="DM188" s="59">
        <v>0.10050000000000001</v>
      </c>
      <c r="DN188" s="169">
        <v>0</v>
      </c>
      <c r="DO188" s="170">
        <v>1.1419999999999999</v>
      </c>
      <c r="DP188" s="171">
        <f t="shared" si="161"/>
        <v>1.5673999999999999</v>
      </c>
      <c r="DQ188" s="59">
        <v>0.1021</v>
      </c>
      <c r="DR188" s="59">
        <v>0.18809999999999999</v>
      </c>
      <c r="DS188" s="59">
        <v>2.3099999999999999E-2</v>
      </c>
      <c r="DT188" s="59">
        <v>4.7600000000000003E-2</v>
      </c>
      <c r="DU188" s="59">
        <v>2.2800000000000001E-2</v>
      </c>
      <c r="DV188" s="59">
        <v>5.7500000000000002E-2</v>
      </c>
      <c r="DW188" s="59">
        <v>8.8000000000000005E-3</v>
      </c>
      <c r="DX188" s="169">
        <v>0</v>
      </c>
      <c r="DY188" s="170">
        <v>1.4037999999999999</v>
      </c>
      <c r="DZ188" s="171">
        <f t="shared" si="162"/>
        <v>2.0520017096452485</v>
      </c>
      <c r="EA188" s="59">
        <v>0.66700000000000004</v>
      </c>
      <c r="EB188" s="171">
        <f t="shared" si="163"/>
        <v>1.7841079460269866</v>
      </c>
      <c r="EC188" s="59">
        <v>0.30730000000000002</v>
      </c>
      <c r="ED188" s="171">
        <f t="shared" si="164"/>
        <v>1.997396680767979</v>
      </c>
      <c r="EE188" s="59">
        <v>4.2900000000000001E-2</v>
      </c>
      <c r="EF188" s="59">
        <v>6.0000000000000001E-3</v>
      </c>
      <c r="EG188" s="59">
        <v>0.1346</v>
      </c>
      <c r="EH188" s="59">
        <v>0</v>
      </c>
      <c r="EI188" s="208">
        <v>0.1356</v>
      </c>
      <c r="EJ188" s="172">
        <v>5.5609000000000002</v>
      </c>
      <c r="EK188" s="173"/>
      <c r="EL188" s="169">
        <v>0</v>
      </c>
      <c r="EM188" s="169">
        <v>0</v>
      </c>
      <c r="EN188" s="59"/>
      <c r="EO188" s="172"/>
      <c r="ES188" s="57">
        <f t="shared" si="174"/>
        <v>5.5609000000000002</v>
      </c>
      <c r="ET188" s="57">
        <f t="shared" si="175"/>
        <v>0</v>
      </c>
      <c r="EU188" s="31"/>
      <c r="EV188" s="61">
        <f t="shared" si="165"/>
        <v>1.777895664370875</v>
      </c>
      <c r="EW188" s="62"/>
      <c r="EX188" s="158">
        <f t="shared" si="221"/>
        <v>-2.6297254999999993</v>
      </c>
      <c r="EY188" s="77">
        <f t="shared" si="222"/>
        <v>7.4738496000000003</v>
      </c>
      <c r="EZ188" s="158">
        <f t="shared" si="166"/>
        <v>9.8866999999999994</v>
      </c>
      <c r="FA188" s="158">
        <f t="shared" si="167"/>
        <v>9.8866999999999994</v>
      </c>
      <c r="FH188" s="174">
        <f t="shared" si="176"/>
        <v>28411.409789999998</v>
      </c>
      <c r="FJ188" s="87">
        <v>1.3975615457929469</v>
      </c>
      <c r="FK188" s="176">
        <f t="shared" si="177"/>
        <v>1.2721412303614397</v>
      </c>
      <c r="FM188" s="87" t="e">
        <f t="shared" si="178"/>
        <v>#DIV/0!</v>
      </c>
      <c r="FO188" s="88">
        <f t="shared" si="168"/>
        <v>28411.409789999998</v>
      </c>
      <c r="FP188" s="79">
        <f t="shared" si="169"/>
        <v>0</v>
      </c>
      <c r="FS188" s="79">
        <f t="shared" si="170"/>
        <v>15980.358329999999</v>
      </c>
      <c r="FT188" s="79">
        <f t="shared" si="171"/>
        <v>0</v>
      </c>
      <c r="FU188" s="79">
        <f t="shared" si="179"/>
        <v>1.7778956643708752</v>
      </c>
      <c r="FV188" s="79" t="e">
        <f t="shared" si="179"/>
        <v>#DIV/0!</v>
      </c>
      <c r="FY188" s="79">
        <f t="shared" si="180"/>
        <v>28411.409789999998</v>
      </c>
      <c r="FZ188" s="79">
        <f t="shared" si="181"/>
        <v>0</v>
      </c>
      <c r="GB188" s="178">
        <f t="shared" si="182"/>
        <v>2873.7</v>
      </c>
      <c r="GC188" s="178">
        <f t="shared" si="183"/>
        <v>0</v>
      </c>
      <c r="GG188" s="14">
        <v>7.7853000000000012</v>
      </c>
      <c r="GH188" s="175">
        <f t="shared" si="184"/>
        <v>1.269918949815678</v>
      </c>
      <c r="GI188" s="14">
        <v>7.7853000000000012</v>
      </c>
      <c r="GJ188" s="175">
        <f t="shared" si="185"/>
        <v>1.269918949815678</v>
      </c>
      <c r="GK188" s="175">
        <f t="shared" ref="GK188:GK200" si="223">GH188-GJ188</f>
        <v>0</v>
      </c>
      <c r="GN188" s="14">
        <v>10.255599999999998</v>
      </c>
      <c r="GO188" s="175">
        <f t="shared" si="186"/>
        <v>1.3173031225514746</v>
      </c>
      <c r="GP188" s="179">
        <f t="shared" si="187"/>
        <v>0.96402940832325767</v>
      </c>
      <c r="GQ188" s="14">
        <v>10.255599999999998</v>
      </c>
      <c r="GR188" s="175">
        <f t="shared" si="188"/>
        <v>1.3173031225514746</v>
      </c>
      <c r="GS188" s="175">
        <f t="shared" si="189"/>
        <v>0.96402940832325767</v>
      </c>
      <c r="GV188" s="32">
        <f t="shared" si="190"/>
        <v>28411.409789999998</v>
      </c>
      <c r="GW188" s="32">
        <f t="shared" si="191"/>
        <v>0</v>
      </c>
      <c r="GX188" s="180">
        <f t="shared" si="192"/>
        <v>28411.409789999998</v>
      </c>
      <c r="GZ188" s="32">
        <f t="shared" si="193"/>
        <v>9.8866999999999994</v>
      </c>
      <c r="HA188" s="32" t="e">
        <f t="shared" si="194"/>
        <v>#DIV/0!</v>
      </c>
      <c r="HB188" s="32">
        <f t="shared" si="195"/>
        <v>9.8866999999999994</v>
      </c>
    </row>
    <row r="189" spans="1:210" ht="19.2" customHeight="1" x14ac:dyDescent="0.3">
      <c r="A189" s="50">
        <v>181</v>
      </c>
      <c r="B189" s="51" t="s">
        <v>825</v>
      </c>
      <c r="C189" s="51"/>
      <c r="D189" s="52">
        <v>5</v>
      </c>
      <c r="E189" s="52">
        <v>2</v>
      </c>
      <c r="F189" s="63">
        <v>40</v>
      </c>
      <c r="G189" s="54" t="s">
        <v>137</v>
      </c>
      <c r="H189" s="181" t="s">
        <v>49</v>
      </c>
      <c r="I189" s="55">
        <f t="shared" si="172"/>
        <v>1891.3</v>
      </c>
      <c r="J189" s="55">
        <f t="shared" si="152"/>
        <v>0</v>
      </c>
      <c r="K189" s="55">
        <f t="shared" si="153"/>
        <v>0</v>
      </c>
      <c r="L189" s="56">
        <v>1891.3</v>
      </c>
      <c r="M189" s="56">
        <v>1891.3</v>
      </c>
      <c r="N189" s="56">
        <f t="shared" si="173"/>
        <v>1891.3</v>
      </c>
      <c r="O189" s="56">
        <v>0</v>
      </c>
      <c r="P189" s="56">
        <v>0</v>
      </c>
      <c r="Q189" s="55"/>
      <c r="R189" s="55">
        <v>1891.3</v>
      </c>
      <c r="S189" s="55"/>
      <c r="T189" s="55">
        <v>0</v>
      </c>
      <c r="U189" s="152">
        <v>1891.3</v>
      </c>
      <c r="V189" s="57">
        <v>0.1744</v>
      </c>
      <c r="W189" s="153">
        <v>9.6100000000000005E-2</v>
      </c>
      <c r="X189" s="57">
        <v>0.32390000000000002</v>
      </c>
      <c r="Y189" s="57">
        <v>7.17E-2</v>
      </c>
      <c r="Z189" s="153">
        <v>2.3800000000000002E-2</v>
      </c>
      <c r="AA189" s="57">
        <v>0.31740000000000002</v>
      </c>
      <c r="AB189" s="153">
        <v>0</v>
      </c>
      <c r="AC189" s="57">
        <v>0.63149999999999995</v>
      </c>
      <c r="AD189" s="57">
        <v>0.16719999999999999</v>
      </c>
      <c r="AE189" s="57">
        <v>0</v>
      </c>
      <c r="AF189" s="57">
        <v>2.2031999999999998</v>
      </c>
      <c r="AG189" s="57">
        <v>0.23319999999999999</v>
      </c>
      <c r="AH189" s="57">
        <v>0.36249999999999999</v>
      </c>
      <c r="AI189" s="153">
        <v>8.9200000000000002E-2</v>
      </c>
      <c r="AJ189" s="153">
        <v>8.8700000000000001E-2</v>
      </c>
      <c r="AK189" s="153">
        <v>4.6199999999999998E-2</v>
      </c>
      <c r="AL189" s="57">
        <v>0.10879999999999999</v>
      </c>
      <c r="AM189" s="153">
        <v>3.2399999999999998E-2</v>
      </c>
      <c r="AN189" s="57">
        <v>0</v>
      </c>
      <c r="AO189" s="153">
        <v>2.5701000000000001</v>
      </c>
      <c r="AP189" s="57">
        <v>0.82879999999999998</v>
      </c>
      <c r="AQ189" s="57">
        <v>8.77E-2</v>
      </c>
      <c r="AR189" s="153">
        <v>0.53120000000000001</v>
      </c>
      <c r="AS189" s="57">
        <v>5.21E-2</v>
      </c>
      <c r="AT189" s="57">
        <v>8.5000000000000006E-3</v>
      </c>
      <c r="AU189" s="153">
        <v>0.23810000000000001</v>
      </c>
      <c r="AV189" s="153">
        <v>0</v>
      </c>
      <c r="AW189" s="154">
        <v>9.286699999999998</v>
      </c>
      <c r="AX189" s="58">
        <v>0.46429999999999999</v>
      </c>
      <c r="AY189" s="155">
        <f t="shared" si="154"/>
        <v>0.46</v>
      </c>
      <c r="AZ189" s="155">
        <f t="shared" si="155"/>
        <v>4.2999999999999705E-3</v>
      </c>
      <c r="BA189" s="14">
        <v>9.7509999999999977</v>
      </c>
      <c r="BB189" s="59">
        <f>BA189-'[1]Тариф 26 свод без  ПДВ'!AU189</f>
        <v>-3.9000000000015689E-3</v>
      </c>
      <c r="BC189" s="57">
        <v>0</v>
      </c>
      <c r="BD189" s="57">
        <v>0</v>
      </c>
      <c r="BE189" s="57">
        <v>0</v>
      </c>
      <c r="BF189" s="156">
        <v>9.286699999999998</v>
      </c>
      <c r="BG189" s="59">
        <v>0.46429999999999999</v>
      </c>
      <c r="BH189" s="59"/>
      <c r="BI189" s="59"/>
      <c r="BJ189" s="14">
        <v>9.7509999999999977</v>
      </c>
      <c r="BK189" s="60"/>
      <c r="BL189" s="60">
        <v>5.1184999999999983</v>
      </c>
      <c r="BM189" s="60">
        <v>0.25590000000000002</v>
      </c>
      <c r="BN189" s="14">
        <v>5.3743999999999978</v>
      </c>
      <c r="BO189" s="14"/>
      <c r="BP189" s="157"/>
      <c r="BQ189" s="158">
        <f>BJ189-'[1]Тариф 26 свод без  ПДВ'!BG189</f>
        <v>-3.9000000000015689E-3</v>
      </c>
      <c r="BR189" s="77">
        <f>'[1]Тариф 26 свод без  ПДВ'!BG189</f>
        <v>9.7548999999999992</v>
      </c>
      <c r="BS189" s="159">
        <f t="shared" si="156"/>
        <v>-3.9000000000015689E-3</v>
      </c>
      <c r="BU189" s="77">
        <f>'[1]Тариф 26 свод без  ПДВ'!AU189</f>
        <v>9.7548999999999992</v>
      </c>
      <c r="BV189" s="159">
        <f t="shared" si="157"/>
        <v>-3.9000000000015689E-3</v>
      </c>
      <c r="BX189" s="95">
        <v>4.3572999999999995</v>
      </c>
      <c r="BY189" s="95">
        <v>4.3572999999999995</v>
      </c>
      <c r="BZ189" s="95"/>
      <c r="CA189" s="182">
        <f t="shared" si="158"/>
        <v>2.2378537167511987</v>
      </c>
      <c r="CB189" s="182">
        <f t="shared" si="159"/>
        <v>2.2378537167511987</v>
      </c>
      <c r="CI189" s="160">
        <f>'[1]0 СВОД'!AYY204</f>
        <v>18442.451702795013</v>
      </c>
      <c r="CJ189" s="77">
        <f t="shared" si="160"/>
        <v>221309.42043354016</v>
      </c>
      <c r="CM189" s="161">
        <v>186</v>
      </c>
      <c r="CN189" s="162" t="s">
        <v>826</v>
      </c>
      <c r="CO189" s="163">
        <v>5</v>
      </c>
      <c r="CP189" s="163">
        <v>2</v>
      </c>
      <c r="CQ189" s="164" t="s">
        <v>137</v>
      </c>
      <c r="CR189" s="165" t="s">
        <v>49</v>
      </c>
      <c r="CS189" s="166">
        <v>1883.2</v>
      </c>
      <c r="CT189" s="166">
        <v>0</v>
      </c>
      <c r="CU189" s="167">
        <v>0</v>
      </c>
      <c r="CV189" s="168">
        <v>1883.2</v>
      </c>
      <c r="CW189" s="166">
        <v>1883.2</v>
      </c>
      <c r="CX189" s="167">
        <v>0</v>
      </c>
      <c r="CY189" s="166">
        <v>0</v>
      </c>
      <c r="CZ189" s="166"/>
      <c r="DA189" s="166">
        <v>1883.2</v>
      </c>
      <c r="DB189" s="166"/>
      <c r="DC189" s="166">
        <v>0</v>
      </c>
      <c r="DD189" s="59">
        <v>0.1716</v>
      </c>
      <c r="DE189" s="59">
        <v>0.1668</v>
      </c>
      <c r="DF189" s="59">
        <v>0.2137</v>
      </c>
      <c r="DG189" s="59">
        <v>4.24E-2</v>
      </c>
      <c r="DH189" s="59">
        <v>8.9999999999999993E-3</v>
      </c>
      <c r="DI189" s="59">
        <v>0.1358</v>
      </c>
      <c r="DJ189" s="59">
        <v>4.8099999999999997E-2</v>
      </c>
      <c r="DK189" s="59">
        <v>0.3458</v>
      </c>
      <c r="DL189" s="169">
        <v>0</v>
      </c>
      <c r="DM189" s="59">
        <v>0.1022</v>
      </c>
      <c r="DN189" s="169">
        <v>0</v>
      </c>
      <c r="DO189" s="170">
        <v>1.2484000000000002</v>
      </c>
      <c r="DP189" s="171">
        <f t="shared" si="161"/>
        <v>2.2031999999999998</v>
      </c>
      <c r="DQ189" s="59">
        <v>0.1128</v>
      </c>
      <c r="DR189" s="59">
        <v>0.21779999999999999</v>
      </c>
      <c r="DS189" s="59">
        <v>2.3300000000000001E-2</v>
      </c>
      <c r="DT189" s="59">
        <v>4.19E-2</v>
      </c>
      <c r="DU189" s="59">
        <v>1.9599999999999999E-2</v>
      </c>
      <c r="DV189" s="59">
        <v>3.78E-2</v>
      </c>
      <c r="DW189" s="59">
        <v>8.6999999999999994E-3</v>
      </c>
      <c r="DX189" s="169">
        <v>0</v>
      </c>
      <c r="DY189" s="59">
        <v>1.2681</v>
      </c>
      <c r="DZ189" s="171">
        <f t="shared" si="162"/>
        <v>2.0267329074994085</v>
      </c>
      <c r="EA189" s="59">
        <v>0.51380000000000003</v>
      </c>
      <c r="EB189" s="171">
        <f t="shared" si="163"/>
        <v>1.7837680031140519</v>
      </c>
      <c r="EC189" s="59">
        <v>0.27579999999999999</v>
      </c>
      <c r="ED189" s="171">
        <f t="shared" si="164"/>
        <v>1.9260333575054389</v>
      </c>
      <c r="EE189" s="59">
        <v>4.0099999999999997E-2</v>
      </c>
      <c r="EF189" s="59">
        <v>5.5999999999999999E-3</v>
      </c>
      <c r="EG189" s="59">
        <v>0.1993</v>
      </c>
      <c r="EH189" s="59">
        <v>0</v>
      </c>
      <c r="EI189" s="208">
        <v>0.13120000000000001</v>
      </c>
      <c r="EJ189" s="172">
        <v>5.3796000000000008</v>
      </c>
      <c r="EK189" s="173"/>
      <c r="EL189" s="169">
        <v>0</v>
      </c>
      <c r="EM189" s="169">
        <v>0</v>
      </c>
      <c r="EN189" s="59"/>
      <c r="EO189" s="172"/>
      <c r="ES189" s="57">
        <f t="shared" si="174"/>
        <v>5.3796000000000008</v>
      </c>
      <c r="ET189" s="57">
        <f t="shared" si="175"/>
        <v>0</v>
      </c>
      <c r="EU189" s="31"/>
      <c r="EV189" s="61">
        <f t="shared" si="165"/>
        <v>1.8125882965276221</v>
      </c>
      <c r="EW189" s="62"/>
      <c r="EX189" s="158">
        <f t="shared" si="221"/>
        <v>-2.7306219999999968</v>
      </c>
      <c r="EY189" s="77">
        <f t="shared" si="222"/>
        <v>7.2301824000000012</v>
      </c>
      <c r="EZ189" s="158">
        <f t="shared" si="166"/>
        <v>9.7509999999999977</v>
      </c>
      <c r="FA189" s="158">
        <f t="shared" si="167"/>
        <v>9.7509999999999977</v>
      </c>
      <c r="FH189" s="174">
        <f t="shared" si="176"/>
        <v>18442.066299999995</v>
      </c>
      <c r="FJ189" s="87">
        <v>1.3930961409770242</v>
      </c>
      <c r="FK189" s="176">
        <f t="shared" si="177"/>
        <v>1.301122186194841</v>
      </c>
      <c r="FM189" s="87" t="e">
        <f t="shared" si="178"/>
        <v>#DIV/0!</v>
      </c>
      <c r="FO189" s="88">
        <f t="shared" si="168"/>
        <v>18442.066299999995</v>
      </c>
      <c r="FP189" s="79">
        <f t="shared" si="169"/>
        <v>0</v>
      </c>
      <c r="FS189" s="79">
        <f t="shared" si="170"/>
        <v>10174.437480000001</v>
      </c>
      <c r="FT189" s="79">
        <f t="shared" si="171"/>
        <v>0</v>
      </c>
      <c r="FU189" s="79">
        <f t="shared" si="179"/>
        <v>1.8125882965276223</v>
      </c>
      <c r="FV189" s="79" t="e">
        <f t="shared" si="179"/>
        <v>#DIV/0!</v>
      </c>
      <c r="FY189" s="79">
        <f t="shared" si="180"/>
        <v>18442.066299999995</v>
      </c>
      <c r="FZ189" s="79">
        <f t="shared" si="181"/>
        <v>0</v>
      </c>
      <c r="GB189" s="178">
        <f t="shared" si="182"/>
        <v>1891.3</v>
      </c>
      <c r="GC189" s="178">
        <f t="shared" si="183"/>
        <v>0</v>
      </c>
      <c r="GG189" s="14">
        <v>7.6782999999999992</v>
      </c>
      <c r="GH189" s="175">
        <f t="shared" si="184"/>
        <v>1.2699425654116143</v>
      </c>
      <c r="GI189" s="14">
        <v>7.6782999999999992</v>
      </c>
      <c r="GJ189" s="175">
        <f t="shared" si="185"/>
        <v>1.2699425654116143</v>
      </c>
      <c r="GK189" s="175">
        <f t="shared" si="223"/>
        <v>0</v>
      </c>
      <c r="GN189" s="14">
        <v>9.8656999999999986</v>
      </c>
      <c r="GO189" s="175">
        <f t="shared" si="186"/>
        <v>1.2848807678783063</v>
      </c>
      <c r="GP189" s="179">
        <f t="shared" si="187"/>
        <v>0.98837386095259328</v>
      </c>
      <c r="GQ189" s="14">
        <v>9.8656999999999986</v>
      </c>
      <c r="GR189" s="175">
        <f t="shared" si="188"/>
        <v>1.2848807678783063</v>
      </c>
      <c r="GS189" s="175">
        <f t="shared" si="189"/>
        <v>0.98837386095259328</v>
      </c>
      <c r="GV189" s="32">
        <f t="shared" si="190"/>
        <v>18442.066299999995</v>
      </c>
      <c r="GW189" s="32">
        <f t="shared" si="191"/>
        <v>0</v>
      </c>
      <c r="GX189" s="180">
        <f t="shared" si="192"/>
        <v>18442.066299999995</v>
      </c>
      <c r="GZ189" s="32">
        <f t="shared" si="193"/>
        <v>9.7509999999999977</v>
      </c>
      <c r="HA189" s="32" t="e">
        <f t="shared" si="194"/>
        <v>#DIV/0!</v>
      </c>
      <c r="HB189" s="32">
        <f t="shared" si="195"/>
        <v>9.7509999999999977</v>
      </c>
    </row>
    <row r="190" spans="1:210" ht="19.2" customHeight="1" x14ac:dyDescent="0.3">
      <c r="A190" s="50">
        <v>182</v>
      </c>
      <c r="B190" s="51" t="s">
        <v>827</v>
      </c>
      <c r="C190" s="51"/>
      <c r="D190" s="52">
        <v>5</v>
      </c>
      <c r="E190" s="52">
        <v>4</v>
      </c>
      <c r="F190" s="63">
        <v>60</v>
      </c>
      <c r="G190" s="54" t="s">
        <v>138</v>
      </c>
      <c r="H190" s="181" t="s">
        <v>49</v>
      </c>
      <c r="I190" s="55">
        <f t="shared" si="172"/>
        <v>2745.5</v>
      </c>
      <c r="J190" s="55">
        <f t="shared" si="152"/>
        <v>0</v>
      </c>
      <c r="K190" s="55">
        <f t="shared" si="153"/>
        <v>0</v>
      </c>
      <c r="L190" s="56">
        <v>2745.5</v>
      </c>
      <c r="M190" s="56">
        <v>2745.5</v>
      </c>
      <c r="N190" s="56">
        <f t="shared" si="173"/>
        <v>2745.5</v>
      </c>
      <c r="O190" s="56">
        <v>0</v>
      </c>
      <c r="P190" s="56">
        <v>0</v>
      </c>
      <c r="Q190" s="55"/>
      <c r="R190" s="55">
        <v>2745.5</v>
      </c>
      <c r="S190" s="55"/>
      <c r="T190" s="55">
        <v>0</v>
      </c>
      <c r="U190" s="152">
        <v>2745.5</v>
      </c>
      <c r="V190" s="57">
        <v>0.16739999999999999</v>
      </c>
      <c r="W190" s="153">
        <v>9.2799999999999994E-2</v>
      </c>
      <c r="X190" s="57">
        <v>0.32500000000000001</v>
      </c>
      <c r="Y190" s="57">
        <v>7.4399999999999994E-2</v>
      </c>
      <c r="Z190" s="153">
        <v>2.9100000000000001E-2</v>
      </c>
      <c r="AA190" s="57">
        <v>0.501</v>
      </c>
      <c r="AB190" s="153">
        <v>0</v>
      </c>
      <c r="AC190" s="57">
        <v>0.63149999999999995</v>
      </c>
      <c r="AD190" s="57">
        <v>0.17280000000000001</v>
      </c>
      <c r="AE190" s="57">
        <v>0</v>
      </c>
      <c r="AF190" s="57">
        <v>2.2208000000000001</v>
      </c>
      <c r="AG190" s="57">
        <v>0.22189999999999999</v>
      </c>
      <c r="AH190" s="57">
        <v>0.32900000000000001</v>
      </c>
      <c r="AI190" s="153">
        <v>8.7900000000000006E-2</v>
      </c>
      <c r="AJ190" s="153">
        <v>0.10299999999999999</v>
      </c>
      <c r="AK190" s="153">
        <v>5.6599999999999998E-2</v>
      </c>
      <c r="AL190" s="57">
        <v>0.17269999999999999</v>
      </c>
      <c r="AM190" s="153">
        <v>3.3599999999999998E-2</v>
      </c>
      <c r="AN190" s="57">
        <v>0</v>
      </c>
      <c r="AO190" s="153">
        <v>2.4942000000000002</v>
      </c>
      <c r="AP190" s="57">
        <v>1.1431</v>
      </c>
      <c r="AQ190" s="57">
        <v>9.2899999999999996E-2</v>
      </c>
      <c r="AR190" s="153">
        <v>0.62590000000000001</v>
      </c>
      <c r="AS190" s="57">
        <v>5.8599999999999999E-2</v>
      </c>
      <c r="AT190" s="57">
        <v>9.4999999999999998E-3</v>
      </c>
      <c r="AU190" s="153">
        <v>0.18290000000000001</v>
      </c>
      <c r="AV190" s="153">
        <v>0</v>
      </c>
      <c r="AW190" s="154">
        <v>9.8265999999999991</v>
      </c>
      <c r="AX190" s="58">
        <v>0.49130000000000001</v>
      </c>
      <c r="AY190" s="155">
        <f t="shared" si="154"/>
        <v>0.48670000000000002</v>
      </c>
      <c r="AZ190" s="155">
        <f t="shared" si="155"/>
        <v>4.599999999999993E-3</v>
      </c>
      <c r="BA190" s="14">
        <v>10.3179</v>
      </c>
      <c r="BB190" s="59">
        <f>BA190-'[1]Тариф 26 свод без  ПДВ'!AU190</f>
        <v>-9.9999999999944578E-4</v>
      </c>
      <c r="BC190" s="57">
        <v>0</v>
      </c>
      <c r="BD190" s="57">
        <v>0</v>
      </c>
      <c r="BE190" s="57">
        <v>0</v>
      </c>
      <c r="BF190" s="156">
        <v>9.8265999999999991</v>
      </c>
      <c r="BG190" s="59">
        <v>0.49130000000000001</v>
      </c>
      <c r="BH190" s="59"/>
      <c r="BI190" s="59"/>
      <c r="BJ190" s="14">
        <v>10.3179</v>
      </c>
      <c r="BK190" s="60"/>
      <c r="BL190" s="60">
        <v>5.3804999999999987</v>
      </c>
      <c r="BM190" s="60">
        <v>0.26900000000000002</v>
      </c>
      <c r="BN190" s="14">
        <v>5.6494999999999989</v>
      </c>
      <c r="BO190" s="14"/>
      <c r="BP190" s="157"/>
      <c r="BQ190" s="158">
        <f>BJ190-'[1]Тариф 26 свод без  ПДВ'!BG190</f>
        <v>-9.9999999999944578E-4</v>
      </c>
      <c r="BR190" s="77">
        <f>'[1]Тариф 26 свод без  ПДВ'!BG190</f>
        <v>10.318899999999999</v>
      </c>
      <c r="BS190" s="159">
        <f t="shared" si="156"/>
        <v>-9.9999999999944578E-4</v>
      </c>
      <c r="BU190" s="77">
        <f>'[1]Тариф 26 свод без  ПДВ'!AU190</f>
        <v>10.318899999999999</v>
      </c>
      <c r="BV190" s="159">
        <f t="shared" si="157"/>
        <v>-9.9999999999944578E-4</v>
      </c>
      <c r="BX190" s="95">
        <v>4.4442000000000004</v>
      </c>
      <c r="BY190" s="95">
        <v>4.4442000000000004</v>
      </c>
      <c r="BZ190" s="95"/>
      <c r="CA190" s="62">
        <f t="shared" si="158"/>
        <v>2.3216551910355068</v>
      </c>
      <c r="CB190" s="62">
        <f t="shared" si="159"/>
        <v>2.3216551910355068</v>
      </c>
      <c r="CI190" s="160">
        <f>'[1]0 СВОД'!AYY205</f>
        <v>28328.523190963151</v>
      </c>
      <c r="CJ190" s="77">
        <f t="shared" si="160"/>
        <v>339942.2782915578</v>
      </c>
      <c r="CM190" s="161">
        <v>187</v>
      </c>
      <c r="CN190" s="162" t="s">
        <v>828</v>
      </c>
      <c r="CO190" s="163">
        <v>5</v>
      </c>
      <c r="CP190" s="163">
        <v>4</v>
      </c>
      <c r="CQ190" s="164" t="s">
        <v>138</v>
      </c>
      <c r="CR190" s="165" t="s">
        <v>49</v>
      </c>
      <c r="CS190" s="166">
        <v>2747.2</v>
      </c>
      <c r="CT190" s="166">
        <v>0</v>
      </c>
      <c r="CU190" s="167">
        <v>0</v>
      </c>
      <c r="CV190" s="168">
        <v>2747.2</v>
      </c>
      <c r="CW190" s="166">
        <v>2747.2</v>
      </c>
      <c r="CX190" s="167">
        <v>0</v>
      </c>
      <c r="CY190" s="166">
        <v>0</v>
      </c>
      <c r="CZ190" s="166"/>
      <c r="DA190" s="166">
        <v>2747.2</v>
      </c>
      <c r="DB190" s="166"/>
      <c r="DC190" s="166">
        <v>0</v>
      </c>
      <c r="DD190" s="59">
        <v>0.1641</v>
      </c>
      <c r="DE190" s="59">
        <v>0.15060000000000001</v>
      </c>
      <c r="DF190" s="59">
        <v>0.2135</v>
      </c>
      <c r="DG190" s="59">
        <v>4.3700000000000003E-2</v>
      </c>
      <c r="DH190" s="59">
        <v>1.09E-2</v>
      </c>
      <c r="DI190" s="59">
        <v>0.21779999999999999</v>
      </c>
      <c r="DJ190" s="59">
        <v>4.8099999999999997E-2</v>
      </c>
      <c r="DK190" s="59">
        <v>0.3458</v>
      </c>
      <c r="DL190" s="169">
        <v>0</v>
      </c>
      <c r="DM190" s="59">
        <v>0.1051</v>
      </c>
      <c r="DN190" s="169">
        <v>0</v>
      </c>
      <c r="DO190" s="170">
        <v>1.2669999999999999</v>
      </c>
      <c r="DP190" s="171">
        <f t="shared" si="161"/>
        <v>2.2208000000000001</v>
      </c>
      <c r="DQ190" s="59">
        <v>0.10680000000000001</v>
      </c>
      <c r="DR190" s="59">
        <v>0.19670000000000001</v>
      </c>
      <c r="DS190" s="59">
        <v>2.29E-2</v>
      </c>
      <c r="DT190" s="59">
        <v>4.8500000000000001E-2</v>
      </c>
      <c r="DU190" s="59">
        <v>2.3900000000000001E-2</v>
      </c>
      <c r="DV190" s="59">
        <v>6.0100000000000001E-2</v>
      </c>
      <c r="DW190" s="59">
        <v>9.1999999999999998E-3</v>
      </c>
      <c r="DX190" s="169">
        <v>0</v>
      </c>
      <c r="DY190" s="59">
        <v>1.2501</v>
      </c>
      <c r="DZ190" s="171">
        <f t="shared" si="162"/>
        <v>1.9952003839692827</v>
      </c>
      <c r="EA190" s="59">
        <v>0.69010000000000005</v>
      </c>
      <c r="EB190" s="171">
        <f t="shared" si="163"/>
        <v>1.7910447761194028</v>
      </c>
      <c r="EC190" s="59">
        <v>0.32450000000000001</v>
      </c>
      <c r="ED190" s="171">
        <f t="shared" si="164"/>
        <v>1.9288135593220339</v>
      </c>
      <c r="EE190" s="59">
        <v>4.48E-2</v>
      </c>
      <c r="EF190" s="59">
        <v>6.1999999999999998E-3</v>
      </c>
      <c r="EG190" s="59">
        <v>0.25290000000000001</v>
      </c>
      <c r="EH190" s="59">
        <v>0</v>
      </c>
      <c r="EI190" s="208">
        <v>0.1401</v>
      </c>
      <c r="EJ190" s="172">
        <v>5.7434000000000012</v>
      </c>
      <c r="EK190" s="173"/>
      <c r="EL190" s="169">
        <v>0</v>
      </c>
      <c r="EM190" s="169">
        <v>0</v>
      </c>
      <c r="EN190" s="59"/>
      <c r="EO190" s="172"/>
      <c r="ES190" s="57">
        <f t="shared" si="174"/>
        <v>5.7434000000000012</v>
      </c>
      <c r="ET190" s="57">
        <f t="shared" si="175"/>
        <v>0</v>
      </c>
      <c r="EU190" s="31"/>
      <c r="EV190" s="61">
        <f t="shared" si="165"/>
        <v>1.7964794372671236</v>
      </c>
      <c r="EW190" s="62"/>
      <c r="EX190" s="158">
        <f t="shared" si="221"/>
        <v>-2.8227629999999984</v>
      </c>
      <c r="EY190" s="77">
        <f t="shared" si="222"/>
        <v>7.7191296000000023</v>
      </c>
      <c r="EZ190" s="158">
        <f t="shared" si="166"/>
        <v>10.3179</v>
      </c>
      <c r="FA190" s="158">
        <f t="shared" si="167"/>
        <v>10.3179</v>
      </c>
      <c r="FH190" s="174">
        <f t="shared" si="176"/>
        <v>28327.794450000001</v>
      </c>
      <c r="FJ190" s="87">
        <v>1.3817947557196084</v>
      </c>
      <c r="FK190" s="176">
        <f t="shared" si="177"/>
        <v>1.3001058441067512</v>
      </c>
      <c r="FM190" s="87" t="e">
        <f t="shared" si="178"/>
        <v>#DIV/0!</v>
      </c>
      <c r="FO190" s="88">
        <f t="shared" si="168"/>
        <v>28327.794450000001</v>
      </c>
      <c r="FP190" s="79">
        <f t="shared" si="169"/>
        <v>0</v>
      </c>
      <c r="FS190" s="79">
        <f t="shared" si="170"/>
        <v>15768.504700000003</v>
      </c>
      <c r="FT190" s="79">
        <f t="shared" si="171"/>
        <v>0</v>
      </c>
      <c r="FU190" s="79">
        <f t="shared" si="179"/>
        <v>1.7964794372671238</v>
      </c>
      <c r="FV190" s="79" t="e">
        <f t="shared" si="179"/>
        <v>#DIV/0!</v>
      </c>
      <c r="FY190" s="79">
        <f t="shared" si="180"/>
        <v>28327.794450000001</v>
      </c>
      <c r="FZ190" s="79">
        <f t="shared" si="181"/>
        <v>0</v>
      </c>
      <c r="GB190" s="178">
        <f t="shared" si="182"/>
        <v>2745.5</v>
      </c>
      <c r="GC190" s="178">
        <f t="shared" si="183"/>
        <v>0</v>
      </c>
      <c r="GG190" s="14">
        <v>8.1248999999999985</v>
      </c>
      <c r="GH190" s="175">
        <f t="shared" si="184"/>
        <v>1.2699110142894068</v>
      </c>
      <c r="GI190" s="14">
        <v>8.1248999999999985</v>
      </c>
      <c r="GJ190" s="175">
        <f t="shared" si="185"/>
        <v>1.2699110142894068</v>
      </c>
      <c r="GK190" s="175">
        <f t="shared" si="223"/>
        <v>0</v>
      </c>
      <c r="GN190" s="14">
        <v>10.460299999999997</v>
      </c>
      <c r="GO190" s="175">
        <f t="shared" si="186"/>
        <v>1.2874373838447242</v>
      </c>
      <c r="GP190" s="179">
        <f t="shared" si="187"/>
        <v>0.98638662371060137</v>
      </c>
      <c r="GQ190" s="14">
        <v>10.460299999999997</v>
      </c>
      <c r="GR190" s="175">
        <f t="shared" si="188"/>
        <v>1.2874373838447242</v>
      </c>
      <c r="GS190" s="175">
        <f t="shared" si="189"/>
        <v>0.98638662371060137</v>
      </c>
      <c r="GV190" s="32">
        <f t="shared" si="190"/>
        <v>28327.794450000001</v>
      </c>
      <c r="GW190" s="32">
        <f t="shared" si="191"/>
        <v>0</v>
      </c>
      <c r="GX190" s="180">
        <f t="shared" si="192"/>
        <v>28327.794450000001</v>
      </c>
      <c r="GZ190" s="32">
        <f t="shared" si="193"/>
        <v>10.3179</v>
      </c>
      <c r="HA190" s="32" t="e">
        <f t="shared" si="194"/>
        <v>#DIV/0!</v>
      </c>
      <c r="HB190" s="32">
        <f t="shared" si="195"/>
        <v>10.3179</v>
      </c>
    </row>
    <row r="191" spans="1:210" ht="19.2" customHeight="1" x14ac:dyDescent="0.3">
      <c r="A191" s="50">
        <v>183</v>
      </c>
      <c r="B191" s="51" t="s">
        <v>829</v>
      </c>
      <c r="C191" s="51"/>
      <c r="D191" s="52">
        <v>5</v>
      </c>
      <c r="E191" s="52">
        <v>4</v>
      </c>
      <c r="F191" s="63">
        <v>57</v>
      </c>
      <c r="G191" s="54" t="s">
        <v>139</v>
      </c>
      <c r="H191" s="181" t="s">
        <v>140</v>
      </c>
      <c r="I191" s="55">
        <f t="shared" si="172"/>
        <v>3310.9</v>
      </c>
      <c r="J191" s="55">
        <f t="shared" si="152"/>
        <v>0</v>
      </c>
      <c r="K191" s="55">
        <f t="shared" si="153"/>
        <v>0</v>
      </c>
      <c r="L191" s="56">
        <v>3310.9</v>
      </c>
      <c r="M191" s="56">
        <v>3310.9</v>
      </c>
      <c r="N191" s="56">
        <f t="shared" si="173"/>
        <v>3310.9</v>
      </c>
      <c r="O191" s="56">
        <v>0</v>
      </c>
      <c r="P191" s="56">
        <v>0</v>
      </c>
      <c r="Q191" s="55"/>
      <c r="R191" s="55">
        <v>3310.9</v>
      </c>
      <c r="S191" s="55"/>
      <c r="T191" s="55">
        <v>0</v>
      </c>
      <c r="U191" s="152">
        <v>3310.9</v>
      </c>
      <c r="V191" s="57">
        <v>0.15959999999999999</v>
      </c>
      <c r="W191" s="153">
        <v>0.1028</v>
      </c>
      <c r="X191" s="57">
        <v>0.33119999999999999</v>
      </c>
      <c r="Y191" s="57">
        <v>7.3400000000000007E-2</v>
      </c>
      <c r="Z191" s="153">
        <v>0</v>
      </c>
      <c r="AA191" s="57">
        <v>0.44429999999999997</v>
      </c>
      <c r="AB191" s="153">
        <v>0</v>
      </c>
      <c r="AC191" s="57">
        <v>0.63149999999999995</v>
      </c>
      <c r="AD191" s="57">
        <v>0.13139999999999999</v>
      </c>
      <c r="AE191" s="57">
        <v>0</v>
      </c>
      <c r="AF191" s="57">
        <v>1.3366</v>
      </c>
      <c r="AG191" s="57">
        <v>0.21290000000000001</v>
      </c>
      <c r="AH191" s="57">
        <v>0.35599999999999998</v>
      </c>
      <c r="AI191" s="153">
        <v>9.0800000000000006E-2</v>
      </c>
      <c r="AJ191" s="153">
        <v>0.10059999999999999</v>
      </c>
      <c r="AK191" s="153">
        <v>0</v>
      </c>
      <c r="AL191" s="57">
        <v>0.15620000000000001</v>
      </c>
      <c r="AM191" s="153">
        <v>3.2800000000000003E-2</v>
      </c>
      <c r="AN191" s="57">
        <v>0</v>
      </c>
      <c r="AO191" s="153">
        <v>1.2810999999999999</v>
      </c>
      <c r="AP191" s="57">
        <v>0.95830000000000004</v>
      </c>
      <c r="AQ191" s="57">
        <v>4.3999999999999997E-2</v>
      </c>
      <c r="AR191" s="153">
        <v>0.44030000000000002</v>
      </c>
      <c r="AS191" s="57">
        <v>6.2100000000000002E-2</v>
      </c>
      <c r="AT191" s="57">
        <v>1.01E-2</v>
      </c>
      <c r="AU191" s="153">
        <v>0.31890000000000002</v>
      </c>
      <c r="AV191" s="153">
        <v>0</v>
      </c>
      <c r="AW191" s="154">
        <v>7.2749000000000006</v>
      </c>
      <c r="AX191" s="58">
        <v>0.36370000000000002</v>
      </c>
      <c r="AY191" s="155">
        <f t="shared" si="154"/>
        <v>0.36149999999999999</v>
      </c>
      <c r="AZ191" s="155">
        <f t="shared" si="155"/>
        <v>2.2000000000000353E-3</v>
      </c>
      <c r="BA191" s="242">
        <v>7.6386000000000003</v>
      </c>
      <c r="BB191" s="59">
        <f>BA191-'[1]Тариф 26 свод без  ПДВ'!AU191</f>
        <v>3.6000000000004917E-3</v>
      </c>
      <c r="BC191" s="57">
        <v>0</v>
      </c>
      <c r="BD191" s="57">
        <v>0</v>
      </c>
      <c r="BE191" s="57">
        <v>0</v>
      </c>
      <c r="BF191" s="156">
        <v>7.2749000000000006</v>
      </c>
      <c r="BG191" s="59">
        <v>0.36370000000000002</v>
      </c>
      <c r="BH191" s="59"/>
      <c r="BI191" s="59"/>
      <c r="BJ191" s="19">
        <v>7.6386000000000003</v>
      </c>
      <c r="BK191" s="60"/>
      <c r="BL191" s="60">
        <v>4.2763000000000009</v>
      </c>
      <c r="BM191" s="60">
        <v>0.21379999999999999</v>
      </c>
      <c r="BN191" s="14">
        <v>4.4901000000000009</v>
      </c>
      <c r="BO191" s="19"/>
      <c r="BP191" s="212"/>
      <c r="BQ191" s="158">
        <f>BJ191-'[1]Тариф 26 свод без  ПДВ'!BG191</f>
        <v>3.6000000000004917E-3</v>
      </c>
      <c r="BR191" s="77">
        <f>'[1]Тариф 26 свод без  ПДВ'!BG191</f>
        <v>7.6349999999999998</v>
      </c>
      <c r="BS191" s="159">
        <f t="shared" si="156"/>
        <v>3.6000000000004917E-3</v>
      </c>
      <c r="BU191" s="77">
        <f>'[1]Тариф 26 свод без  ПДВ'!AU191</f>
        <v>7.6349999999999998</v>
      </c>
      <c r="BV191" s="159">
        <f t="shared" si="157"/>
        <v>3.6000000000004917E-3</v>
      </c>
      <c r="BX191" s="95">
        <v>4.5115000000000007</v>
      </c>
      <c r="BY191" s="95">
        <v>4.5115000000000007</v>
      </c>
      <c r="BZ191" s="95"/>
      <c r="CA191" s="62">
        <f t="shared" si="158"/>
        <v>1.6931397539620967</v>
      </c>
      <c r="CB191" s="62">
        <f t="shared" si="159"/>
        <v>1.6931397539620967</v>
      </c>
      <c r="CI191" s="160">
        <f>'[1]0 СВОД'!AYY206</f>
        <v>25290.531370011297</v>
      </c>
      <c r="CJ191" s="77">
        <f t="shared" si="160"/>
        <v>303486.37644013553</v>
      </c>
      <c r="CM191" s="161">
        <v>188</v>
      </c>
      <c r="CN191" s="162" t="s">
        <v>830</v>
      </c>
      <c r="CO191" s="163">
        <v>5</v>
      </c>
      <c r="CP191" s="163">
        <v>4</v>
      </c>
      <c r="CQ191" s="164" t="s">
        <v>139</v>
      </c>
      <c r="CR191" s="165" t="s">
        <v>140</v>
      </c>
      <c r="CS191" s="166">
        <v>3310</v>
      </c>
      <c r="CT191" s="166">
        <v>0</v>
      </c>
      <c r="CU191" s="167">
        <v>0</v>
      </c>
      <c r="CV191" s="168">
        <v>3310</v>
      </c>
      <c r="CW191" s="166">
        <v>3310</v>
      </c>
      <c r="CX191" s="167">
        <v>0</v>
      </c>
      <c r="CY191" s="166">
        <v>0</v>
      </c>
      <c r="CZ191" s="166"/>
      <c r="DA191" s="166">
        <v>3310</v>
      </c>
      <c r="DB191" s="166"/>
      <c r="DC191" s="166">
        <v>0</v>
      </c>
      <c r="DD191" s="59">
        <v>0.14019999999999999</v>
      </c>
      <c r="DE191" s="59">
        <v>0.14990000000000001</v>
      </c>
      <c r="DF191" s="59">
        <v>0.21779999999999999</v>
      </c>
      <c r="DG191" s="59">
        <v>4.3200000000000002E-2</v>
      </c>
      <c r="DH191" s="59">
        <v>0</v>
      </c>
      <c r="DI191" s="59">
        <v>0.1938</v>
      </c>
      <c r="DJ191" s="59">
        <v>4.8099999999999997E-2</v>
      </c>
      <c r="DK191" s="59">
        <v>0.3458</v>
      </c>
      <c r="DL191" s="169">
        <v>0</v>
      </c>
      <c r="DM191" s="59">
        <v>0.08</v>
      </c>
      <c r="DN191" s="169">
        <v>0</v>
      </c>
      <c r="DO191" s="170">
        <v>0.70179999999999998</v>
      </c>
      <c r="DP191" s="171">
        <f t="shared" si="161"/>
        <v>1.3366</v>
      </c>
      <c r="DQ191" s="59">
        <v>9.1200000000000003E-2</v>
      </c>
      <c r="DR191" s="59">
        <v>0.19570000000000001</v>
      </c>
      <c r="DS191" s="59">
        <v>2.3699999999999999E-2</v>
      </c>
      <c r="DT191" s="59">
        <v>4.2799999999999998E-2</v>
      </c>
      <c r="DU191" s="59">
        <v>0</v>
      </c>
      <c r="DV191" s="59">
        <v>5.4899999999999997E-2</v>
      </c>
      <c r="DW191" s="59">
        <v>8.8000000000000005E-3</v>
      </c>
      <c r="DX191" s="169">
        <v>0</v>
      </c>
      <c r="DY191" s="59">
        <v>0.58630000000000004</v>
      </c>
      <c r="DZ191" s="171">
        <f t="shared" si="162"/>
        <v>2.1850588435954288</v>
      </c>
      <c r="EA191" s="59">
        <v>0.56230000000000002</v>
      </c>
      <c r="EB191" s="171">
        <f t="shared" si="163"/>
        <v>1.7825004446025252</v>
      </c>
      <c r="EC191" s="59">
        <v>0.18229999999999999</v>
      </c>
      <c r="ED191" s="171">
        <f t="shared" si="164"/>
        <v>2.4152495885902363</v>
      </c>
      <c r="EE191" s="59">
        <v>4.7600000000000003E-2</v>
      </c>
      <c r="EF191" s="59">
        <v>6.6E-3</v>
      </c>
      <c r="EG191" s="59">
        <v>0.18029999999999999</v>
      </c>
      <c r="EH191" s="59">
        <v>0</v>
      </c>
      <c r="EI191" s="208">
        <v>9.7600000000000006E-2</v>
      </c>
      <c r="EJ191" s="172">
        <v>4.0007000000000001</v>
      </c>
      <c r="EK191" s="173"/>
      <c r="EL191" s="169">
        <v>0</v>
      </c>
      <c r="EM191" s="169">
        <v>0</v>
      </c>
      <c r="EN191" s="59"/>
      <c r="EO191" s="172"/>
      <c r="ES191" s="57">
        <f t="shared" si="174"/>
        <v>4.0007000000000001</v>
      </c>
      <c r="ET191" s="57">
        <f t="shared" si="175"/>
        <v>0</v>
      </c>
      <c r="EU191" s="31"/>
      <c r="EV191" s="213">
        <f t="shared" si="165"/>
        <v>1.9093158697227985</v>
      </c>
      <c r="EW191" s="61"/>
      <c r="EX191" s="158">
        <f t="shared" si="221"/>
        <v>-2.4176865000000003</v>
      </c>
      <c r="EY191" s="77">
        <f>ES191*1.344</f>
        <v>5.3769408000000007</v>
      </c>
      <c r="EZ191" s="214">
        <f t="shared" si="166"/>
        <v>7.6386000000000003</v>
      </c>
      <c r="FA191" s="158">
        <f t="shared" si="167"/>
        <v>7.6386000000000003</v>
      </c>
      <c r="FH191" s="174">
        <f t="shared" si="176"/>
        <v>25290.640740000003</v>
      </c>
      <c r="FJ191" s="87">
        <v>1.3912065388557</v>
      </c>
      <c r="FK191" s="176">
        <f t="shared" si="177"/>
        <v>1.3724172625678253</v>
      </c>
      <c r="FM191" s="87" t="e">
        <f t="shared" si="178"/>
        <v>#DIV/0!</v>
      </c>
      <c r="FO191" s="88">
        <f t="shared" si="168"/>
        <v>25290.640740000003</v>
      </c>
      <c r="FP191" s="79">
        <f t="shared" si="169"/>
        <v>0</v>
      </c>
      <c r="FS191" s="79">
        <f t="shared" si="170"/>
        <v>13245.917630000002</v>
      </c>
      <c r="FT191" s="79">
        <f t="shared" si="171"/>
        <v>0</v>
      </c>
      <c r="FU191" s="79">
        <f t="shared" si="179"/>
        <v>1.9093158697227985</v>
      </c>
      <c r="FV191" s="79" t="e">
        <f t="shared" si="179"/>
        <v>#DIV/0!</v>
      </c>
      <c r="FY191" s="79">
        <f t="shared" si="180"/>
        <v>25290.640740000003</v>
      </c>
      <c r="FZ191" s="79">
        <f t="shared" si="181"/>
        <v>0</v>
      </c>
      <c r="GB191" s="178">
        <f t="shared" si="182"/>
        <v>3310.9</v>
      </c>
      <c r="GC191" s="178">
        <f t="shared" si="183"/>
        <v>0</v>
      </c>
      <c r="GG191" s="14">
        <v>6.0152999999999999</v>
      </c>
      <c r="GH191" s="175">
        <f t="shared" si="184"/>
        <v>1.2698618522766945</v>
      </c>
      <c r="GI191" s="14">
        <v>6.0152999999999999</v>
      </c>
      <c r="GJ191" s="175">
        <f t="shared" si="185"/>
        <v>1.2698618522766945</v>
      </c>
      <c r="GK191" s="175">
        <f t="shared" si="223"/>
        <v>0</v>
      </c>
      <c r="GN191" s="242">
        <v>7.6578000000000008</v>
      </c>
      <c r="GO191" s="175">
        <f t="shared" si="186"/>
        <v>1.2730537130317692</v>
      </c>
      <c r="GP191" s="179">
        <f t="shared" si="187"/>
        <v>0.99749275248765956</v>
      </c>
      <c r="GQ191" s="19">
        <v>7.6578000000000008</v>
      </c>
      <c r="GR191" s="175">
        <f t="shared" si="188"/>
        <v>1.2730537130317692</v>
      </c>
      <c r="GS191" s="175">
        <f t="shared" si="189"/>
        <v>0.99749275248765956</v>
      </c>
      <c r="GV191" s="32">
        <f t="shared" si="190"/>
        <v>25290.640740000003</v>
      </c>
      <c r="GW191" s="32">
        <f t="shared" si="191"/>
        <v>0</v>
      </c>
      <c r="GX191" s="180">
        <f t="shared" si="192"/>
        <v>25290.640740000003</v>
      </c>
      <c r="GZ191" s="32">
        <f t="shared" si="193"/>
        <v>7.6386000000000003</v>
      </c>
      <c r="HA191" s="32" t="e">
        <f t="shared" si="194"/>
        <v>#DIV/0!</v>
      </c>
      <c r="HB191" s="32">
        <f t="shared" si="195"/>
        <v>7.6386000000000003</v>
      </c>
    </row>
    <row r="192" spans="1:210" ht="19.2" customHeight="1" x14ac:dyDescent="0.3">
      <c r="A192" s="50">
        <v>184</v>
      </c>
      <c r="B192" s="51" t="s">
        <v>831</v>
      </c>
      <c r="C192" s="51"/>
      <c r="D192" s="52">
        <v>3</v>
      </c>
      <c r="E192" s="52">
        <v>4</v>
      </c>
      <c r="F192" s="63">
        <v>24</v>
      </c>
      <c r="G192" s="54" t="s">
        <v>45</v>
      </c>
      <c r="H192" s="181" t="s">
        <v>37</v>
      </c>
      <c r="I192" s="55">
        <f t="shared" si="172"/>
        <v>1594.8</v>
      </c>
      <c r="J192" s="55">
        <f t="shared" si="152"/>
        <v>0</v>
      </c>
      <c r="K192" s="55">
        <f t="shared" si="153"/>
        <v>0</v>
      </c>
      <c r="L192" s="56">
        <v>1594.8</v>
      </c>
      <c r="M192" s="56">
        <v>1594.8</v>
      </c>
      <c r="N192" s="56">
        <f t="shared" si="173"/>
        <v>1594.8</v>
      </c>
      <c r="O192" s="56">
        <v>0</v>
      </c>
      <c r="P192" s="56">
        <v>0</v>
      </c>
      <c r="Q192" s="55"/>
      <c r="R192" s="55">
        <v>1594.8</v>
      </c>
      <c r="S192" s="55"/>
      <c r="T192" s="55">
        <v>0</v>
      </c>
      <c r="U192" s="152">
        <v>1594.8</v>
      </c>
      <c r="V192" s="57">
        <v>0.20200000000000001</v>
      </c>
      <c r="W192" s="153">
        <v>0.14560000000000001</v>
      </c>
      <c r="X192" s="57">
        <v>0.33260000000000001</v>
      </c>
      <c r="Y192" s="57">
        <v>7.6600000000000001E-2</v>
      </c>
      <c r="Z192" s="153">
        <v>0</v>
      </c>
      <c r="AA192" s="57">
        <v>0.54259999999999997</v>
      </c>
      <c r="AB192" s="153">
        <v>0</v>
      </c>
      <c r="AC192" s="57">
        <v>0.63149999999999995</v>
      </c>
      <c r="AD192" s="57">
        <v>0.11899999999999999</v>
      </c>
      <c r="AE192" s="57">
        <v>0</v>
      </c>
      <c r="AF192" s="57">
        <v>1.9488000000000001</v>
      </c>
      <c r="AG192" s="57">
        <v>0.28689999999999999</v>
      </c>
      <c r="AH192" s="57">
        <v>0.51619999999999999</v>
      </c>
      <c r="AI192" s="153">
        <v>8.4900000000000003E-2</v>
      </c>
      <c r="AJ192" s="153">
        <v>8.8900000000000007E-2</v>
      </c>
      <c r="AK192" s="153">
        <v>0</v>
      </c>
      <c r="AL192" s="57">
        <v>0.24060000000000001</v>
      </c>
      <c r="AM192" s="153">
        <v>3.3000000000000002E-2</v>
      </c>
      <c r="AN192" s="57">
        <v>0</v>
      </c>
      <c r="AO192" s="153">
        <v>1.843</v>
      </c>
      <c r="AP192" s="57">
        <v>1.4964</v>
      </c>
      <c r="AQ192" s="57">
        <v>0.08</v>
      </c>
      <c r="AR192" s="153">
        <v>0.74450000000000005</v>
      </c>
      <c r="AS192" s="57">
        <v>0.1129</v>
      </c>
      <c r="AT192" s="57">
        <v>1.83E-2</v>
      </c>
      <c r="AU192" s="153">
        <v>0.17199999999999999</v>
      </c>
      <c r="AV192" s="153">
        <v>0</v>
      </c>
      <c r="AW192" s="154">
        <v>9.7163000000000004</v>
      </c>
      <c r="AX192" s="58">
        <v>0.48580000000000001</v>
      </c>
      <c r="AY192" s="155">
        <f t="shared" si="154"/>
        <v>0.48180000000000001</v>
      </c>
      <c r="AZ192" s="155">
        <f t="shared" si="155"/>
        <v>4.0000000000000036E-3</v>
      </c>
      <c r="BA192" s="14">
        <v>10.2021</v>
      </c>
      <c r="BB192" s="59">
        <f>BA192-'[1]Тариф 26 свод без  ПДВ'!AU192</f>
        <v>5.6999999999991502E-3</v>
      </c>
      <c r="BC192" s="57">
        <v>0</v>
      </c>
      <c r="BD192" s="57">
        <v>0</v>
      </c>
      <c r="BE192" s="57">
        <v>0</v>
      </c>
      <c r="BF192" s="156">
        <v>9.7163000000000004</v>
      </c>
      <c r="BG192" s="59">
        <v>0.48580000000000001</v>
      </c>
      <c r="BH192" s="59"/>
      <c r="BI192" s="59"/>
      <c r="BJ192" s="14">
        <v>10.2021</v>
      </c>
      <c r="BK192" s="60"/>
      <c r="BL192" s="60">
        <v>5.4603999999999999</v>
      </c>
      <c r="BM192" s="60">
        <v>0.27300000000000002</v>
      </c>
      <c r="BN192" s="14">
        <v>5.7333999999999996</v>
      </c>
      <c r="BO192" s="14"/>
      <c r="BP192" s="157"/>
      <c r="BQ192" s="158">
        <f>BJ192-'[1]Тариф 26 свод без  ПДВ'!BG192</f>
        <v>5.6999999999991502E-3</v>
      </c>
      <c r="BR192" s="77">
        <f>'[1]Тариф 26 свод без  ПДВ'!BG192</f>
        <v>10.196400000000001</v>
      </c>
      <c r="BS192" s="159">
        <f t="shared" si="156"/>
        <v>5.6999999999991502E-3</v>
      </c>
      <c r="BU192" s="77">
        <f>'[1]Тариф 26 свод без  ПДВ'!AU192</f>
        <v>10.196400000000001</v>
      </c>
      <c r="BV192" s="159">
        <f t="shared" si="157"/>
        <v>5.6999999999991502E-3</v>
      </c>
      <c r="BX192" s="95">
        <v>4.3512000000000004</v>
      </c>
      <c r="BY192" s="95">
        <v>4.3512000000000004</v>
      </c>
      <c r="BZ192" s="95"/>
      <c r="CA192" s="62">
        <f t="shared" si="158"/>
        <v>2.3446635410921122</v>
      </c>
      <c r="CB192" s="62">
        <f t="shared" si="159"/>
        <v>2.3446635410921122</v>
      </c>
      <c r="CI192" s="160">
        <f>'[1]0 СВОД'!AYY207</f>
        <v>16270.542050324166</v>
      </c>
      <c r="CJ192" s="77">
        <f t="shared" si="160"/>
        <v>195246.50460389</v>
      </c>
      <c r="CM192" s="161">
        <v>189</v>
      </c>
      <c r="CN192" s="228" t="s">
        <v>832</v>
      </c>
      <c r="CO192" s="163">
        <v>3</v>
      </c>
      <c r="CP192" s="163">
        <v>4</v>
      </c>
      <c r="CQ192" s="164" t="s">
        <v>45</v>
      </c>
      <c r="CR192" s="165" t="s">
        <v>37</v>
      </c>
      <c r="CS192" s="166">
        <v>1593.6</v>
      </c>
      <c r="CT192" s="166">
        <v>0</v>
      </c>
      <c r="CU192" s="167">
        <v>0</v>
      </c>
      <c r="CV192" s="168">
        <v>1593.6</v>
      </c>
      <c r="CW192" s="166">
        <v>1593.6</v>
      </c>
      <c r="CX192" s="167">
        <v>0</v>
      </c>
      <c r="CY192" s="166">
        <v>0</v>
      </c>
      <c r="CZ192" s="166"/>
      <c r="DA192" s="166">
        <v>1593.6</v>
      </c>
      <c r="DB192" s="166"/>
      <c r="DC192" s="166">
        <v>0</v>
      </c>
      <c r="DD192" s="59">
        <v>0.19239999999999999</v>
      </c>
      <c r="DE192" s="59">
        <v>0.23669999999999999</v>
      </c>
      <c r="DF192" s="59">
        <v>0.21859999999999999</v>
      </c>
      <c r="DG192" s="59">
        <v>4.5199999999999997E-2</v>
      </c>
      <c r="DH192" s="59">
        <v>0</v>
      </c>
      <c r="DI192" s="59">
        <v>0.26819999999999999</v>
      </c>
      <c r="DJ192" s="59">
        <v>4.8099999999999997E-2</v>
      </c>
      <c r="DK192" s="59">
        <v>0.3458</v>
      </c>
      <c r="DL192" s="169">
        <v>0</v>
      </c>
      <c r="DM192" s="59">
        <v>7.2499999999999995E-2</v>
      </c>
      <c r="DN192" s="169">
        <v>0</v>
      </c>
      <c r="DO192" s="229">
        <v>0.95540000000000003</v>
      </c>
      <c r="DP192" s="171">
        <f t="shared" si="161"/>
        <v>1.9488000000000001</v>
      </c>
      <c r="DQ192" s="59">
        <v>0.13819999999999999</v>
      </c>
      <c r="DR192" s="59">
        <v>0.30909999999999999</v>
      </c>
      <c r="DS192" s="59">
        <v>2.2100000000000002E-2</v>
      </c>
      <c r="DT192" s="59">
        <v>4.19E-2</v>
      </c>
      <c r="DU192" s="59">
        <v>0</v>
      </c>
      <c r="DV192" s="59">
        <v>8.3900000000000002E-2</v>
      </c>
      <c r="DW192" s="59">
        <v>8.8999999999999999E-3</v>
      </c>
      <c r="DX192" s="169">
        <v>0</v>
      </c>
      <c r="DY192" s="59">
        <v>0.86480000000000001</v>
      </c>
      <c r="DZ192" s="171">
        <f t="shared" si="162"/>
        <v>2.1311285846438484</v>
      </c>
      <c r="EA192" s="59">
        <v>0.88119999999999998</v>
      </c>
      <c r="EB192" s="171">
        <f t="shared" si="163"/>
        <v>1.7889241942805265</v>
      </c>
      <c r="EC192" s="59">
        <v>0.34339999999999998</v>
      </c>
      <c r="ED192" s="171">
        <f t="shared" si="164"/>
        <v>2.1680256260920214</v>
      </c>
      <c r="EE192" s="59">
        <v>8.6499999999999994E-2</v>
      </c>
      <c r="EF192" s="59">
        <v>1.2E-2</v>
      </c>
      <c r="EG192" s="59">
        <v>0.24640000000000001</v>
      </c>
      <c r="EH192" s="59">
        <v>0</v>
      </c>
      <c r="EI192" s="230">
        <v>0.13550000000000001</v>
      </c>
      <c r="EJ192" s="172">
        <v>5.5568</v>
      </c>
      <c r="EK192" s="173"/>
      <c r="EL192" s="169">
        <v>0</v>
      </c>
      <c r="EM192" s="169">
        <v>0</v>
      </c>
      <c r="EN192" s="59"/>
      <c r="EO192" s="172"/>
      <c r="ES192" s="57">
        <f t="shared" si="174"/>
        <v>5.5568</v>
      </c>
      <c r="ET192" s="57">
        <f t="shared" si="175"/>
        <v>0</v>
      </c>
      <c r="EU192" s="31"/>
      <c r="EV192" s="61">
        <f t="shared" si="165"/>
        <v>1.8359667434494673</v>
      </c>
      <c r="EW192" s="61"/>
      <c r="EX192" s="159">
        <f t="shared" ref="EX192:EX193" si="224">EY192/1.05</f>
        <v>-2.3813097142857149</v>
      </c>
      <c r="EY192" s="32">
        <f>ES192*1.386-BJ192</f>
        <v>-2.5003752000000006</v>
      </c>
      <c r="EZ192" s="158">
        <f t="shared" si="166"/>
        <v>10.2021</v>
      </c>
      <c r="FA192" s="158">
        <f t="shared" si="167"/>
        <v>10.2021</v>
      </c>
      <c r="FB192" s="32">
        <f>(BJ192-EZ192)*L192</f>
        <v>0</v>
      </c>
      <c r="FH192" s="174">
        <f t="shared" si="176"/>
        <v>16270.309079999999</v>
      </c>
      <c r="FJ192" s="87">
        <v>1.3831161819752378</v>
      </c>
      <c r="FK192" s="176">
        <f t="shared" si="177"/>
        <v>1.3274132479800147</v>
      </c>
      <c r="FM192" s="87" t="e">
        <f t="shared" si="178"/>
        <v>#DIV/0!</v>
      </c>
      <c r="FO192" s="88">
        <f t="shared" si="168"/>
        <v>16270.309079999999</v>
      </c>
      <c r="FP192" s="79">
        <f t="shared" si="169"/>
        <v>0</v>
      </c>
      <c r="FS192" s="79">
        <f t="shared" si="170"/>
        <v>8861.9846400000006</v>
      </c>
      <c r="FT192" s="79">
        <f t="shared" si="171"/>
        <v>0</v>
      </c>
      <c r="FU192" s="79">
        <f t="shared" si="179"/>
        <v>1.8359667434494671</v>
      </c>
      <c r="FV192" s="79" t="e">
        <f t="shared" si="179"/>
        <v>#DIV/0!</v>
      </c>
      <c r="FY192" s="79">
        <f t="shared" si="180"/>
        <v>16270.309079999999</v>
      </c>
      <c r="FZ192" s="79">
        <f t="shared" si="181"/>
        <v>0</v>
      </c>
      <c r="GB192" s="178">
        <f t="shared" si="182"/>
        <v>1594.8</v>
      </c>
      <c r="GC192" s="178">
        <f t="shared" si="183"/>
        <v>0</v>
      </c>
      <c r="GG192" s="14">
        <v>8.0336999999999996</v>
      </c>
      <c r="GH192" s="175">
        <f t="shared" si="184"/>
        <v>1.2699129915232086</v>
      </c>
      <c r="GI192" s="14">
        <v>8.0336999999999996</v>
      </c>
      <c r="GJ192" s="175">
        <f t="shared" si="185"/>
        <v>1.2699129915232086</v>
      </c>
      <c r="GK192" s="175">
        <f t="shared" si="223"/>
        <v>0</v>
      </c>
      <c r="GN192" s="14">
        <v>10.273200000000001</v>
      </c>
      <c r="GO192" s="175">
        <f t="shared" si="186"/>
        <v>1.278763209977968</v>
      </c>
      <c r="GP192" s="179">
        <f t="shared" si="187"/>
        <v>0.99307907954678176</v>
      </c>
      <c r="GQ192" s="14">
        <v>10.273200000000001</v>
      </c>
      <c r="GR192" s="175">
        <f t="shared" si="188"/>
        <v>1.278763209977968</v>
      </c>
      <c r="GS192" s="175">
        <f t="shared" si="189"/>
        <v>0.99307907954678176</v>
      </c>
      <c r="GV192" s="32">
        <f t="shared" si="190"/>
        <v>16270.309079999999</v>
      </c>
      <c r="GW192" s="32">
        <f t="shared" si="191"/>
        <v>0</v>
      </c>
      <c r="GX192" s="180">
        <f t="shared" si="192"/>
        <v>16270.309079999999</v>
      </c>
      <c r="GZ192" s="32">
        <f t="shared" si="193"/>
        <v>10.2021</v>
      </c>
      <c r="HA192" s="32" t="e">
        <f t="shared" si="194"/>
        <v>#DIV/0!</v>
      </c>
      <c r="HB192" s="32">
        <f t="shared" si="195"/>
        <v>10.2021</v>
      </c>
    </row>
    <row r="193" spans="1:210" ht="19.2" customHeight="1" x14ac:dyDescent="0.3">
      <c r="A193" s="50">
        <v>185</v>
      </c>
      <c r="B193" s="51" t="s">
        <v>833</v>
      </c>
      <c r="C193" s="51" t="s">
        <v>834</v>
      </c>
      <c r="D193" s="52">
        <v>2</v>
      </c>
      <c r="E193" s="52">
        <v>1</v>
      </c>
      <c r="F193" s="63">
        <v>8</v>
      </c>
      <c r="G193" s="54" t="s">
        <v>30</v>
      </c>
      <c r="H193" s="181" t="s">
        <v>8</v>
      </c>
      <c r="I193" s="55">
        <f t="shared" si="172"/>
        <v>342.2</v>
      </c>
      <c r="J193" s="55">
        <f t="shared" si="152"/>
        <v>0</v>
      </c>
      <c r="K193" s="55">
        <f t="shared" si="153"/>
        <v>0</v>
      </c>
      <c r="L193" s="56">
        <v>342.2</v>
      </c>
      <c r="M193" s="56">
        <v>342.2</v>
      </c>
      <c r="N193" s="56">
        <f t="shared" si="173"/>
        <v>342.2</v>
      </c>
      <c r="O193" s="56">
        <v>0</v>
      </c>
      <c r="P193" s="56">
        <v>0</v>
      </c>
      <c r="Q193" s="55"/>
      <c r="R193" s="55">
        <v>342.2</v>
      </c>
      <c r="S193" s="55"/>
      <c r="T193" s="55">
        <v>0</v>
      </c>
      <c r="U193" s="152">
        <v>342.2</v>
      </c>
      <c r="V193" s="12">
        <v>0.24440000000000001</v>
      </c>
      <c r="W193" s="12">
        <v>0.13070000000000001</v>
      </c>
      <c r="X193" s="12">
        <v>0</v>
      </c>
      <c r="Y193" s="12">
        <v>0</v>
      </c>
      <c r="Z193" s="12">
        <v>0</v>
      </c>
      <c r="AA193" s="12">
        <v>0.37080000000000002</v>
      </c>
      <c r="AB193" s="12">
        <v>0</v>
      </c>
      <c r="AC193" s="12">
        <v>0.61070000000000002</v>
      </c>
      <c r="AD193" s="12">
        <v>9.2399999999999996E-2</v>
      </c>
      <c r="AE193" s="12">
        <v>0</v>
      </c>
      <c r="AF193" s="12">
        <v>1.4885999999999999</v>
      </c>
      <c r="AG193" s="12">
        <v>0.3145</v>
      </c>
      <c r="AH193" s="12">
        <v>0.13789999999999999</v>
      </c>
      <c r="AI193" s="12">
        <v>0</v>
      </c>
      <c r="AJ193" s="12">
        <v>0</v>
      </c>
      <c r="AK193" s="12">
        <v>0</v>
      </c>
      <c r="AL193" s="12">
        <v>5.1900000000000002E-2</v>
      </c>
      <c r="AM193" s="12">
        <v>4.1099999999999998E-2</v>
      </c>
      <c r="AN193" s="12">
        <v>0</v>
      </c>
      <c r="AO193" s="12">
        <v>3.0097</v>
      </c>
      <c r="AP193" s="12">
        <v>1.1303000000000001</v>
      </c>
      <c r="AQ193" s="12">
        <v>0.26779999999999998</v>
      </c>
      <c r="AR193" s="12">
        <v>1.1653</v>
      </c>
      <c r="AS193" s="12">
        <v>0.104</v>
      </c>
      <c r="AT193" s="12">
        <v>1.6899999999999998E-2</v>
      </c>
      <c r="AU193" s="12">
        <v>0.40839999999999999</v>
      </c>
      <c r="AV193" s="12">
        <v>0</v>
      </c>
      <c r="AW193" s="188">
        <v>9.5853999999999981</v>
      </c>
      <c r="AX193" s="13">
        <v>0.4793</v>
      </c>
      <c r="AY193" s="189">
        <f t="shared" si="154"/>
        <v>0.46589999999999998</v>
      </c>
      <c r="AZ193" s="189">
        <f t="shared" si="155"/>
        <v>1.3400000000000023E-2</v>
      </c>
      <c r="BA193" s="14">
        <v>10.064699999999998</v>
      </c>
      <c r="BB193" s="190">
        <f>BA193-'[1]Тариф 26 свод без  ПДВ'!AU193</f>
        <v>-7.0000000000192131E-4</v>
      </c>
      <c r="BC193" s="12">
        <v>0</v>
      </c>
      <c r="BD193" s="12">
        <v>0</v>
      </c>
      <c r="BE193" s="12">
        <v>0</v>
      </c>
      <c r="BF193" s="191">
        <v>9.5853999999999981</v>
      </c>
      <c r="BG193" s="190">
        <v>0.4793</v>
      </c>
      <c r="BH193" s="190"/>
      <c r="BI193" s="190"/>
      <c r="BJ193" s="14">
        <v>10.064699999999998</v>
      </c>
      <c r="BK193" s="60"/>
      <c r="BL193" s="60">
        <v>3.8716999999999975</v>
      </c>
      <c r="BM193" s="60">
        <v>0.19359999999999999</v>
      </c>
      <c r="BN193" s="14">
        <v>4.065299999999997</v>
      </c>
      <c r="BO193" s="14"/>
      <c r="BP193" s="157"/>
      <c r="BQ193" s="158">
        <f>BJ193-'[1]Тариф 26 свод без  ПДВ'!BG193</f>
        <v>-7.0000000000192131E-4</v>
      </c>
      <c r="BR193" s="77">
        <f>'[1]Тариф 26 свод без  ПДВ'!BG193</f>
        <v>10.0654</v>
      </c>
      <c r="BS193" s="159">
        <f t="shared" si="156"/>
        <v>-7.0000000000192131E-4</v>
      </c>
      <c r="BU193" s="77">
        <f>'[1]Тариф 26 свод без  ПДВ'!AU193</f>
        <v>10.0654</v>
      </c>
      <c r="BV193" s="159">
        <f t="shared" si="157"/>
        <v>-7.0000000000192131E-4</v>
      </c>
      <c r="BX193" s="95">
        <v>4.4476000000000004</v>
      </c>
      <c r="BY193" s="95">
        <v>4.4476000000000004</v>
      </c>
      <c r="BZ193" s="95"/>
      <c r="CA193" s="62">
        <f t="shared" si="158"/>
        <v>2.2629508049285003</v>
      </c>
      <c r="CB193" s="62">
        <f t="shared" si="159"/>
        <v>2.2629508049285003</v>
      </c>
      <c r="CI193" s="160">
        <f>'[1]0 СВОД'!AYY208</f>
        <v>3444.0798156213632</v>
      </c>
      <c r="CJ193" s="77">
        <f t="shared" si="160"/>
        <v>41328.957787456355</v>
      </c>
      <c r="CM193" s="161">
        <v>190</v>
      </c>
      <c r="CN193" s="162" t="s">
        <v>835</v>
      </c>
      <c r="CO193" s="163">
        <v>2</v>
      </c>
      <c r="CP193" s="163">
        <v>1</v>
      </c>
      <c r="CQ193" s="164" t="s">
        <v>30</v>
      </c>
      <c r="CR193" s="165" t="s">
        <v>8</v>
      </c>
      <c r="CS193" s="166">
        <v>342.8</v>
      </c>
      <c r="CT193" s="166">
        <v>0</v>
      </c>
      <c r="CU193" s="167">
        <v>0</v>
      </c>
      <c r="CV193" s="168">
        <v>342.8</v>
      </c>
      <c r="CW193" s="166">
        <v>342.8</v>
      </c>
      <c r="CX193" s="167">
        <v>0</v>
      </c>
      <c r="CY193" s="166">
        <v>0</v>
      </c>
      <c r="CZ193" s="166"/>
      <c r="DA193" s="166">
        <v>342.8</v>
      </c>
      <c r="DB193" s="166"/>
      <c r="DC193" s="166">
        <v>0</v>
      </c>
      <c r="DD193" s="59">
        <v>0.1077</v>
      </c>
      <c r="DE193" s="59">
        <v>9.2299999999999993E-2</v>
      </c>
      <c r="DF193" s="59">
        <v>0</v>
      </c>
      <c r="DG193" s="59">
        <v>0</v>
      </c>
      <c r="DH193" s="59">
        <v>0</v>
      </c>
      <c r="DI193" s="59">
        <v>0.15890000000000001</v>
      </c>
      <c r="DJ193" s="59">
        <v>4.8099999999999997E-2</v>
      </c>
      <c r="DK193" s="59">
        <v>0.3337</v>
      </c>
      <c r="DL193" s="169">
        <v>0</v>
      </c>
      <c r="DM193" s="59">
        <v>5.6099999999999997E-2</v>
      </c>
      <c r="DN193" s="169">
        <v>0</v>
      </c>
      <c r="DO193" s="170">
        <v>0.87449999999999994</v>
      </c>
      <c r="DP193" s="171">
        <f t="shared" si="161"/>
        <v>1.4885999999999999</v>
      </c>
      <c r="DQ193" s="59">
        <v>6.83E-2</v>
      </c>
      <c r="DR193" s="59">
        <v>8.3699999999999997E-2</v>
      </c>
      <c r="DS193" s="59">
        <v>0</v>
      </c>
      <c r="DT193" s="59">
        <v>0</v>
      </c>
      <c r="DU193" s="59">
        <v>0</v>
      </c>
      <c r="DV193" s="59">
        <v>1.84E-2</v>
      </c>
      <c r="DW193" s="59">
        <v>1.2699999999999999E-2</v>
      </c>
      <c r="DX193" s="169">
        <v>0</v>
      </c>
      <c r="DY193" s="170">
        <v>1.8085</v>
      </c>
      <c r="DZ193" s="171">
        <f t="shared" si="162"/>
        <v>1.6641968482167542</v>
      </c>
      <c r="EA193" s="59">
        <v>0.74150000000000005</v>
      </c>
      <c r="EB193" s="171">
        <f t="shared" si="163"/>
        <v>1.8855023600809171</v>
      </c>
      <c r="EC193" s="59">
        <v>0.70379999999999998</v>
      </c>
      <c r="ED193" s="171">
        <f t="shared" si="164"/>
        <v>1.6557260585393578</v>
      </c>
      <c r="EE193" s="59">
        <v>7.9399999999999998E-2</v>
      </c>
      <c r="EF193" s="59">
        <v>1.0999999999999999E-2</v>
      </c>
      <c r="EG193" s="59">
        <v>0.22459999999999999</v>
      </c>
      <c r="EH193" s="59">
        <v>0</v>
      </c>
      <c r="EI193" s="244">
        <v>0.1356</v>
      </c>
      <c r="EJ193" s="245">
        <v>5.5587999999999997</v>
      </c>
      <c r="EK193" s="173"/>
      <c r="EL193" s="169">
        <v>0</v>
      </c>
      <c r="EM193" s="169">
        <v>0</v>
      </c>
      <c r="EN193" s="59"/>
      <c r="EO193" s="172"/>
      <c r="ES193" s="57">
        <f t="shared" si="174"/>
        <v>5.5587999999999997</v>
      </c>
      <c r="ET193" s="57">
        <f t="shared" si="175"/>
        <v>0</v>
      </c>
      <c r="EU193" s="31"/>
      <c r="EV193" s="61">
        <f t="shared" si="165"/>
        <v>1.8105886162481108</v>
      </c>
      <c r="EW193" s="62"/>
      <c r="EX193" s="159">
        <f t="shared" si="224"/>
        <v>-2.2478125714285704</v>
      </c>
      <c r="EY193" s="32">
        <f>ES193*1.386-BJ193</f>
        <v>-2.3602031999999991</v>
      </c>
      <c r="EZ193" s="158">
        <f t="shared" si="166"/>
        <v>10.064699999999998</v>
      </c>
      <c r="FA193" s="159">
        <f t="shared" si="167"/>
        <v>10.064699999999998</v>
      </c>
      <c r="FB193" s="158">
        <f>ES193*1.34</f>
        <v>7.4487920000000001</v>
      </c>
      <c r="FC193" s="158">
        <f>EZ193-FB193</f>
        <v>2.6159079999999983</v>
      </c>
      <c r="FD193" s="158"/>
      <c r="FE193" s="158"/>
      <c r="FF193" s="158"/>
      <c r="FG193" s="174"/>
      <c r="FH193" s="174">
        <f t="shared" si="176"/>
        <v>3444.1403399999995</v>
      </c>
      <c r="FI193" s="174"/>
      <c r="FJ193" s="87">
        <v>1.7598</v>
      </c>
      <c r="FK193" s="176">
        <f t="shared" si="177"/>
        <v>1.0288604479191448</v>
      </c>
      <c r="FM193" s="87" t="e">
        <f t="shared" si="178"/>
        <v>#DIV/0!</v>
      </c>
      <c r="FO193" s="88">
        <f t="shared" si="168"/>
        <v>3444.1403399999995</v>
      </c>
      <c r="FP193" s="79">
        <f t="shared" si="169"/>
        <v>0</v>
      </c>
      <c r="FS193" s="79">
        <f t="shared" si="170"/>
        <v>1902.2213599999998</v>
      </c>
      <c r="FT193" s="79">
        <f t="shared" si="171"/>
        <v>0</v>
      </c>
      <c r="FU193" s="79">
        <f t="shared" si="179"/>
        <v>1.8105886162481111</v>
      </c>
      <c r="FV193" s="79" t="e">
        <f t="shared" si="179"/>
        <v>#DIV/0!</v>
      </c>
      <c r="FY193" s="79">
        <f t="shared" si="180"/>
        <v>3444.1403399999995</v>
      </c>
      <c r="FZ193" s="79">
        <f t="shared" si="181"/>
        <v>0</v>
      </c>
      <c r="GB193" s="178">
        <f t="shared" si="182"/>
        <v>342.2</v>
      </c>
      <c r="GC193" s="178">
        <f t="shared" si="183"/>
        <v>0</v>
      </c>
      <c r="GE193" s="196"/>
      <c r="GF193" s="196"/>
      <c r="GG193" s="14">
        <v>7.9253999999999998</v>
      </c>
      <c r="GH193" s="197">
        <f t="shared" si="184"/>
        <v>1.2699295934590051</v>
      </c>
      <c r="GI193" s="14">
        <v>7.9253999999999998</v>
      </c>
      <c r="GJ193" s="197">
        <f t="shared" si="185"/>
        <v>1.2699295934590051</v>
      </c>
      <c r="GK193" s="197">
        <f t="shared" si="223"/>
        <v>0</v>
      </c>
      <c r="GL193" s="196"/>
      <c r="GM193" s="196"/>
      <c r="GN193" s="14">
        <v>10.0869</v>
      </c>
      <c r="GO193" s="197">
        <f t="shared" si="186"/>
        <v>1.2727307139071846</v>
      </c>
      <c r="GP193" s="198">
        <f t="shared" si="187"/>
        <v>0.99779912559854844</v>
      </c>
      <c r="GQ193" s="14">
        <v>10.0869</v>
      </c>
      <c r="GR193" s="197">
        <f t="shared" si="188"/>
        <v>1.2727307139071846</v>
      </c>
      <c r="GS193" s="197">
        <f t="shared" si="189"/>
        <v>0.99779912559854844</v>
      </c>
      <c r="GT193" s="196"/>
      <c r="GV193" s="32">
        <f t="shared" si="190"/>
        <v>3444.1403399999995</v>
      </c>
      <c r="GW193" s="32">
        <f t="shared" si="191"/>
        <v>0</v>
      </c>
      <c r="GX193" s="180">
        <f t="shared" si="192"/>
        <v>3444.1403399999995</v>
      </c>
      <c r="GZ193" s="32">
        <f t="shared" si="193"/>
        <v>10.064699999999998</v>
      </c>
      <c r="HA193" s="32" t="e">
        <f t="shared" si="194"/>
        <v>#DIV/0!</v>
      </c>
      <c r="HB193" s="32">
        <f t="shared" si="195"/>
        <v>10.064699999999998</v>
      </c>
    </row>
    <row r="194" spans="1:210" ht="19.2" customHeight="1" x14ac:dyDescent="0.3">
      <c r="A194" s="50">
        <v>186</v>
      </c>
      <c r="B194" s="51" t="s">
        <v>836</v>
      </c>
      <c r="C194" s="51" t="s">
        <v>834</v>
      </c>
      <c r="D194" s="52">
        <v>5</v>
      </c>
      <c r="E194" s="52">
        <v>3</v>
      </c>
      <c r="F194" s="63">
        <v>45</v>
      </c>
      <c r="G194" s="54" t="s">
        <v>141</v>
      </c>
      <c r="H194" s="181" t="s">
        <v>56</v>
      </c>
      <c r="I194" s="55">
        <f t="shared" si="172"/>
        <v>2462.1</v>
      </c>
      <c r="J194" s="55">
        <f t="shared" si="152"/>
        <v>0</v>
      </c>
      <c r="K194" s="55">
        <f t="shared" si="153"/>
        <v>0</v>
      </c>
      <c r="L194" s="56">
        <v>2462.1</v>
      </c>
      <c r="M194" s="56">
        <v>2462.1</v>
      </c>
      <c r="N194" s="56">
        <f t="shared" si="173"/>
        <v>2462.1</v>
      </c>
      <c r="O194" s="56">
        <v>0</v>
      </c>
      <c r="P194" s="56">
        <v>0</v>
      </c>
      <c r="Q194" s="55"/>
      <c r="R194" s="55">
        <v>2462.1</v>
      </c>
      <c r="S194" s="55"/>
      <c r="T194" s="55">
        <v>0</v>
      </c>
      <c r="U194" s="152">
        <v>2462.1</v>
      </c>
      <c r="V194" s="57">
        <v>0.15160000000000001</v>
      </c>
      <c r="W194" s="153">
        <v>7.8299999999999995E-2</v>
      </c>
      <c r="X194" s="57">
        <v>0.3201</v>
      </c>
      <c r="Y194" s="57">
        <v>0</v>
      </c>
      <c r="Z194" s="153">
        <v>4.0599999999999997E-2</v>
      </c>
      <c r="AA194" s="57">
        <v>0.39560000000000001</v>
      </c>
      <c r="AB194" s="153">
        <v>0</v>
      </c>
      <c r="AC194" s="57">
        <v>0.62080000000000002</v>
      </c>
      <c r="AD194" s="57">
        <v>0.43359999999999999</v>
      </c>
      <c r="AE194" s="57">
        <v>0</v>
      </c>
      <c r="AF194" s="57">
        <v>1.9492</v>
      </c>
      <c r="AG194" s="57">
        <v>0.20050000000000001</v>
      </c>
      <c r="AH194" s="57">
        <v>0.27779999999999999</v>
      </c>
      <c r="AI194" s="153">
        <v>8.5699999999999998E-2</v>
      </c>
      <c r="AJ194" s="153">
        <v>0</v>
      </c>
      <c r="AK194" s="153">
        <v>7.8899999999999998E-2</v>
      </c>
      <c r="AL194" s="57">
        <v>0.13719999999999999</v>
      </c>
      <c r="AM194" s="153">
        <v>3.5099999999999999E-2</v>
      </c>
      <c r="AN194" s="57">
        <v>0</v>
      </c>
      <c r="AO194" s="153">
        <v>2.044</v>
      </c>
      <c r="AP194" s="57">
        <v>1.0837000000000001</v>
      </c>
      <c r="AQ194" s="57">
        <v>8.1600000000000006E-2</v>
      </c>
      <c r="AR194" s="153">
        <v>0.44369999999999998</v>
      </c>
      <c r="AS194" s="57">
        <v>5.5899999999999998E-2</v>
      </c>
      <c r="AT194" s="57">
        <v>9.1000000000000004E-3</v>
      </c>
      <c r="AU194" s="153">
        <v>0.52129999999999999</v>
      </c>
      <c r="AV194" s="153">
        <v>0</v>
      </c>
      <c r="AW194" s="154">
        <v>9.0442999999999998</v>
      </c>
      <c r="AX194" s="58">
        <v>0.45219999999999999</v>
      </c>
      <c r="AY194" s="155">
        <f t="shared" si="154"/>
        <v>0.4481</v>
      </c>
      <c r="AZ194" s="155">
        <f t="shared" si="155"/>
        <v>4.0999999999999925E-3</v>
      </c>
      <c r="BA194" s="14">
        <v>9.4964999999999993</v>
      </c>
      <c r="BB194" s="59">
        <f>BA194-'[1]Тариф 26 свод без  ПДВ'!AU194</f>
        <v>-3.8000000000000256E-3</v>
      </c>
      <c r="BC194" s="57">
        <v>0</v>
      </c>
      <c r="BD194" s="57">
        <v>0</v>
      </c>
      <c r="BE194" s="57">
        <v>0</v>
      </c>
      <c r="BF194" s="156">
        <v>9.0442999999999998</v>
      </c>
      <c r="BG194" s="59">
        <v>0.45219999999999999</v>
      </c>
      <c r="BH194" s="59"/>
      <c r="BI194" s="59"/>
      <c r="BJ194" s="14">
        <v>9.4964999999999993</v>
      </c>
      <c r="BK194" s="60"/>
      <c r="BL194" s="60">
        <v>4.9515999999999991</v>
      </c>
      <c r="BM194" s="60">
        <v>0.24759999999999999</v>
      </c>
      <c r="BN194" s="14">
        <v>5.1991999999999994</v>
      </c>
      <c r="BO194" s="14"/>
      <c r="BP194" s="157"/>
      <c r="BQ194" s="158">
        <f>BJ194-'[1]Тариф 26 свод без  ПДВ'!BG194</f>
        <v>-3.8000000000000256E-3</v>
      </c>
      <c r="BR194" s="77">
        <f>'[1]Тариф 26 свод без  ПДВ'!BG194</f>
        <v>9.5002999999999993</v>
      </c>
      <c r="BS194" s="159">
        <f t="shared" si="156"/>
        <v>-3.8000000000000256E-3</v>
      </c>
      <c r="BU194" s="77">
        <f>'[1]Тариф 26 свод без  ПДВ'!AU194</f>
        <v>9.5002999999999993</v>
      </c>
      <c r="BV194" s="159">
        <f t="shared" si="157"/>
        <v>-3.8000000000000256E-3</v>
      </c>
      <c r="BX194" s="95">
        <v>4.3025000000000002</v>
      </c>
      <c r="BY194" s="95">
        <v>4.3025000000000002</v>
      </c>
      <c r="BZ194" s="95"/>
      <c r="CA194" s="62">
        <f t="shared" si="158"/>
        <v>2.2072051133062169</v>
      </c>
      <c r="CB194" s="62">
        <f t="shared" si="159"/>
        <v>2.2072051133062169</v>
      </c>
      <c r="CI194" s="160">
        <f>'[1]0 СВОД'!AYY209</f>
        <v>23381.132542010026</v>
      </c>
      <c r="CJ194" s="77">
        <f t="shared" si="160"/>
        <v>280573.59050412034</v>
      </c>
      <c r="CM194" s="161">
        <v>191</v>
      </c>
      <c r="CN194" s="162" t="s">
        <v>837</v>
      </c>
      <c r="CO194" s="163">
        <v>5</v>
      </c>
      <c r="CP194" s="163">
        <v>3</v>
      </c>
      <c r="CQ194" s="164" t="s">
        <v>141</v>
      </c>
      <c r="CR194" s="165" t="s">
        <v>56</v>
      </c>
      <c r="CS194" s="166">
        <v>2460.8000000000002</v>
      </c>
      <c r="CT194" s="166">
        <v>0</v>
      </c>
      <c r="CU194" s="167">
        <v>0</v>
      </c>
      <c r="CV194" s="168">
        <v>2460.8000000000002</v>
      </c>
      <c r="CW194" s="166">
        <v>2460.8000000000002</v>
      </c>
      <c r="CX194" s="167">
        <v>0</v>
      </c>
      <c r="CY194" s="166">
        <v>0</v>
      </c>
      <c r="CZ194" s="166"/>
      <c r="DA194" s="166">
        <v>2460.8000000000002</v>
      </c>
      <c r="DB194" s="166"/>
      <c r="DC194" s="166">
        <v>0</v>
      </c>
      <c r="DD194" s="59">
        <v>0.1487</v>
      </c>
      <c r="DE194" s="59">
        <v>0.1273</v>
      </c>
      <c r="DF194" s="59">
        <v>0.21049999999999999</v>
      </c>
      <c r="DG194" s="59">
        <v>0</v>
      </c>
      <c r="DH194" s="59">
        <v>1.5299999999999999E-2</v>
      </c>
      <c r="DI194" s="59">
        <v>0.17269999999999999</v>
      </c>
      <c r="DJ194" s="59">
        <v>4.8099999999999997E-2</v>
      </c>
      <c r="DK194" s="59">
        <v>0.33839999999999998</v>
      </c>
      <c r="DL194" s="169">
        <v>0</v>
      </c>
      <c r="DM194" s="59">
        <v>0.26400000000000001</v>
      </c>
      <c r="DN194" s="169">
        <v>0</v>
      </c>
      <c r="DO194" s="246">
        <v>0.90859999999999996</v>
      </c>
      <c r="DP194" s="171">
        <f t="shared" si="161"/>
        <v>1.9492</v>
      </c>
      <c r="DQ194" s="59">
        <v>9.6600000000000005E-2</v>
      </c>
      <c r="DR194" s="59">
        <v>0.1663</v>
      </c>
      <c r="DS194" s="59">
        <v>2.2200000000000001E-2</v>
      </c>
      <c r="DT194" s="59">
        <v>0</v>
      </c>
      <c r="DU194" s="59">
        <v>3.3300000000000003E-2</v>
      </c>
      <c r="DV194" s="59">
        <v>4.7800000000000002E-2</v>
      </c>
      <c r="DW194" s="59">
        <v>9.9000000000000008E-3</v>
      </c>
      <c r="DX194" s="169">
        <v>0</v>
      </c>
      <c r="DY194" s="246">
        <v>1.4513</v>
      </c>
      <c r="DZ194" s="171">
        <f t="shared" si="162"/>
        <v>1.4083924757114312</v>
      </c>
      <c r="EA194" s="59">
        <v>0.65239999999999998</v>
      </c>
      <c r="EB194" s="171">
        <f t="shared" si="163"/>
        <v>1.7861741263028821</v>
      </c>
      <c r="EC194" s="59">
        <v>0.56889999999999996</v>
      </c>
      <c r="ED194" s="171">
        <f t="shared" si="164"/>
        <v>0.77992617331692737</v>
      </c>
      <c r="EE194" s="59">
        <v>4.2799999999999998E-2</v>
      </c>
      <c r="EF194" s="59">
        <v>5.8999999999999999E-3</v>
      </c>
      <c r="EG194" s="59">
        <v>0.35360000000000003</v>
      </c>
      <c r="EH194" s="59">
        <v>0</v>
      </c>
      <c r="EI194" s="244">
        <v>0.1421</v>
      </c>
      <c r="EJ194" s="245">
        <v>5.8267000000000007</v>
      </c>
      <c r="EK194" s="173"/>
      <c r="EL194" s="169">
        <v>0</v>
      </c>
      <c r="EM194" s="169">
        <v>0</v>
      </c>
      <c r="EN194" s="59"/>
      <c r="EO194" s="172"/>
      <c r="ES194" s="57">
        <f t="shared" si="174"/>
        <v>5.8267000000000007</v>
      </c>
      <c r="ET194" s="57">
        <f t="shared" si="175"/>
        <v>0</v>
      </c>
      <c r="EU194" s="31"/>
      <c r="EV194" s="65">
        <f t="shared" si="165"/>
        <v>1.6298247721694954</v>
      </c>
      <c r="EW194" s="62"/>
      <c r="EX194" s="158">
        <f>ES194*1.305-BA194</f>
        <v>-1.8926564999999984</v>
      </c>
      <c r="EY194" s="77">
        <f t="shared" ref="EY194:EY195" si="225">ES194*1.344</f>
        <v>7.8310848000000011</v>
      </c>
      <c r="EZ194" s="158">
        <f t="shared" si="166"/>
        <v>9.4964999999999993</v>
      </c>
      <c r="FA194" s="158">
        <f t="shared" si="167"/>
        <v>9.4964999999999993</v>
      </c>
      <c r="FH194" s="174">
        <f t="shared" si="176"/>
        <v>23381.332649999997</v>
      </c>
      <c r="FJ194" s="87">
        <v>1.1383287280965209</v>
      </c>
      <c r="FK194" s="176">
        <f t="shared" si="177"/>
        <v>1.4317698674747843</v>
      </c>
      <c r="FM194" s="87" t="e">
        <f t="shared" si="178"/>
        <v>#DIV/0!</v>
      </c>
      <c r="FO194" s="88">
        <f t="shared" si="168"/>
        <v>23381.332649999997</v>
      </c>
      <c r="FP194" s="79">
        <f t="shared" si="169"/>
        <v>0</v>
      </c>
      <c r="FS194" s="79">
        <f t="shared" si="170"/>
        <v>14345.918070000002</v>
      </c>
      <c r="FT194" s="79">
        <f t="shared" si="171"/>
        <v>0</v>
      </c>
      <c r="FU194" s="79">
        <f t="shared" si="179"/>
        <v>1.6298247721694952</v>
      </c>
      <c r="FV194" s="79" t="e">
        <f t="shared" si="179"/>
        <v>#DIV/0!</v>
      </c>
      <c r="FY194" s="79">
        <f t="shared" si="180"/>
        <v>23381.332649999997</v>
      </c>
      <c r="FZ194" s="79">
        <f t="shared" si="181"/>
        <v>0</v>
      </c>
      <c r="GB194" s="178">
        <f t="shared" si="182"/>
        <v>2462.1</v>
      </c>
      <c r="GC194" s="178">
        <f t="shared" si="183"/>
        <v>0</v>
      </c>
      <c r="GG194" s="14">
        <v>7.5612000000000013</v>
      </c>
      <c r="GH194" s="175">
        <f t="shared" si="184"/>
        <v>1.2559514362799553</v>
      </c>
      <c r="GI194" s="14">
        <v>7.5612000000000013</v>
      </c>
      <c r="GJ194" s="175">
        <f t="shared" si="185"/>
        <v>1.2559514362799553</v>
      </c>
      <c r="GK194" s="175">
        <f t="shared" si="223"/>
        <v>0</v>
      </c>
      <c r="GN194" s="14">
        <v>9.492799999999999</v>
      </c>
      <c r="GO194" s="175">
        <f t="shared" si="186"/>
        <v>1.2554620959636034</v>
      </c>
      <c r="GP194" s="179">
        <f t="shared" si="187"/>
        <v>1.0003897690881511</v>
      </c>
      <c r="GQ194" s="14">
        <v>9.492799999999999</v>
      </c>
      <c r="GR194" s="175">
        <f t="shared" si="188"/>
        <v>1.2554620959636034</v>
      </c>
      <c r="GS194" s="175">
        <f t="shared" si="189"/>
        <v>1.0003897690881511</v>
      </c>
      <c r="GV194" s="32">
        <f t="shared" si="190"/>
        <v>23381.332649999997</v>
      </c>
      <c r="GW194" s="32">
        <f t="shared" si="191"/>
        <v>0</v>
      </c>
      <c r="GX194" s="180">
        <f t="shared" si="192"/>
        <v>23381.332649999997</v>
      </c>
      <c r="GZ194" s="32">
        <f t="shared" si="193"/>
        <v>9.4964999999999993</v>
      </c>
      <c r="HA194" s="32" t="e">
        <f t="shared" si="194"/>
        <v>#DIV/0!</v>
      </c>
      <c r="HB194" s="32">
        <f t="shared" si="195"/>
        <v>9.4964999999999993</v>
      </c>
    </row>
    <row r="195" spans="1:210" ht="19.2" customHeight="1" x14ac:dyDescent="0.3">
      <c r="A195" s="50">
        <v>187</v>
      </c>
      <c r="B195" s="51" t="s">
        <v>838</v>
      </c>
      <c r="C195" s="51" t="s">
        <v>834</v>
      </c>
      <c r="D195" s="52">
        <v>5</v>
      </c>
      <c r="E195" s="52">
        <v>2</v>
      </c>
      <c r="F195" s="63">
        <v>30</v>
      </c>
      <c r="G195" s="54" t="s">
        <v>142</v>
      </c>
      <c r="H195" s="181" t="s">
        <v>56</v>
      </c>
      <c r="I195" s="55">
        <f t="shared" si="172"/>
        <v>1508.5</v>
      </c>
      <c r="J195" s="55">
        <f t="shared" si="152"/>
        <v>0</v>
      </c>
      <c r="K195" s="55">
        <f t="shared" si="153"/>
        <v>0</v>
      </c>
      <c r="L195" s="56">
        <v>1508.5</v>
      </c>
      <c r="M195" s="56">
        <v>1508.5</v>
      </c>
      <c r="N195" s="56">
        <f t="shared" si="173"/>
        <v>1508.5</v>
      </c>
      <c r="O195" s="56">
        <v>0</v>
      </c>
      <c r="P195" s="56">
        <v>0</v>
      </c>
      <c r="Q195" s="55"/>
      <c r="R195" s="55">
        <v>1508.5</v>
      </c>
      <c r="S195" s="55"/>
      <c r="T195" s="55">
        <v>0</v>
      </c>
      <c r="U195" s="152">
        <v>1508.5</v>
      </c>
      <c r="V195" s="57">
        <v>0.1681</v>
      </c>
      <c r="W195" s="153">
        <v>8.6900000000000005E-2</v>
      </c>
      <c r="X195" s="57">
        <v>0.31419999999999998</v>
      </c>
      <c r="Y195" s="57">
        <v>0</v>
      </c>
      <c r="Z195" s="153">
        <v>2.8500000000000001E-2</v>
      </c>
      <c r="AA195" s="57">
        <v>0.33029999999999998</v>
      </c>
      <c r="AB195" s="153">
        <v>0</v>
      </c>
      <c r="AC195" s="57">
        <v>0.62080000000000002</v>
      </c>
      <c r="AD195" s="57">
        <v>0.4718</v>
      </c>
      <c r="AE195" s="57">
        <v>0</v>
      </c>
      <c r="AF195" s="57">
        <v>1.6285000000000001</v>
      </c>
      <c r="AG195" s="57">
        <v>0.22389999999999999</v>
      </c>
      <c r="AH195" s="57">
        <v>0.30809999999999998</v>
      </c>
      <c r="AI195" s="153">
        <v>8.5000000000000006E-2</v>
      </c>
      <c r="AJ195" s="153">
        <v>0</v>
      </c>
      <c r="AK195" s="153">
        <v>5.5399999999999998E-2</v>
      </c>
      <c r="AL195" s="57">
        <v>0.1162</v>
      </c>
      <c r="AM195" s="153">
        <v>3.5999999999999997E-2</v>
      </c>
      <c r="AN195" s="57">
        <v>0</v>
      </c>
      <c r="AO195" s="153">
        <v>2.8871000000000002</v>
      </c>
      <c r="AP195" s="57">
        <v>1.1234999999999999</v>
      </c>
      <c r="AQ195" s="57">
        <v>9.2700000000000005E-2</v>
      </c>
      <c r="AR195" s="153">
        <v>0.75070000000000003</v>
      </c>
      <c r="AS195" s="57">
        <v>5.8200000000000002E-2</v>
      </c>
      <c r="AT195" s="57">
        <v>9.4000000000000004E-3</v>
      </c>
      <c r="AU195" s="153">
        <v>0.18179999999999999</v>
      </c>
      <c r="AV195" s="153">
        <v>0</v>
      </c>
      <c r="AW195" s="154">
        <v>9.5770999999999997</v>
      </c>
      <c r="AX195" s="58">
        <v>0.47889999999999999</v>
      </c>
      <c r="AY195" s="155">
        <f t="shared" si="154"/>
        <v>0.47420000000000001</v>
      </c>
      <c r="AZ195" s="155">
        <f t="shared" si="155"/>
        <v>4.699999999999982E-3</v>
      </c>
      <c r="BA195" s="14">
        <v>10.055999999999999</v>
      </c>
      <c r="BB195" s="59">
        <f>BA195-'[1]Тариф 26 свод без  ПДВ'!AU195</f>
        <v>-1.1000000000009891E-3</v>
      </c>
      <c r="BC195" s="57">
        <v>0</v>
      </c>
      <c r="BD195" s="57">
        <v>0</v>
      </c>
      <c r="BE195" s="57">
        <v>0</v>
      </c>
      <c r="BF195" s="156">
        <v>9.5770999999999997</v>
      </c>
      <c r="BG195" s="59">
        <v>0.47889999999999999</v>
      </c>
      <c r="BH195" s="59"/>
      <c r="BI195" s="59"/>
      <c r="BJ195" s="14">
        <v>10.055999999999999</v>
      </c>
      <c r="BK195" s="60"/>
      <c r="BL195" s="60">
        <v>4.6339999999999986</v>
      </c>
      <c r="BM195" s="60">
        <v>0.23169999999999999</v>
      </c>
      <c r="BN195" s="14">
        <v>4.8656999999999986</v>
      </c>
      <c r="BO195" s="14"/>
      <c r="BP195" s="157"/>
      <c r="BQ195" s="158">
        <f>BJ195-'[1]Тариф 26 свод без  ПДВ'!BG195</f>
        <v>-1.1000000000009891E-3</v>
      </c>
      <c r="BR195" s="77">
        <f>'[1]Тариф 26 свод без  ПДВ'!BG195</f>
        <v>10.0571</v>
      </c>
      <c r="BS195" s="159">
        <f t="shared" si="156"/>
        <v>-1.1000000000009891E-3</v>
      </c>
      <c r="BU195" s="77">
        <f>'[1]Тариф 26 свод без  ПДВ'!AU195</f>
        <v>10.0571</v>
      </c>
      <c r="BV195" s="159">
        <f t="shared" si="157"/>
        <v>-1.1000000000009891E-3</v>
      </c>
      <c r="BX195" s="95">
        <v>4.5936000000000003</v>
      </c>
      <c r="BY195" s="95">
        <v>4.5936000000000003</v>
      </c>
      <c r="BZ195" s="95"/>
      <c r="CA195" s="62">
        <f t="shared" si="158"/>
        <v>2.1891327063740853</v>
      </c>
      <c r="CB195" s="62">
        <f t="shared" si="159"/>
        <v>2.1891327063740853</v>
      </c>
      <c r="CI195" s="160">
        <f>'[1]0 СВОД'!AYY210</f>
        <v>15169.450344469833</v>
      </c>
      <c r="CJ195" s="77">
        <f t="shared" si="160"/>
        <v>182033.40413363799</v>
      </c>
      <c r="CM195" s="161">
        <v>192</v>
      </c>
      <c r="CN195" s="162" t="s">
        <v>839</v>
      </c>
      <c r="CO195" s="163">
        <v>5</v>
      </c>
      <c r="CP195" s="163">
        <v>2</v>
      </c>
      <c r="CQ195" s="164" t="s">
        <v>142</v>
      </c>
      <c r="CR195" s="165" t="s">
        <v>56</v>
      </c>
      <c r="CS195" s="166">
        <v>1504.3</v>
      </c>
      <c r="CT195" s="166">
        <v>0</v>
      </c>
      <c r="CU195" s="167">
        <v>0</v>
      </c>
      <c r="CV195" s="168">
        <v>1504.3</v>
      </c>
      <c r="CW195" s="166">
        <v>1504.3</v>
      </c>
      <c r="CX195" s="167">
        <v>0</v>
      </c>
      <c r="CY195" s="166">
        <v>0</v>
      </c>
      <c r="CZ195" s="166"/>
      <c r="DA195" s="166">
        <v>1504.3</v>
      </c>
      <c r="DB195" s="166"/>
      <c r="DC195" s="166">
        <v>0</v>
      </c>
      <c r="DD195" s="59">
        <v>0.16500000000000001</v>
      </c>
      <c r="DE195" s="59">
        <v>0.1416</v>
      </c>
      <c r="DF195" s="59">
        <v>0.2069</v>
      </c>
      <c r="DG195" s="59">
        <v>0</v>
      </c>
      <c r="DH195" s="59">
        <v>1.0699999999999999E-2</v>
      </c>
      <c r="DI195" s="59">
        <v>0.14230000000000001</v>
      </c>
      <c r="DJ195" s="59">
        <v>4.8099999999999997E-2</v>
      </c>
      <c r="DK195" s="59">
        <v>0.33839999999999998</v>
      </c>
      <c r="DL195" s="169">
        <v>0</v>
      </c>
      <c r="DM195" s="59">
        <v>0.28789999999999999</v>
      </c>
      <c r="DN195" s="169">
        <v>0</v>
      </c>
      <c r="DO195" s="246">
        <v>0.8367</v>
      </c>
      <c r="DP195" s="171">
        <f t="shared" si="161"/>
        <v>1.6285000000000001</v>
      </c>
      <c r="DQ195" s="59">
        <v>0.1081</v>
      </c>
      <c r="DR195" s="59">
        <v>0.18479999999999999</v>
      </c>
      <c r="DS195" s="59">
        <v>2.2100000000000002E-2</v>
      </c>
      <c r="DT195" s="59">
        <v>0</v>
      </c>
      <c r="DU195" s="59">
        <v>2.3400000000000001E-2</v>
      </c>
      <c r="DV195" s="59">
        <v>2.3199999999999998E-2</v>
      </c>
      <c r="DW195" s="59">
        <v>1.04E-2</v>
      </c>
      <c r="DX195" s="169">
        <v>0</v>
      </c>
      <c r="DY195" s="246">
        <v>1.8458000000000001</v>
      </c>
      <c r="DZ195" s="171">
        <f t="shared" si="162"/>
        <v>1.5641456279120165</v>
      </c>
      <c r="EA195" s="59">
        <v>0.68020000000000003</v>
      </c>
      <c r="EB195" s="171">
        <f t="shared" si="163"/>
        <v>1.7880035283740074</v>
      </c>
      <c r="EC195" s="59">
        <v>0.72629999999999995</v>
      </c>
      <c r="ED195" s="171">
        <f t="shared" si="164"/>
        <v>1.0335949332231862</v>
      </c>
      <c r="EE195" s="59">
        <v>4.4600000000000001E-2</v>
      </c>
      <c r="EF195" s="59">
        <v>6.1999999999999998E-3</v>
      </c>
      <c r="EG195" s="59">
        <v>0.14330000000000001</v>
      </c>
      <c r="EH195" s="59">
        <v>0</v>
      </c>
      <c r="EI195" s="244">
        <v>0.14990000000000001</v>
      </c>
      <c r="EJ195" s="245">
        <v>6.1459000000000001</v>
      </c>
      <c r="EK195" s="173"/>
      <c r="EL195" s="169">
        <v>0</v>
      </c>
      <c r="EM195" s="169">
        <v>0</v>
      </c>
      <c r="EN195" s="59"/>
      <c r="EO195" s="172"/>
      <c r="ES195" s="57">
        <f t="shared" si="174"/>
        <v>6.1459000000000001</v>
      </c>
      <c r="ET195" s="57">
        <f t="shared" si="175"/>
        <v>0</v>
      </c>
      <c r="EU195" s="31"/>
      <c r="EV195" s="65">
        <f t="shared" si="165"/>
        <v>1.6362127597259961</v>
      </c>
      <c r="EW195" s="62"/>
      <c r="EX195" s="158">
        <f>ES195*1.305-BA195</f>
        <v>-2.0356004999999993</v>
      </c>
      <c r="EY195" s="77">
        <f t="shared" si="225"/>
        <v>8.2600896000000006</v>
      </c>
      <c r="EZ195" s="158">
        <f t="shared" si="166"/>
        <v>10.055999999999999</v>
      </c>
      <c r="FA195" s="174">
        <f t="shared" si="167"/>
        <v>10.055999999999999</v>
      </c>
      <c r="FH195" s="174">
        <f t="shared" si="176"/>
        <v>15169.475999999999</v>
      </c>
      <c r="FJ195" s="87">
        <v>1.2182593273564488</v>
      </c>
      <c r="FK195" s="176">
        <f t="shared" si="177"/>
        <v>1.3430742724346563</v>
      </c>
      <c r="FM195" s="87" t="e">
        <f t="shared" si="178"/>
        <v>#DIV/0!</v>
      </c>
      <c r="FO195" s="88">
        <f t="shared" si="168"/>
        <v>15169.475999999999</v>
      </c>
      <c r="FP195" s="79">
        <f t="shared" si="169"/>
        <v>0</v>
      </c>
      <c r="FS195" s="79">
        <f t="shared" si="170"/>
        <v>9271.09015</v>
      </c>
      <c r="FT195" s="79">
        <f t="shared" si="171"/>
        <v>0</v>
      </c>
      <c r="FU195" s="79">
        <f t="shared" si="179"/>
        <v>1.6362127597259961</v>
      </c>
      <c r="FV195" s="79" t="e">
        <f t="shared" si="179"/>
        <v>#DIV/0!</v>
      </c>
      <c r="FY195" s="79">
        <f t="shared" si="180"/>
        <v>15169.475999999999</v>
      </c>
      <c r="FZ195" s="79">
        <f t="shared" si="181"/>
        <v>0</v>
      </c>
      <c r="GB195" s="178">
        <f t="shared" si="182"/>
        <v>1508.5</v>
      </c>
      <c r="GC195" s="178">
        <f t="shared" si="183"/>
        <v>0</v>
      </c>
      <c r="GG195" s="14">
        <v>7.9184999999999999</v>
      </c>
      <c r="GH195" s="175">
        <f t="shared" si="184"/>
        <v>1.2699374881606365</v>
      </c>
      <c r="GI195" s="14">
        <v>7.9184999999999999</v>
      </c>
      <c r="GJ195" s="175">
        <f t="shared" si="185"/>
        <v>1.2699374881606365</v>
      </c>
      <c r="GK195" s="175">
        <f t="shared" si="223"/>
        <v>0</v>
      </c>
      <c r="GN195" s="14">
        <v>10.281399999999998</v>
      </c>
      <c r="GO195" s="175">
        <f t="shared" si="186"/>
        <v>1.2984024752162655</v>
      </c>
      <c r="GP195" s="179">
        <f t="shared" si="187"/>
        <v>0.97807691559515253</v>
      </c>
      <c r="GQ195" s="14">
        <v>10.281399999999998</v>
      </c>
      <c r="GR195" s="175">
        <f t="shared" si="188"/>
        <v>1.2984024752162655</v>
      </c>
      <c r="GS195" s="175">
        <f t="shared" si="189"/>
        <v>0.97807691559515253</v>
      </c>
      <c r="GV195" s="32">
        <f t="shared" si="190"/>
        <v>15169.475999999999</v>
      </c>
      <c r="GW195" s="32">
        <f t="shared" si="191"/>
        <v>0</v>
      </c>
      <c r="GX195" s="180">
        <f t="shared" si="192"/>
        <v>15169.475999999999</v>
      </c>
      <c r="GZ195" s="32">
        <f t="shared" si="193"/>
        <v>10.055999999999999</v>
      </c>
      <c r="HA195" s="32" t="e">
        <f t="shared" si="194"/>
        <v>#DIV/0!</v>
      </c>
      <c r="HB195" s="32">
        <f t="shared" si="195"/>
        <v>10.055999999999999</v>
      </c>
    </row>
    <row r="196" spans="1:210" ht="19.2" customHeight="1" x14ac:dyDescent="0.3">
      <c r="A196" s="50">
        <v>188</v>
      </c>
      <c r="B196" s="51" t="s">
        <v>840</v>
      </c>
      <c r="C196" s="51" t="s">
        <v>834</v>
      </c>
      <c r="D196" s="52">
        <v>2</v>
      </c>
      <c r="E196" s="52">
        <v>2</v>
      </c>
      <c r="F196" s="187">
        <v>16</v>
      </c>
      <c r="G196" s="54" t="s">
        <v>31</v>
      </c>
      <c r="H196" s="181" t="s">
        <v>8</v>
      </c>
      <c r="I196" s="55">
        <f t="shared" si="172"/>
        <v>620.9</v>
      </c>
      <c r="J196" s="55">
        <f t="shared" si="152"/>
        <v>0</v>
      </c>
      <c r="K196" s="55">
        <f t="shared" si="153"/>
        <v>0</v>
      </c>
      <c r="L196" s="56">
        <v>620.9</v>
      </c>
      <c r="M196" s="56">
        <v>620.9</v>
      </c>
      <c r="N196" s="56">
        <f t="shared" si="173"/>
        <v>620.9</v>
      </c>
      <c r="O196" s="56">
        <v>0</v>
      </c>
      <c r="P196" s="56">
        <v>0</v>
      </c>
      <c r="Q196" s="55"/>
      <c r="R196" s="55">
        <v>620.9</v>
      </c>
      <c r="S196" s="55"/>
      <c r="T196" s="55">
        <v>0</v>
      </c>
      <c r="U196" s="152">
        <v>620.9</v>
      </c>
      <c r="V196" s="12">
        <v>0.23419999999999999</v>
      </c>
      <c r="W196" s="12">
        <v>0.14810000000000001</v>
      </c>
      <c r="X196" s="12">
        <v>0</v>
      </c>
      <c r="Y196" s="12">
        <v>0</v>
      </c>
      <c r="Z196" s="12">
        <v>0</v>
      </c>
      <c r="AA196" s="12">
        <v>0.46889999999999998</v>
      </c>
      <c r="AB196" s="12">
        <v>0</v>
      </c>
      <c r="AC196" s="12">
        <v>0.61070000000000002</v>
      </c>
      <c r="AD196" s="12">
        <v>0.30570000000000003</v>
      </c>
      <c r="AE196" s="12">
        <v>0</v>
      </c>
      <c r="AF196" s="12">
        <v>1.8075000000000001</v>
      </c>
      <c r="AG196" s="12">
        <v>0.26369999999999999</v>
      </c>
      <c r="AH196" s="12">
        <v>0.32529999999999998</v>
      </c>
      <c r="AI196" s="12">
        <v>0</v>
      </c>
      <c r="AJ196" s="12">
        <v>0</v>
      </c>
      <c r="AK196" s="12">
        <v>0</v>
      </c>
      <c r="AL196" s="12">
        <v>9.1999999999999998E-2</v>
      </c>
      <c r="AM196" s="12">
        <v>4.1399999999999999E-2</v>
      </c>
      <c r="AN196" s="12">
        <v>0</v>
      </c>
      <c r="AO196" s="12">
        <v>3.3967000000000001</v>
      </c>
      <c r="AP196" s="12">
        <v>0.54969999999999997</v>
      </c>
      <c r="AQ196" s="12">
        <v>0</v>
      </c>
      <c r="AR196" s="12">
        <v>1.0062</v>
      </c>
      <c r="AS196" s="12">
        <v>0</v>
      </c>
      <c r="AT196" s="12">
        <v>0</v>
      </c>
      <c r="AU196" s="12">
        <v>0.33339999999999997</v>
      </c>
      <c r="AV196" s="12">
        <v>0</v>
      </c>
      <c r="AW196" s="188">
        <v>9.583499999999999</v>
      </c>
      <c r="AX196" s="13">
        <v>0.47920000000000001</v>
      </c>
      <c r="AY196" s="189">
        <f t="shared" si="154"/>
        <v>0.47920000000000001</v>
      </c>
      <c r="AZ196" s="189">
        <f t="shared" si="155"/>
        <v>0</v>
      </c>
      <c r="BA196" s="14">
        <v>10.0627</v>
      </c>
      <c r="BB196" s="190">
        <f>BA196-'[1]Тариф 26 свод без  ПДВ'!AU196</f>
        <v>-8.9999999999967883E-4</v>
      </c>
      <c r="BC196" s="12">
        <v>0</v>
      </c>
      <c r="BD196" s="12">
        <v>0</v>
      </c>
      <c r="BE196" s="12">
        <v>0</v>
      </c>
      <c r="BF196" s="191">
        <v>9.583499999999999</v>
      </c>
      <c r="BG196" s="190">
        <v>0.47920000000000001</v>
      </c>
      <c r="BH196" s="190"/>
      <c r="BI196" s="190"/>
      <c r="BJ196" s="14">
        <v>10.0627</v>
      </c>
      <c r="BK196" s="60"/>
      <c r="BL196" s="60">
        <v>4.2975000000000003</v>
      </c>
      <c r="BM196" s="60">
        <v>0.21490000000000001</v>
      </c>
      <c r="BN196" s="14">
        <v>4.5124000000000004</v>
      </c>
      <c r="BO196" s="14"/>
      <c r="BP196" s="157"/>
      <c r="BQ196" s="158">
        <f>BJ196-'[1]Тариф 26 свод без  ПДВ'!BG196</f>
        <v>-8.9999999999967883E-4</v>
      </c>
      <c r="BR196" s="77">
        <f>'[1]Тариф 26 свод без  ПДВ'!BG196</f>
        <v>10.063599999999999</v>
      </c>
      <c r="BS196" s="159">
        <f t="shared" si="156"/>
        <v>-8.9999999999967883E-4</v>
      </c>
      <c r="BU196" s="77">
        <f>'[1]Тариф 26 свод без  ПДВ'!AU196</f>
        <v>10.063599999999999</v>
      </c>
      <c r="BV196" s="159">
        <f t="shared" si="157"/>
        <v>-8.9999999999967883E-4</v>
      </c>
      <c r="BX196" s="95">
        <v>3.1997</v>
      </c>
      <c r="BY196" s="95">
        <v>3.1997</v>
      </c>
      <c r="BZ196" s="95"/>
      <c r="CA196" s="62">
        <f t="shared" si="158"/>
        <v>3.1448885833046845</v>
      </c>
      <c r="CB196" s="62">
        <f t="shared" si="159"/>
        <v>3.1448885833046845</v>
      </c>
      <c r="CI196" s="160">
        <f>'[1]0 СВОД'!AYY211</f>
        <v>6247.9313443823667</v>
      </c>
      <c r="CJ196" s="77">
        <f t="shared" si="160"/>
        <v>74975.1761325884</v>
      </c>
      <c r="CM196" s="161">
        <v>193</v>
      </c>
      <c r="CN196" s="247" t="s">
        <v>841</v>
      </c>
      <c r="CO196" s="163">
        <v>2</v>
      </c>
      <c r="CP196" s="163">
        <v>2</v>
      </c>
      <c r="CQ196" s="164" t="s">
        <v>31</v>
      </c>
      <c r="CR196" s="165" t="s">
        <v>8</v>
      </c>
      <c r="CS196" s="166">
        <v>620.9</v>
      </c>
      <c r="CT196" s="166">
        <v>0</v>
      </c>
      <c r="CU196" s="167">
        <v>0</v>
      </c>
      <c r="CV196" s="168">
        <v>620.9</v>
      </c>
      <c r="CW196" s="166">
        <v>620.9</v>
      </c>
      <c r="CX196" s="167">
        <v>0</v>
      </c>
      <c r="CY196" s="166">
        <v>0</v>
      </c>
      <c r="CZ196" s="166"/>
      <c r="DA196" s="166">
        <v>620.9</v>
      </c>
      <c r="DB196" s="166"/>
      <c r="DC196" s="166">
        <v>0</v>
      </c>
      <c r="DD196" s="59">
        <v>0.23549999999999999</v>
      </c>
      <c r="DE196" s="59">
        <v>0.1714</v>
      </c>
      <c r="DF196" s="59">
        <v>0</v>
      </c>
      <c r="DG196" s="59">
        <v>0</v>
      </c>
      <c r="DH196" s="59">
        <v>0</v>
      </c>
      <c r="DI196" s="59">
        <v>0.1956</v>
      </c>
      <c r="DJ196" s="59">
        <v>4.8099999999999997E-2</v>
      </c>
      <c r="DK196" s="59">
        <v>0.3337</v>
      </c>
      <c r="DL196" s="169">
        <v>0</v>
      </c>
      <c r="DM196" s="59">
        <v>0.186</v>
      </c>
      <c r="DN196" s="169">
        <v>0</v>
      </c>
      <c r="DO196" s="246">
        <v>1.179</v>
      </c>
      <c r="DP196" s="171">
        <f t="shared" si="161"/>
        <v>1.8075000000000001</v>
      </c>
      <c r="DQ196" s="59">
        <v>0.16089999999999999</v>
      </c>
      <c r="DR196" s="59">
        <v>0.22389999999999999</v>
      </c>
      <c r="DS196" s="59">
        <v>0</v>
      </c>
      <c r="DT196" s="59">
        <v>0</v>
      </c>
      <c r="DU196" s="59">
        <v>0</v>
      </c>
      <c r="DV196" s="246">
        <v>3.2199999999999999E-2</v>
      </c>
      <c r="DW196" s="59">
        <v>1.29E-2</v>
      </c>
      <c r="DX196" s="169">
        <v>0</v>
      </c>
      <c r="DY196" s="59">
        <v>1.6435</v>
      </c>
      <c r="DZ196" s="171">
        <f t="shared" si="162"/>
        <v>2.0667477943413446</v>
      </c>
      <c r="EA196" s="59">
        <v>0.30630000000000002</v>
      </c>
      <c r="EB196" s="171">
        <f t="shared" si="163"/>
        <v>1.7946457721188376</v>
      </c>
      <c r="EC196" s="59">
        <v>0.4798</v>
      </c>
      <c r="ED196" s="171">
        <f t="shared" si="164"/>
        <v>2.0971238015839933</v>
      </c>
      <c r="EE196" s="169">
        <v>0</v>
      </c>
      <c r="EF196" s="169">
        <v>0</v>
      </c>
      <c r="EG196" s="59">
        <v>0.18290000000000001</v>
      </c>
      <c r="EH196" s="59">
        <v>0</v>
      </c>
      <c r="EI196" s="244">
        <v>0.1348</v>
      </c>
      <c r="EJ196" s="245">
        <v>5.5265000000000013</v>
      </c>
      <c r="EK196" s="173"/>
      <c r="EL196" s="169">
        <v>0</v>
      </c>
      <c r="EM196" s="169">
        <v>0</v>
      </c>
      <c r="EN196" s="59"/>
      <c r="EO196" s="172"/>
      <c r="ES196" s="57">
        <f t="shared" si="174"/>
        <v>5.5265000000000013</v>
      </c>
      <c r="ET196" s="57">
        <f t="shared" si="175"/>
        <v>0</v>
      </c>
      <c r="EU196" s="31"/>
      <c r="EV196" s="61">
        <f t="shared" si="165"/>
        <v>1.8208088301818506</v>
      </c>
      <c r="EW196" s="62"/>
      <c r="EX196" s="159">
        <f t="shared" ref="EX196:EX199" si="226">EY196/1.05</f>
        <v>-2.2885438095238078</v>
      </c>
      <c r="EY196" s="32">
        <f>ES196*1.386-BJ196</f>
        <v>-2.4029709999999982</v>
      </c>
      <c r="EZ196" s="158">
        <f t="shared" si="166"/>
        <v>10.0627</v>
      </c>
      <c r="FA196" s="159">
        <f t="shared" si="167"/>
        <v>10.0627</v>
      </c>
      <c r="FB196" s="158">
        <f t="shared" ref="FB196:FB199" si="227">ES196*1.34</f>
        <v>7.4055100000000023</v>
      </c>
      <c r="FC196" s="158">
        <f t="shared" ref="FC196:FC199" si="228">EZ196-FB196</f>
        <v>2.6571899999999973</v>
      </c>
      <c r="FD196" s="158"/>
      <c r="FE196" s="158"/>
      <c r="FF196" s="158"/>
      <c r="FG196" s="174"/>
      <c r="FH196" s="174">
        <f t="shared" si="176"/>
        <v>6247.9304299999994</v>
      </c>
      <c r="FI196" s="174"/>
      <c r="FJ196" s="87">
        <v>1.4444042341445757</v>
      </c>
      <c r="FK196" s="176">
        <f t="shared" si="177"/>
        <v>1.2605950516755402</v>
      </c>
      <c r="FM196" s="87" t="e">
        <f t="shared" si="178"/>
        <v>#DIV/0!</v>
      </c>
      <c r="FO196" s="88">
        <f t="shared" si="168"/>
        <v>6247.9304299999994</v>
      </c>
      <c r="FP196" s="79">
        <f t="shared" si="169"/>
        <v>0</v>
      </c>
      <c r="FS196" s="79">
        <f t="shared" si="170"/>
        <v>3431.4038500000006</v>
      </c>
      <c r="FT196" s="79">
        <f t="shared" si="171"/>
        <v>0</v>
      </c>
      <c r="FU196" s="79">
        <f t="shared" si="179"/>
        <v>1.8208088301818506</v>
      </c>
      <c r="FV196" s="79" t="e">
        <f t="shared" si="179"/>
        <v>#DIV/0!</v>
      </c>
      <c r="FY196" s="79">
        <f t="shared" si="180"/>
        <v>6247.9304299999994</v>
      </c>
      <c r="FZ196" s="79">
        <f t="shared" si="181"/>
        <v>0</v>
      </c>
      <c r="GB196" s="178">
        <f t="shared" si="182"/>
        <v>620.9</v>
      </c>
      <c r="GC196" s="178">
        <f t="shared" si="183"/>
        <v>0</v>
      </c>
      <c r="GE196" s="196"/>
      <c r="GF196" s="196"/>
      <c r="GG196" s="14">
        <v>7.9239999999999995</v>
      </c>
      <c r="GH196" s="197">
        <f t="shared" si="184"/>
        <v>1.2699015648662293</v>
      </c>
      <c r="GI196" s="14">
        <v>7.9239999999999995</v>
      </c>
      <c r="GJ196" s="197">
        <f t="shared" si="185"/>
        <v>1.2699015648662293</v>
      </c>
      <c r="GK196" s="197">
        <f t="shared" si="223"/>
        <v>0</v>
      </c>
      <c r="GL196" s="196"/>
      <c r="GM196" s="196"/>
      <c r="GN196" s="14">
        <v>10.173100000000002</v>
      </c>
      <c r="GO196" s="197">
        <f t="shared" si="186"/>
        <v>1.2838339222614843</v>
      </c>
      <c r="GP196" s="198">
        <f t="shared" si="187"/>
        <v>0.98914785070430822</v>
      </c>
      <c r="GQ196" s="14">
        <v>10.173100000000002</v>
      </c>
      <c r="GR196" s="197">
        <f t="shared" si="188"/>
        <v>1.2838339222614843</v>
      </c>
      <c r="GS196" s="197">
        <f t="shared" si="189"/>
        <v>0.98914785070430822</v>
      </c>
      <c r="GT196" s="196"/>
      <c r="GV196" s="32">
        <f t="shared" si="190"/>
        <v>6247.9304299999994</v>
      </c>
      <c r="GW196" s="32">
        <f t="shared" si="191"/>
        <v>0</v>
      </c>
      <c r="GX196" s="180">
        <f t="shared" si="192"/>
        <v>6247.9304299999994</v>
      </c>
      <c r="GZ196" s="32">
        <f t="shared" si="193"/>
        <v>10.0627</v>
      </c>
      <c r="HA196" s="32" t="e">
        <f t="shared" si="194"/>
        <v>#DIV/0!</v>
      </c>
      <c r="HB196" s="32">
        <f t="shared" si="195"/>
        <v>10.0627</v>
      </c>
    </row>
    <row r="197" spans="1:210" ht="19.2" customHeight="1" x14ac:dyDescent="0.3">
      <c r="A197" s="50">
        <v>189</v>
      </c>
      <c r="B197" s="51" t="s">
        <v>842</v>
      </c>
      <c r="C197" s="51" t="s">
        <v>834</v>
      </c>
      <c r="D197" s="52">
        <v>2</v>
      </c>
      <c r="E197" s="52">
        <v>1</v>
      </c>
      <c r="F197" s="187">
        <v>8</v>
      </c>
      <c r="G197" s="54" t="s">
        <v>32</v>
      </c>
      <c r="H197" s="181" t="s">
        <v>8</v>
      </c>
      <c r="I197" s="55">
        <f t="shared" si="172"/>
        <v>263.10000000000002</v>
      </c>
      <c r="J197" s="55">
        <f t="shared" si="152"/>
        <v>0</v>
      </c>
      <c r="K197" s="55">
        <f t="shared" si="153"/>
        <v>0</v>
      </c>
      <c r="L197" s="56">
        <v>263.10000000000002</v>
      </c>
      <c r="M197" s="56">
        <v>263.10000000000002</v>
      </c>
      <c r="N197" s="56">
        <f t="shared" si="173"/>
        <v>263.10000000000002</v>
      </c>
      <c r="O197" s="56">
        <v>0</v>
      </c>
      <c r="P197" s="56">
        <v>0</v>
      </c>
      <c r="Q197" s="55"/>
      <c r="R197" s="55">
        <v>263.10000000000002</v>
      </c>
      <c r="S197" s="55"/>
      <c r="T197" s="55">
        <v>0</v>
      </c>
      <c r="U197" s="152">
        <v>263.10000000000002</v>
      </c>
      <c r="V197" s="12">
        <v>0.27639999999999998</v>
      </c>
      <c r="W197" s="12">
        <v>0.17</v>
      </c>
      <c r="X197" s="12">
        <v>0</v>
      </c>
      <c r="Y197" s="12">
        <v>0</v>
      </c>
      <c r="Z197" s="12">
        <v>0</v>
      </c>
      <c r="AA197" s="12">
        <v>0.48220000000000002</v>
      </c>
      <c r="AB197" s="12">
        <v>0</v>
      </c>
      <c r="AC197" s="12">
        <v>0.61070000000000002</v>
      </c>
      <c r="AD197" s="12">
        <v>0.1202</v>
      </c>
      <c r="AE197" s="12">
        <v>0</v>
      </c>
      <c r="AF197" s="12">
        <v>1.2295</v>
      </c>
      <c r="AG197" s="12">
        <v>0.35360000000000003</v>
      </c>
      <c r="AH197" s="12">
        <v>0.27200000000000002</v>
      </c>
      <c r="AI197" s="12">
        <v>0</v>
      </c>
      <c r="AJ197" s="12">
        <v>0</v>
      </c>
      <c r="AK197" s="12">
        <v>0</v>
      </c>
      <c r="AL197" s="12">
        <v>6.8599999999999994E-2</v>
      </c>
      <c r="AM197" s="12">
        <v>4.5400000000000003E-2</v>
      </c>
      <c r="AN197" s="12">
        <v>0</v>
      </c>
      <c r="AO197" s="12">
        <v>3.1284999999999998</v>
      </c>
      <c r="AP197" s="12">
        <v>1.3148</v>
      </c>
      <c r="AQ197" s="12">
        <v>0</v>
      </c>
      <c r="AR197" s="12">
        <v>1.4065000000000001</v>
      </c>
      <c r="AS197" s="12">
        <v>0</v>
      </c>
      <c r="AT197" s="12">
        <v>0</v>
      </c>
      <c r="AU197" s="12">
        <v>0.13769999999999999</v>
      </c>
      <c r="AV197" s="12">
        <v>0</v>
      </c>
      <c r="AW197" s="188">
        <v>9.6160999999999994</v>
      </c>
      <c r="AX197" s="13">
        <v>0.48080000000000001</v>
      </c>
      <c r="AY197" s="189">
        <f t="shared" si="154"/>
        <v>0.48080000000000001</v>
      </c>
      <c r="AZ197" s="189">
        <f t="shared" si="155"/>
        <v>0</v>
      </c>
      <c r="BA197" s="14">
        <v>10.0969</v>
      </c>
      <c r="BB197" s="190">
        <f>BA197-'[1]Тариф 26 свод без  ПДВ'!AU197</f>
        <v>6.0000000000037801E-4</v>
      </c>
      <c r="BC197" s="12">
        <v>0</v>
      </c>
      <c r="BD197" s="12">
        <v>0</v>
      </c>
      <c r="BE197" s="12">
        <v>0</v>
      </c>
      <c r="BF197" s="191">
        <v>9.6160999999999994</v>
      </c>
      <c r="BG197" s="190">
        <v>0.48080000000000001</v>
      </c>
      <c r="BH197" s="190"/>
      <c r="BI197" s="190"/>
      <c r="BJ197" s="14">
        <v>10.0969</v>
      </c>
      <c r="BK197" s="60"/>
      <c r="BL197" s="60">
        <v>3.6285999999999996</v>
      </c>
      <c r="BM197" s="60">
        <v>0.18140000000000001</v>
      </c>
      <c r="BN197" s="14">
        <v>3.8099999999999996</v>
      </c>
      <c r="BO197" s="14"/>
      <c r="BP197" s="157"/>
      <c r="BQ197" s="158">
        <f>BJ197-'[1]Тариф 26 свод без  ПДВ'!BG197</f>
        <v>6.0000000000037801E-4</v>
      </c>
      <c r="BR197" s="77">
        <f>'[1]Тариф 26 свод без  ПДВ'!BG197</f>
        <v>10.096299999999999</v>
      </c>
      <c r="BS197" s="159">
        <f t="shared" si="156"/>
        <v>6.0000000000037801E-4</v>
      </c>
      <c r="BU197" s="77">
        <f>'[1]Тариф 26 свод без  ПДВ'!AU197</f>
        <v>10.096299999999999</v>
      </c>
      <c r="BV197" s="159">
        <f t="shared" si="157"/>
        <v>6.0000000000037801E-4</v>
      </c>
      <c r="BX197" s="95">
        <v>4.4453999999999994</v>
      </c>
      <c r="BY197" s="95">
        <v>4.4453999999999994</v>
      </c>
      <c r="BZ197" s="95"/>
      <c r="CA197" s="233">
        <f t="shared" si="158"/>
        <v>2.2713141674539976</v>
      </c>
      <c r="CB197" s="233">
        <f t="shared" si="159"/>
        <v>2.2713141674539976</v>
      </c>
      <c r="CI197" s="160">
        <f>'[1]0 СВОД'!AYY212</f>
        <v>2656.5056136012813</v>
      </c>
      <c r="CJ197" s="77">
        <f t="shared" si="160"/>
        <v>31878.067363215378</v>
      </c>
      <c r="CM197" s="161">
        <v>194</v>
      </c>
      <c r="CN197" s="247" t="s">
        <v>843</v>
      </c>
      <c r="CO197" s="163">
        <v>2</v>
      </c>
      <c r="CP197" s="163">
        <v>1</v>
      </c>
      <c r="CQ197" s="164" t="s">
        <v>32</v>
      </c>
      <c r="CR197" s="165" t="s">
        <v>8</v>
      </c>
      <c r="CS197" s="166">
        <v>263.10000000000002</v>
      </c>
      <c r="CT197" s="166">
        <v>0</v>
      </c>
      <c r="CU197" s="167">
        <v>0</v>
      </c>
      <c r="CV197" s="168">
        <v>263.10000000000002</v>
      </c>
      <c r="CW197" s="166">
        <v>263.10000000000002</v>
      </c>
      <c r="CX197" s="167">
        <v>0</v>
      </c>
      <c r="CY197" s="166">
        <v>0</v>
      </c>
      <c r="CZ197" s="166"/>
      <c r="DA197" s="166">
        <v>263.10000000000002</v>
      </c>
      <c r="DB197" s="166"/>
      <c r="DC197" s="166">
        <v>0</v>
      </c>
      <c r="DD197" s="246">
        <v>0.15279999999999999</v>
      </c>
      <c r="DE197" s="246">
        <v>0.14330000000000001</v>
      </c>
      <c r="DF197" s="59">
        <v>0</v>
      </c>
      <c r="DG197" s="59">
        <v>0</v>
      </c>
      <c r="DH197" s="59">
        <v>0</v>
      </c>
      <c r="DI197" s="246">
        <v>0.18759999999999999</v>
      </c>
      <c r="DJ197" s="59">
        <v>4.8099999999999997E-2</v>
      </c>
      <c r="DK197" s="59">
        <v>0.3337</v>
      </c>
      <c r="DL197" s="169">
        <v>0</v>
      </c>
      <c r="DM197" s="59">
        <v>7.3200000000000001E-2</v>
      </c>
      <c r="DN197" s="169">
        <v>0</v>
      </c>
      <c r="DO197" s="246">
        <v>1.1017999999999999</v>
      </c>
      <c r="DP197" s="171">
        <f t="shared" si="161"/>
        <v>1.2295</v>
      </c>
      <c r="DQ197" s="246">
        <v>0.10059999999999999</v>
      </c>
      <c r="DR197" s="246">
        <v>0.18720000000000001</v>
      </c>
      <c r="DS197" s="59">
        <v>0</v>
      </c>
      <c r="DT197" s="59">
        <v>0</v>
      </c>
      <c r="DU197" s="59">
        <v>0</v>
      </c>
      <c r="DV197" s="246">
        <v>2.4199999999999999E-2</v>
      </c>
      <c r="DW197" s="59">
        <v>1.4800000000000001E-2</v>
      </c>
      <c r="DX197" s="169">
        <v>0</v>
      </c>
      <c r="DY197" s="59">
        <v>1.5141</v>
      </c>
      <c r="DZ197" s="171">
        <f t="shared" si="162"/>
        <v>2.0662439733174822</v>
      </c>
      <c r="EA197" s="59">
        <v>0.73250000000000004</v>
      </c>
      <c r="EB197" s="171">
        <f t="shared" si="163"/>
        <v>1.7949488054607508</v>
      </c>
      <c r="EC197" s="59">
        <v>0.69510000000000005</v>
      </c>
      <c r="ED197" s="171">
        <f t="shared" si="164"/>
        <v>2.0234498633290174</v>
      </c>
      <c r="EE197" s="169">
        <v>0</v>
      </c>
      <c r="EF197" s="169">
        <v>0</v>
      </c>
      <c r="EG197" s="59">
        <v>7.3200000000000001E-2</v>
      </c>
      <c r="EH197" s="59">
        <v>0</v>
      </c>
      <c r="EI197" s="244">
        <v>0.1346</v>
      </c>
      <c r="EJ197" s="245">
        <v>5.5167999999999999</v>
      </c>
      <c r="EK197" s="173"/>
      <c r="EL197" s="169">
        <v>0</v>
      </c>
      <c r="EM197" s="169">
        <v>0</v>
      </c>
      <c r="EN197" s="59"/>
      <c r="EO197" s="172"/>
      <c r="ES197" s="57">
        <f t="shared" si="174"/>
        <v>5.5167999999999999</v>
      </c>
      <c r="ET197" s="57">
        <f t="shared" si="175"/>
        <v>0</v>
      </c>
      <c r="EU197" s="31"/>
      <c r="EV197" s="61">
        <f t="shared" si="165"/>
        <v>1.8302095417633411</v>
      </c>
      <c r="EW197" s="62"/>
      <c r="EX197" s="159">
        <f t="shared" si="226"/>
        <v>-2.3339192380952385</v>
      </c>
      <c r="EY197" s="32">
        <f>ES197*1.386-BJ197</f>
        <v>-2.4506152000000005</v>
      </c>
      <c r="EZ197" s="158">
        <f t="shared" si="166"/>
        <v>10.0969</v>
      </c>
      <c r="FA197" s="159">
        <f t="shared" si="167"/>
        <v>10.0969</v>
      </c>
      <c r="FB197" s="158">
        <f t="shared" si="227"/>
        <v>7.392512</v>
      </c>
      <c r="FC197" s="158">
        <f t="shared" si="228"/>
        <v>2.7043879999999998</v>
      </c>
      <c r="FD197" s="158"/>
      <c r="FE197" s="158"/>
      <c r="FF197" s="158"/>
      <c r="FG197" s="174"/>
      <c r="FH197" s="174">
        <f t="shared" si="176"/>
        <v>2656.4943900000003</v>
      </c>
      <c r="FI197" s="174"/>
      <c r="FJ197" s="87">
        <v>1.4522549303944317</v>
      </c>
      <c r="FK197" s="176">
        <f t="shared" si="177"/>
        <v>1.2602536259017947</v>
      </c>
      <c r="FM197" s="87" t="e">
        <f t="shared" si="178"/>
        <v>#DIV/0!</v>
      </c>
      <c r="FO197" s="88">
        <f t="shared" si="168"/>
        <v>2656.4943900000003</v>
      </c>
      <c r="FP197" s="79">
        <f t="shared" si="169"/>
        <v>0</v>
      </c>
      <c r="FS197" s="79">
        <f t="shared" si="170"/>
        <v>1451.4700800000001</v>
      </c>
      <c r="FT197" s="79">
        <f t="shared" si="171"/>
        <v>0</v>
      </c>
      <c r="FU197" s="79">
        <f t="shared" si="179"/>
        <v>1.8302095417633413</v>
      </c>
      <c r="FV197" s="79" t="e">
        <f t="shared" si="179"/>
        <v>#DIV/0!</v>
      </c>
      <c r="FY197" s="79">
        <f t="shared" si="180"/>
        <v>2656.4943900000003</v>
      </c>
      <c r="FZ197" s="79">
        <f t="shared" si="181"/>
        <v>0</v>
      </c>
      <c r="GB197" s="178">
        <f t="shared" si="182"/>
        <v>263.10000000000002</v>
      </c>
      <c r="GC197" s="178">
        <f t="shared" si="183"/>
        <v>0</v>
      </c>
      <c r="GE197" s="196"/>
      <c r="GF197" s="196"/>
      <c r="GG197" s="14">
        <v>7.9509999999999996</v>
      </c>
      <c r="GH197" s="197">
        <f t="shared" si="184"/>
        <v>1.2698905798012829</v>
      </c>
      <c r="GI197" s="14">
        <v>7.9509999999999996</v>
      </c>
      <c r="GJ197" s="197">
        <f t="shared" si="185"/>
        <v>1.2698905798012829</v>
      </c>
      <c r="GK197" s="197">
        <f t="shared" si="223"/>
        <v>0</v>
      </c>
      <c r="GL197" s="196"/>
      <c r="GM197" s="196"/>
      <c r="GN197" s="14">
        <v>10.4221</v>
      </c>
      <c r="GO197" s="197">
        <f t="shared" si="186"/>
        <v>1.3107910954596906</v>
      </c>
      <c r="GP197" s="198">
        <f t="shared" si="187"/>
        <v>0.96879707544544758</v>
      </c>
      <c r="GQ197" s="14">
        <v>10.4221</v>
      </c>
      <c r="GR197" s="197">
        <f t="shared" si="188"/>
        <v>1.3107910954596906</v>
      </c>
      <c r="GS197" s="197">
        <f t="shared" si="189"/>
        <v>0.96879707544544758</v>
      </c>
      <c r="GT197" s="196"/>
      <c r="GV197" s="32">
        <f t="shared" si="190"/>
        <v>2656.4943900000003</v>
      </c>
      <c r="GW197" s="32">
        <f t="shared" si="191"/>
        <v>0</v>
      </c>
      <c r="GX197" s="180">
        <f t="shared" si="192"/>
        <v>2656.4943900000003</v>
      </c>
      <c r="GZ197" s="32">
        <f t="shared" si="193"/>
        <v>10.0969</v>
      </c>
      <c r="HA197" s="32" t="e">
        <f t="shared" si="194"/>
        <v>#DIV/0!</v>
      </c>
      <c r="HB197" s="32">
        <f t="shared" si="195"/>
        <v>10.0969</v>
      </c>
    </row>
    <row r="198" spans="1:210" ht="19.2" customHeight="1" x14ac:dyDescent="0.3">
      <c r="A198" s="50">
        <v>190</v>
      </c>
      <c r="B198" s="51" t="s">
        <v>844</v>
      </c>
      <c r="C198" s="51" t="s">
        <v>845</v>
      </c>
      <c r="D198" s="52">
        <v>2</v>
      </c>
      <c r="E198" s="52">
        <v>3</v>
      </c>
      <c r="F198" s="53">
        <v>16</v>
      </c>
      <c r="G198" s="54" t="s">
        <v>33</v>
      </c>
      <c r="H198" s="181" t="s">
        <v>8</v>
      </c>
      <c r="I198" s="55">
        <f t="shared" si="172"/>
        <v>928.5</v>
      </c>
      <c r="J198" s="55">
        <f t="shared" si="152"/>
        <v>0</v>
      </c>
      <c r="K198" s="55">
        <f t="shared" si="153"/>
        <v>0</v>
      </c>
      <c r="L198" s="56">
        <v>928.5</v>
      </c>
      <c r="M198" s="56">
        <v>928.5</v>
      </c>
      <c r="N198" s="56">
        <f t="shared" si="173"/>
        <v>928.5</v>
      </c>
      <c r="O198" s="56">
        <v>0</v>
      </c>
      <c r="P198" s="56">
        <v>0</v>
      </c>
      <c r="Q198" s="55"/>
      <c r="R198" s="55">
        <v>928.5</v>
      </c>
      <c r="S198" s="55"/>
      <c r="T198" s="55">
        <v>0</v>
      </c>
      <c r="U198" s="152">
        <v>928.5</v>
      </c>
      <c r="V198" s="12">
        <v>0.15659999999999999</v>
      </c>
      <c r="W198" s="12">
        <v>9.9000000000000005E-2</v>
      </c>
      <c r="X198" s="12">
        <v>0</v>
      </c>
      <c r="Y198" s="12">
        <v>0</v>
      </c>
      <c r="Z198" s="12">
        <v>0</v>
      </c>
      <c r="AA198" s="12">
        <v>0.58740000000000003</v>
      </c>
      <c r="AB198" s="12">
        <v>0</v>
      </c>
      <c r="AC198" s="12">
        <v>0.61070000000000002</v>
      </c>
      <c r="AD198" s="12">
        <v>0.4088</v>
      </c>
      <c r="AE198" s="12">
        <v>0</v>
      </c>
      <c r="AF198" s="12">
        <v>1.4144000000000001</v>
      </c>
      <c r="AG198" s="12">
        <v>0.2034</v>
      </c>
      <c r="AH198" s="12">
        <v>0.33329999999999999</v>
      </c>
      <c r="AI198" s="12">
        <v>0</v>
      </c>
      <c r="AJ198" s="12">
        <v>0</v>
      </c>
      <c r="AK198" s="12">
        <v>0</v>
      </c>
      <c r="AL198" s="12">
        <v>0.14449999999999999</v>
      </c>
      <c r="AM198" s="12">
        <v>4.4299999999999999E-2</v>
      </c>
      <c r="AN198" s="12">
        <v>0</v>
      </c>
      <c r="AO198" s="12">
        <v>3.4024000000000001</v>
      </c>
      <c r="AP198" s="12">
        <v>1.2486999999999999</v>
      </c>
      <c r="AQ198" s="12">
        <v>0.1188</v>
      </c>
      <c r="AR198" s="12">
        <v>0.96499999999999997</v>
      </c>
      <c r="AS198" s="12">
        <v>0.1678</v>
      </c>
      <c r="AT198" s="12">
        <v>2.7199999999999998E-2</v>
      </c>
      <c r="AU198" s="12">
        <v>0.41810000000000003</v>
      </c>
      <c r="AV198" s="12">
        <v>0</v>
      </c>
      <c r="AW198" s="188">
        <v>10.3504</v>
      </c>
      <c r="AX198" s="13">
        <v>0.51749999999999996</v>
      </c>
      <c r="AY198" s="189">
        <f t="shared" si="154"/>
        <v>0.51160000000000005</v>
      </c>
      <c r="AZ198" s="189">
        <f t="shared" si="155"/>
        <v>5.8999999999999053E-3</v>
      </c>
      <c r="BA198" s="14">
        <v>10.867900000000001</v>
      </c>
      <c r="BB198" s="190">
        <f>BA198-'[1]Тариф 26 свод без  ПДВ'!AU198</f>
        <v>1.200000000000756E-3</v>
      </c>
      <c r="BC198" s="12">
        <v>0</v>
      </c>
      <c r="BD198" s="12">
        <v>0</v>
      </c>
      <c r="BE198" s="12">
        <v>0</v>
      </c>
      <c r="BF198" s="191">
        <v>10.3504</v>
      </c>
      <c r="BG198" s="190">
        <v>0.51749999999999996</v>
      </c>
      <c r="BH198" s="190"/>
      <c r="BI198" s="190"/>
      <c r="BJ198" s="14">
        <v>10.867900000000001</v>
      </c>
      <c r="BK198" s="60"/>
      <c r="BL198" s="60">
        <v>4.3162000000000003</v>
      </c>
      <c r="BM198" s="60">
        <v>0.21579999999999999</v>
      </c>
      <c r="BN198" s="14">
        <v>4.532</v>
      </c>
      <c r="BO198" s="14"/>
      <c r="BP198" s="157"/>
      <c r="BQ198" s="158">
        <f>BJ198-'[1]Тариф 26 свод без  ПДВ'!BG198</f>
        <v>1.200000000000756E-3</v>
      </c>
      <c r="BR198" s="77">
        <f>'[1]Тариф 26 свод без  ПДВ'!BG198</f>
        <v>10.8667</v>
      </c>
      <c r="BS198" s="159">
        <f t="shared" si="156"/>
        <v>1.200000000000756E-3</v>
      </c>
      <c r="BU198" s="77">
        <f>'[1]Тариф 26 свод без  ПДВ'!AU198</f>
        <v>10.8667</v>
      </c>
      <c r="BV198" s="159">
        <f t="shared" si="157"/>
        <v>1.200000000000756E-3</v>
      </c>
      <c r="BW198" s="95">
        <v>4.4470000000000001</v>
      </c>
      <c r="BX198" s="95">
        <v>4.4470000000000001</v>
      </c>
      <c r="BY198" s="95">
        <v>4.4470000000000001</v>
      </c>
      <c r="BZ198" s="95"/>
      <c r="CA198" s="200">
        <f t="shared" si="158"/>
        <v>2.4438722734427705</v>
      </c>
      <c r="CB198" s="200">
        <f t="shared" si="159"/>
        <v>2.4438722734427705</v>
      </c>
      <c r="CI198" s="160">
        <f>'[1]0 СВОД'!AYY213</f>
        <v>10090.992448034498</v>
      </c>
      <c r="CJ198" s="77">
        <f t="shared" si="160"/>
        <v>121091.90937641397</v>
      </c>
      <c r="CM198" s="161">
        <v>195</v>
      </c>
      <c r="CN198" s="162" t="s">
        <v>846</v>
      </c>
      <c r="CO198" s="163">
        <v>2</v>
      </c>
      <c r="CP198" s="163">
        <v>3</v>
      </c>
      <c r="CQ198" s="164" t="s">
        <v>33</v>
      </c>
      <c r="CR198" s="165" t="s">
        <v>8</v>
      </c>
      <c r="CS198" s="166">
        <v>928.5</v>
      </c>
      <c r="CT198" s="166">
        <v>0</v>
      </c>
      <c r="CU198" s="167">
        <v>0</v>
      </c>
      <c r="CV198" s="168">
        <v>928.5</v>
      </c>
      <c r="CW198" s="166">
        <v>928.5</v>
      </c>
      <c r="CX198" s="167">
        <v>0</v>
      </c>
      <c r="CY198" s="166">
        <v>0</v>
      </c>
      <c r="CZ198" s="166"/>
      <c r="DA198" s="166">
        <v>928.5</v>
      </c>
      <c r="DB198" s="166"/>
      <c r="DC198" s="166">
        <v>0</v>
      </c>
      <c r="DD198" s="59">
        <v>0.21659999999999999</v>
      </c>
      <c r="DE198" s="59">
        <v>0.1527</v>
      </c>
      <c r="DF198" s="59">
        <v>0</v>
      </c>
      <c r="DG198" s="59">
        <v>0</v>
      </c>
      <c r="DH198" s="59">
        <v>0</v>
      </c>
      <c r="DI198" s="59">
        <v>0.25419999999999998</v>
      </c>
      <c r="DJ198" s="59">
        <v>4.8099999999999997E-2</v>
      </c>
      <c r="DK198" s="59">
        <v>0.3337</v>
      </c>
      <c r="DL198" s="169">
        <v>0</v>
      </c>
      <c r="DM198" s="59">
        <v>0.24879999999999999</v>
      </c>
      <c r="DN198" s="169">
        <v>0</v>
      </c>
      <c r="DO198" s="170">
        <v>0.90329999999999999</v>
      </c>
      <c r="DP198" s="171">
        <f t="shared" si="161"/>
        <v>1.4144000000000001</v>
      </c>
      <c r="DQ198" s="59">
        <v>0.13389999999999999</v>
      </c>
      <c r="DR198" s="59">
        <v>0.19939999999999999</v>
      </c>
      <c r="DS198" s="59">
        <v>0</v>
      </c>
      <c r="DT198" s="59">
        <v>0</v>
      </c>
      <c r="DU198" s="59">
        <v>0</v>
      </c>
      <c r="DV198" s="59">
        <v>5.0599999999999999E-2</v>
      </c>
      <c r="DW198" s="59">
        <v>1.43E-2</v>
      </c>
      <c r="DX198" s="169">
        <v>0</v>
      </c>
      <c r="DY198" s="59">
        <v>1.6309</v>
      </c>
      <c r="DZ198" s="171">
        <f t="shared" si="162"/>
        <v>2.0862100680605802</v>
      </c>
      <c r="EA198" s="59">
        <v>0.76490000000000002</v>
      </c>
      <c r="EB198" s="171">
        <f t="shared" si="163"/>
        <v>1.7878154007059746</v>
      </c>
      <c r="EC198" s="59">
        <v>0.4582</v>
      </c>
      <c r="ED198" s="171">
        <f t="shared" si="164"/>
        <v>2.1060672195547796</v>
      </c>
      <c r="EE198" s="59">
        <v>0.12839999999999999</v>
      </c>
      <c r="EF198" s="59">
        <v>1.78E-2</v>
      </c>
      <c r="EG198" s="59">
        <v>0.41670000000000001</v>
      </c>
      <c r="EH198" s="59">
        <v>0</v>
      </c>
      <c r="EI198" s="195">
        <v>0.14929999999999999</v>
      </c>
      <c r="EJ198" s="172">
        <v>6.1218000000000004</v>
      </c>
      <c r="EK198" s="173"/>
      <c r="EL198" s="169">
        <v>0</v>
      </c>
      <c r="EM198" s="169">
        <v>0</v>
      </c>
      <c r="EN198" s="59"/>
      <c r="EO198" s="172"/>
      <c r="ES198" s="57">
        <f t="shared" si="174"/>
        <v>6.1218000000000004</v>
      </c>
      <c r="ET198" s="57">
        <f t="shared" si="175"/>
        <v>0</v>
      </c>
      <c r="EU198" s="31"/>
      <c r="EV198" s="61">
        <f t="shared" si="165"/>
        <v>1.775278512855696</v>
      </c>
      <c r="EW198" s="62"/>
      <c r="EX198" s="159">
        <f t="shared" si="226"/>
        <v>-2.2696049523809525</v>
      </c>
      <c r="EY198" s="32">
        <f>ES198*1.386-BJ198</f>
        <v>-2.3830852</v>
      </c>
      <c r="EZ198" s="158">
        <f t="shared" si="166"/>
        <v>10.867900000000001</v>
      </c>
      <c r="FA198" s="159">
        <f t="shared" si="167"/>
        <v>10.867900000000001</v>
      </c>
      <c r="FB198" s="158">
        <f t="shared" si="227"/>
        <v>8.2032120000000006</v>
      </c>
      <c r="FC198" s="158">
        <f t="shared" si="228"/>
        <v>2.6646879999999999</v>
      </c>
      <c r="FD198" s="158"/>
      <c r="FE198" s="158"/>
      <c r="FF198" s="158"/>
      <c r="FG198" s="174"/>
      <c r="FH198" s="174">
        <f t="shared" si="176"/>
        <v>10090.845150000001</v>
      </c>
      <c r="FI198" s="174"/>
      <c r="FJ198" s="87">
        <v>1.4179979744519582</v>
      </c>
      <c r="FK198" s="176">
        <f t="shared" si="177"/>
        <v>1.2519612473648443</v>
      </c>
      <c r="FM198" s="87" t="e">
        <f t="shared" si="178"/>
        <v>#DIV/0!</v>
      </c>
      <c r="FO198" s="88">
        <f t="shared" si="168"/>
        <v>10090.845150000001</v>
      </c>
      <c r="FP198" s="79">
        <f t="shared" si="169"/>
        <v>0</v>
      </c>
      <c r="FS198" s="79">
        <f t="shared" si="170"/>
        <v>5684.0913</v>
      </c>
      <c r="FT198" s="79">
        <f t="shared" si="171"/>
        <v>0</v>
      </c>
      <c r="FU198" s="79">
        <f t="shared" si="179"/>
        <v>1.7752785128556963</v>
      </c>
      <c r="FV198" s="79" t="e">
        <f t="shared" si="179"/>
        <v>#DIV/0!</v>
      </c>
      <c r="FY198" s="79">
        <f t="shared" si="180"/>
        <v>10090.845150000001</v>
      </c>
      <c r="FZ198" s="79">
        <f t="shared" si="181"/>
        <v>0</v>
      </c>
      <c r="GB198" s="178">
        <f t="shared" si="182"/>
        <v>928.5</v>
      </c>
      <c r="GC198" s="178">
        <f t="shared" si="183"/>
        <v>0</v>
      </c>
      <c r="GE198" s="196"/>
      <c r="GF198" s="196"/>
      <c r="GG198" s="14">
        <v>8.5578000000000003</v>
      </c>
      <c r="GH198" s="197">
        <f t="shared" si="184"/>
        <v>1.2699408726541868</v>
      </c>
      <c r="GI198" s="14">
        <v>8.5578000000000003</v>
      </c>
      <c r="GJ198" s="197">
        <f t="shared" si="185"/>
        <v>1.2699408726541868</v>
      </c>
      <c r="GK198" s="197">
        <f t="shared" si="223"/>
        <v>0</v>
      </c>
      <c r="GL198" s="196"/>
      <c r="GM198" s="196"/>
      <c r="GN198" s="14">
        <v>11.111399999999998</v>
      </c>
      <c r="GO198" s="197">
        <f t="shared" si="186"/>
        <v>1.2983944471710016</v>
      </c>
      <c r="GP198" s="198">
        <f t="shared" si="187"/>
        <v>0.97808556977518613</v>
      </c>
      <c r="GQ198" s="14">
        <v>11.111399999999998</v>
      </c>
      <c r="GR198" s="197">
        <f t="shared" si="188"/>
        <v>1.2983944471710016</v>
      </c>
      <c r="GS198" s="197">
        <f t="shared" si="189"/>
        <v>0.97808556977518613</v>
      </c>
      <c r="GT198" s="196"/>
      <c r="GV198" s="32">
        <f t="shared" si="190"/>
        <v>10090.845150000001</v>
      </c>
      <c r="GW198" s="32">
        <f t="shared" si="191"/>
        <v>0</v>
      </c>
      <c r="GX198" s="180">
        <f t="shared" si="192"/>
        <v>10090.845150000001</v>
      </c>
      <c r="GZ198" s="32">
        <f t="shared" si="193"/>
        <v>10.867900000000001</v>
      </c>
      <c r="HA198" s="32" t="e">
        <f t="shared" si="194"/>
        <v>#DIV/0!</v>
      </c>
      <c r="HB198" s="32">
        <f t="shared" si="195"/>
        <v>10.867900000000001</v>
      </c>
    </row>
    <row r="199" spans="1:210" ht="19.2" customHeight="1" x14ac:dyDescent="0.3">
      <c r="A199" s="50">
        <v>191</v>
      </c>
      <c r="B199" s="51" t="s">
        <v>847</v>
      </c>
      <c r="C199" s="51" t="s">
        <v>845</v>
      </c>
      <c r="D199" s="52">
        <v>2</v>
      </c>
      <c r="E199" s="52">
        <v>3</v>
      </c>
      <c r="F199" s="63">
        <v>16</v>
      </c>
      <c r="G199" s="54" t="s">
        <v>34</v>
      </c>
      <c r="H199" s="181" t="s">
        <v>8</v>
      </c>
      <c r="I199" s="55">
        <f t="shared" si="172"/>
        <v>930</v>
      </c>
      <c r="J199" s="55">
        <f t="shared" si="152"/>
        <v>0</v>
      </c>
      <c r="K199" s="55">
        <f t="shared" si="153"/>
        <v>0</v>
      </c>
      <c r="L199" s="56">
        <v>930</v>
      </c>
      <c r="M199" s="56">
        <v>930</v>
      </c>
      <c r="N199" s="56">
        <f t="shared" si="173"/>
        <v>930</v>
      </c>
      <c r="O199" s="56">
        <v>0</v>
      </c>
      <c r="P199" s="56">
        <v>0</v>
      </c>
      <c r="Q199" s="55"/>
      <c r="R199" s="55">
        <v>930</v>
      </c>
      <c r="S199" s="55"/>
      <c r="T199" s="55">
        <v>0</v>
      </c>
      <c r="U199" s="152">
        <v>930</v>
      </c>
      <c r="V199" s="12">
        <v>0.15640000000000001</v>
      </c>
      <c r="W199" s="12">
        <v>9.8900000000000002E-2</v>
      </c>
      <c r="X199" s="12">
        <v>0.34329999999999999</v>
      </c>
      <c r="Y199" s="12">
        <v>7.3499999999999996E-2</v>
      </c>
      <c r="Z199" s="12">
        <v>0</v>
      </c>
      <c r="AA199" s="12">
        <v>0.58640000000000003</v>
      </c>
      <c r="AB199" s="12">
        <v>0</v>
      </c>
      <c r="AC199" s="12">
        <v>0.63149999999999995</v>
      </c>
      <c r="AD199" s="12">
        <v>0.13600000000000001</v>
      </c>
      <c r="AE199" s="12">
        <v>0</v>
      </c>
      <c r="AF199" s="12">
        <v>1.1095999999999999</v>
      </c>
      <c r="AG199" s="12">
        <v>0.2031</v>
      </c>
      <c r="AH199" s="12">
        <v>0.33279999999999998</v>
      </c>
      <c r="AI199" s="12">
        <v>8.3299999999999999E-2</v>
      </c>
      <c r="AJ199" s="12">
        <v>0.13700000000000001</v>
      </c>
      <c r="AK199" s="12">
        <v>0</v>
      </c>
      <c r="AL199" s="12">
        <v>0.14430000000000001</v>
      </c>
      <c r="AM199" s="12">
        <v>4.4200000000000003E-2</v>
      </c>
      <c r="AN199" s="12">
        <v>0</v>
      </c>
      <c r="AO199" s="12">
        <v>3.3279999999999998</v>
      </c>
      <c r="AP199" s="12">
        <v>1.1202000000000001</v>
      </c>
      <c r="AQ199" s="12">
        <v>0.1227</v>
      </c>
      <c r="AR199" s="12">
        <v>0.96020000000000005</v>
      </c>
      <c r="AS199" s="12">
        <v>0.17330000000000001</v>
      </c>
      <c r="AT199" s="12">
        <v>2.81E-2</v>
      </c>
      <c r="AU199" s="12">
        <v>0.25600000000000001</v>
      </c>
      <c r="AV199" s="12">
        <v>0</v>
      </c>
      <c r="AW199" s="188">
        <v>10.068800000000001</v>
      </c>
      <c r="AX199" s="13">
        <v>0.50339999999999996</v>
      </c>
      <c r="AY199" s="189">
        <f t="shared" si="154"/>
        <v>0.49730000000000002</v>
      </c>
      <c r="AZ199" s="189">
        <f t="shared" si="155"/>
        <v>6.0999999999999388E-3</v>
      </c>
      <c r="BA199" s="14">
        <v>10.5722</v>
      </c>
      <c r="BB199" s="190">
        <f>BA199-'[1]Тариф 26 свод без  ПДВ'!AU199</f>
        <v>-7.9999999999991189E-4</v>
      </c>
      <c r="BC199" s="12">
        <v>0</v>
      </c>
      <c r="BD199" s="12">
        <v>0</v>
      </c>
      <c r="BE199" s="12">
        <v>0</v>
      </c>
      <c r="BF199" s="191">
        <v>10.068800000000001</v>
      </c>
      <c r="BG199" s="190">
        <v>0.50339999999999996</v>
      </c>
      <c r="BH199" s="190"/>
      <c r="BI199" s="190"/>
      <c r="BJ199" s="14">
        <v>10.5722</v>
      </c>
      <c r="BK199" s="60"/>
      <c r="BL199" s="60">
        <v>4.4044000000000008</v>
      </c>
      <c r="BM199" s="60">
        <v>0.22020000000000001</v>
      </c>
      <c r="BN199" s="14">
        <v>4.6246000000000009</v>
      </c>
      <c r="BO199" s="14"/>
      <c r="BP199" s="157"/>
      <c r="BQ199" s="158">
        <f>BJ199-'[1]Тариф 26 свод без  ПДВ'!BG199</f>
        <v>-7.9999999999991189E-4</v>
      </c>
      <c r="BR199" s="77">
        <f>'[1]Тариф 26 свод без  ПДВ'!BG199</f>
        <v>10.573</v>
      </c>
      <c r="BS199" s="159">
        <f t="shared" si="156"/>
        <v>-7.9999999999991189E-4</v>
      </c>
      <c r="BU199" s="77">
        <f>'[1]Тариф 26 свод без  ПДВ'!AU199</f>
        <v>10.573</v>
      </c>
      <c r="BV199" s="159">
        <f t="shared" si="157"/>
        <v>-7.9999999999991189E-4</v>
      </c>
      <c r="BW199" s="77">
        <v>4.4205999999999994</v>
      </c>
      <c r="BX199" s="248">
        <v>4.6605999999999996</v>
      </c>
      <c r="BY199" s="248">
        <v>4.6605999999999996</v>
      </c>
      <c r="BZ199" s="248"/>
      <c r="CA199" s="249">
        <f t="shared" si="158"/>
        <v>2.2684203750590055</v>
      </c>
      <c r="CB199" s="249">
        <f t="shared" si="159"/>
        <v>2.2684203750590055</v>
      </c>
      <c r="CI199" s="160">
        <f>'[1]0 СВОД'!AYY214</f>
        <v>9832.3549134969853</v>
      </c>
      <c r="CJ199" s="77">
        <f t="shared" si="160"/>
        <v>117988.25896196382</v>
      </c>
      <c r="CM199" s="161">
        <v>196</v>
      </c>
      <c r="CN199" s="162" t="s">
        <v>848</v>
      </c>
      <c r="CO199" s="163">
        <v>2</v>
      </c>
      <c r="CP199" s="163">
        <v>3</v>
      </c>
      <c r="CQ199" s="164" t="s">
        <v>34</v>
      </c>
      <c r="CR199" s="165" t="s">
        <v>8</v>
      </c>
      <c r="CS199" s="166">
        <v>928.6</v>
      </c>
      <c r="CT199" s="166">
        <v>0</v>
      </c>
      <c r="CU199" s="167">
        <v>0</v>
      </c>
      <c r="CV199" s="168">
        <v>928.6</v>
      </c>
      <c r="CW199" s="166">
        <v>928.6</v>
      </c>
      <c r="CX199" s="167">
        <v>0</v>
      </c>
      <c r="CY199" s="166">
        <v>0</v>
      </c>
      <c r="CZ199" s="166"/>
      <c r="DA199" s="166">
        <v>928.6</v>
      </c>
      <c r="DB199" s="166"/>
      <c r="DC199" s="166">
        <v>0</v>
      </c>
      <c r="DD199" s="59">
        <v>0.14330000000000001</v>
      </c>
      <c r="DE199" s="59">
        <v>0.1527</v>
      </c>
      <c r="DF199" s="59">
        <v>0.22559999999999999</v>
      </c>
      <c r="DG199" s="59">
        <v>4.3200000000000002E-2</v>
      </c>
      <c r="DH199" s="59">
        <v>0</v>
      </c>
      <c r="DI199" s="59">
        <v>0.25419999999999998</v>
      </c>
      <c r="DJ199" s="59">
        <v>4.8099999999999997E-2</v>
      </c>
      <c r="DK199" s="59">
        <v>0.3458</v>
      </c>
      <c r="DL199" s="169">
        <v>0</v>
      </c>
      <c r="DM199" s="59">
        <v>8.2900000000000001E-2</v>
      </c>
      <c r="DN199" s="169">
        <v>0</v>
      </c>
      <c r="DO199" s="170">
        <v>0.71300000000000008</v>
      </c>
      <c r="DP199" s="171">
        <f t="shared" si="161"/>
        <v>1.1095999999999999</v>
      </c>
      <c r="DQ199" s="59">
        <v>8.9399999999999993E-2</v>
      </c>
      <c r="DR199" s="59">
        <v>0.19939999999999999</v>
      </c>
      <c r="DS199" s="59">
        <v>2.1600000000000001E-2</v>
      </c>
      <c r="DT199" s="59">
        <v>6.4799999999999996E-2</v>
      </c>
      <c r="DU199" s="59">
        <v>0</v>
      </c>
      <c r="DV199" s="59">
        <v>5.0500000000000003E-2</v>
      </c>
      <c r="DW199" s="59">
        <v>1.43E-2</v>
      </c>
      <c r="DX199" s="169">
        <v>0</v>
      </c>
      <c r="DY199" s="170">
        <v>1.6523000000000001</v>
      </c>
      <c r="DZ199" s="171">
        <f t="shared" si="162"/>
        <v>2.014162077104642</v>
      </c>
      <c r="EA199" s="59">
        <v>0.6966</v>
      </c>
      <c r="EB199" s="171">
        <f t="shared" si="163"/>
        <v>1.7842377260981914</v>
      </c>
      <c r="EC199" s="170">
        <v>0.43379999999999996</v>
      </c>
      <c r="ED199" s="171">
        <f t="shared" si="164"/>
        <v>2.2134624250806825</v>
      </c>
      <c r="EE199" s="59">
        <v>0.1328</v>
      </c>
      <c r="EF199" s="59">
        <v>1.84E-2</v>
      </c>
      <c r="EG199" s="59">
        <v>0.2218</v>
      </c>
      <c r="EH199" s="59">
        <v>0</v>
      </c>
      <c r="EI199" s="195">
        <v>0.1401</v>
      </c>
      <c r="EJ199" s="172">
        <v>5.7445999999999993</v>
      </c>
      <c r="EK199" s="173"/>
      <c r="EL199" s="169">
        <v>0</v>
      </c>
      <c r="EM199" s="169">
        <v>0</v>
      </c>
      <c r="EN199" s="59"/>
      <c r="EO199" s="172"/>
      <c r="ES199" s="57">
        <f t="shared" si="174"/>
        <v>5.7445999999999993</v>
      </c>
      <c r="ET199" s="57">
        <f t="shared" si="175"/>
        <v>0</v>
      </c>
      <c r="EU199" s="31"/>
      <c r="EV199" s="61">
        <f t="shared" si="165"/>
        <v>1.8403718274553498</v>
      </c>
      <c r="EW199" s="62"/>
      <c r="EX199" s="159">
        <f t="shared" si="226"/>
        <v>-2.485889904761907</v>
      </c>
      <c r="EY199" s="32">
        <f>ES199*1.386-BJ199</f>
        <v>-2.6101844000000023</v>
      </c>
      <c r="EZ199" s="158">
        <f t="shared" si="166"/>
        <v>10.5722</v>
      </c>
      <c r="FA199" s="159">
        <f t="shared" si="167"/>
        <v>10.5722</v>
      </c>
      <c r="FB199" s="158">
        <f t="shared" si="227"/>
        <v>7.6977639999999994</v>
      </c>
      <c r="FC199" s="158">
        <f t="shared" si="228"/>
        <v>2.8744360000000011</v>
      </c>
      <c r="FD199" s="158"/>
      <c r="FE199" s="158"/>
      <c r="FF199" s="158"/>
      <c r="FG199" s="174"/>
      <c r="FH199" s="174">
        <f t="shared" si="176"/>
        <v>9832.1460000000006</v>
      </c>
      <c r="FI199" s="174"/>
      <c r="FJ199" s="87">
        <v>1.4893987396859663</v>
      </c>
      <c r="FK199" s="176">
        <f t="shared" si="177"/>
        <v>1.2356474988312296</v>
      </c>
      <c r="FM199" s="87" t="e">
        <f t="shared" si="178"/>
        <v>#DIV/0!</v>
      </c>
      <c r="FO199" s="88">
        <f t="shared" si="168"/>
        <v>9832.1460000000006</v>
      </c>
      <c r="FP199" s="79">
        <f t="shared" si="169"/>
        <v>0</v>
      </c>
      <c r="FS199" s="79">
        <f t="shared" si="170"/>
        <v>5342.4779999999992</v>
      </c>
      <c r="FT199" s="79">
        <f t="shared" si="171"/>
        <v>0</v>
      </c>
      <c r="FU199" s="79">
        <f t="shared" si="179"/>
        <v>1.8403718274553498</v>
      </c>
      <c r="FV199" s="79" t="e">
        <f t="shared" si="179"/>
        <v>#DIV/0!</v>
      </c>
      <c r="FY199" s="79">
        <f t="shared" si="180"/>
        <v>9832.1460000000006</v>
      </c>
      <c r="FZ199" s="79">
        <f t="shared" si="181"/>
        <v>0</v>
      </c>
      <c r="GB199" s="178">
        <f t="shared" si="182"/>
        <v>930</v>
      </c>
      <c r="GC199" s="178">
        <f t="shared" si="183"/>
        <v>0</v>
      </c>
      <c r="GE199" s="196"/>
      <c r="GF199" s="196"/>
      <c r="GG199" s="14">
        <v>8.3252000000000006</v>
      </c>
      <c r="GH199" s="197">
        <f t="shared" si="184"/>
        <v>1.2699034257435255</v>
      </c>
      <c r="GI199" s="14">
        <v>8.3252000000000006</v>
      </c>
      <c r="GJ199" s="197">
        <f t="shared" si="185"/>
        <v>1.2699034257435255</v>
      </c>
      <c r="GK199" s="197">
        <f t="shared" si="223"/>
        <v>0</v>
      </c>
      <c r="GL199" s="196"/>
      <c r="GM199" s="196"/>
      <c r="GN199" s="14">
        <v>10.997999999999999</v>
      </c>
      <c r="GO199" s="197">
        <f t="shared" si="186"/>
        <v>1.3210493441598998</v>
      </c>
      <c r="GP199" s="198">
        <f t="shared" si="187"/>
        <v>0.96128386979450819</v>
      </c>
      <c r="GQ199" s="14">
        <v>10.997999999999999</v>
      </c>
      <c r="GR199" s="197">
        <f t="shared" si="188"/>
        <v>1.3210493441598998</v>
      </c>
      <c r="GS199" s="197">
        <f t="shared" si="189"/>
        <v>0.96128386979450819</v>
      </c>
      <c r="GT199" s="196"/>
      <c r="GV199" s="32">
        <f t="shared" si="190"/>
        <v>9832.1460000000006</v>
      </c>
      <c r="GW199" s="32">
        <f t="shared" si="191"/>
        <v>0</v>
      </c>
      <c r="GX199" s="180">
        <f t="shared" si="192"/>
        <v>9832.1460000000006</v>
      </c>
      <c r="GZ199" s="32">
        <f t="shared" si="193"/>
        <v>10.5722</v>
      </c>
      <c r="HA199" s="32" t="e">
        <f t="shared" si="194"/>
        <v>#DIV/0!</v>
      </c>
      <c r="HB199" s="32">
        <f t="shared" si="195"/>
        <v>10.5722</v>
      </c>
    </row>
    <row r="200" spans="1:210" ht="19.2" customHeight="1" x14ac:dyDescent="0.3">
      <c r="A200" s="50">
        <v>192</v>
      </c>
      <c r="B200" s="51" t="s">
        <v>849</v>
      </c>
      <c r="C200" s="51"/>
      <c r="D200" s="52">
        <v>1</v>
      </c>
      <c r="E200" s="52">
        <v>0</v>
      </c>
      <c r="F200" s="63">
        <v>4</v>
      </c>
      <c r="G200" s="54" t="s">
        <v>6</v>
      </c>
      <c r="H200" s="181" t="s">
        <v>4</v>
      </c>
      <c r="I200" s="55">
        <f t="shared" si="172"/>
        <v>171.1</v>
      </c>
      <c r="J200" s="55">
        <f t="shared" si="152"/>
        <v>0</v>
      </c>
      <c r="K200" s="55">
        <f t="shared" si="153"/>
        <v>0</v>
      </c>
      <c r="L200" s="56">
        <v>171.1</v>
      </c>
      <c r="M200" s="56">
        <v>171.1</v>
      </c>
      <c r="N200" s="56">
        <f t="shared" si="173"/>
        <v>171.1</v>
      </c>
      <c r="O200" s="56">
        <v>0</v>
      </c>
      <c r="P200" s="56">
        <v>0</v>
      </c>
      <c r="Q200" s="55"/>
      <c r="R200" s="55">
        <v>0</v>
      </c>
      <c r="S200" s="55"/>
      <c r="T200" s="55">
        <v>0</v>
      </c>
      <c r="U200" s="152">
        <v>171.1</v>
      </c>
      <c r="V200" s="57">
        <v>0</v>
      </c>
      <c r="W200" s="153">
        <v>0</v>
      </c>
      <c r="X200" s="57">
        <v>0</v>
      </c>
      <c r="Y200" s="57">
        <v>0</v>
      </c>
      <c r="Z200" s="153">
        <v>0</v>
      </c>
      <c r="AA200" s="57">
        <v>0</v>
      </c>
      <c r="AB200" s="153">
        <v>0</v>
      </c>
      <c r="AC200" s="57">
        <v>0</v>
      </c>
      <c r="AD200" s="57">
        <v>0.36969999999999997</v>
      </c>
      <c r="AE200" s="57">
        <v>0</v>
      </c>
      <c r="AF200" s="57">
        <v>1.7537</v>
      </c>
      <c r="AG200" s="57">
        <v>0</v>
      </c>
      <c r="AH200" s="57">
        <v>0</v>
      </c>
      <c r="AI200" s="153">
        <v>0</v>
      </c>
      <c r="AJ200" s="153">
        <v>0</v>
      </c>
      <c r="AK200" s="153">
        <v>0</v>
      </c>
      <c r="AL200" s="57">
        <v>0</v>
      </c>
      <c r="AM200" s="153">
        <v>0</v>
      </c>
      <c r="AN200" s="57">
        <v>0</v>
      </c>
      <c r="AO200" s="153">
        <v>0</v>
      </c>
      <c r="AP200" s="57">
        <v>0</v>
      </c>
      <c r="AQ200" s="57">
        <v>0</v>
      </c>
      <c r="AR200" s="153">
        <v>0</v>
      </c>
      <c r="AS200" s="57">
        <v>0</v>
      </c>
      <c r="AT200" s="57">
        <v>0</v>
      </c>
      <c r="AU200" s="153">
        <v>0</v>
      </c>
      <c r="AV200" s="153">
        <v>0</v>
      </c>
      <c r="AW200" s="154">
        <v>2.1234000000000002</v>
      </c>
      <c r="AX200" s="58">
        <v>0.1062</v>
      </c>
      <c r="AY200" s="155">
        <f t="shared" si="154"/>
        <v>0.1062</v>
      </c>
      <c r="AZ200" s="155">
        <f t="shared" si="155"/>
        <v>0</v>
      </c>
      <c r="BA200" s="14">
        <v>2.2296</v>
      </c>
      <c r="BB200" s="59">
        <f>BA200-'[1]Тариф 26 свод без  ПДВ'!AU200</f>
        <v>-1.7999999999998018E-3</v>
      </c>
      <c r="BC200" s="57">
        <v>0</v>
      </c>
      <c r="BD200" s="57">
        <v>0</v>
      </c>
      <c r="BE200" s="57">
        <v>0</v>
      </c>
      <c r="BF200" s="156">
        <v>2.1234000000000002</v>
      </c>
      <c r="BG200" s="59">
        <v>0.1062</v>
      </c>
      <c r="BH200" s="59"/>
      <c r="BI200" s="59"/>
      <c r="BJ200" s="14">
        <v>2.2296</v>
      </c>
      <c r="BK200" s="60"/>
      <c r="BL200" s="60">
        <v>2.1234000000000002</v>
      </c>
      <c r="BM200" s="60">
        <v>0.1062</v>
      </c>
      <c r="BN200" s="14">
        <v>2.2296</v>
      </c>
      <c r="BO200" s="14"/>
      <c r="BP200" s="157"/>
      <c r="BQ200" s="158">
        <f>BJ200-'[1]Тариф 26 свод без  ПДВ'!BG200</f>
        <v>-1.7999999999998018E-3</v>
      </c>
      <c r="BR200" s="77">
        <f>'[1]Тариф 26 свод без  ПДВ'!BG200</f>
        <v>2.2313999999999998</v>
      </c>
      <c r="BS200" s="159">
        <f t="shared" si="156"/>
        <v>-1.7999999999998018E-3</v>
      </c>
      <c r="BU200" s="77">
        <f>'[1]Тариф 26 свод без  ПДВ'!AU200</f>
        <v>2.2313999999999998</v>
      </c>
      <c r="BV200" s="159">
        <f t="shared" si="157"/>
        <v>-1.7999999999998018E-3</v>
      </c>
      <c r="BW200" s="77">
        <v>4.4123999999999999</v>
      </c>
      <c r="BX200" s="248">
        <v>4.9160000000000004</v>
      </c>
      <c r="BY200" s="248">
        <v>4.9160000000000004</v>
      </c>
      <c r="BZ200" s="248"/>
      <c r="CA200" s="249">
        <f t="shared" si="158"/>
        <v>0.45353946297803088</v>
      </c>
      <c r="CB200" s="249">
        <f t="shared" si="159"/>
        <v>0.45353946297803088</v>
      </c>
      <c r="CI200" s="160">
        <f>'[1]0 СВОД'!AYY215</f>
        <v>381.48200776916354</v>
      </c>
      <c r="CJ200" s="77">
        <f t="shared" si="160"/>
        <v>4577.7840932299623</v>
      </c>
      <c r="CM200" s="161">
        <v>197</v>
      </c>
      <c r="CN200" s="183" t="s">
        <v>850</v>
      </c>
      <c r="CO200" s="163">
        <v>1</v>
      </c>
      <c r="CP200" s="163">
        <v>0</v>
      </c>
      <c r="CQ200" s="164" t="s">
        <v>6</v>
      </c>
      <c r="CR200" s="165" t="s">
        <v>4</v>
      </c>
      <c r="CS200" s="166">
        <v>171.1</v>
      </c>
      <c r="CT200" s="166">
        <v>0</v>
      </c>
      <c r="CU200" s="167">
        <v>0</v>
      </c>
      <c r="CV200" s="168">
        <v>171.1</v>
      </c>
      <c r="CW200" s="166">
        <v>171.1</v>
      </c>
      <c r="CX200" s="167">
        <v>0</v>
      </c>
      <c r="CY200" s="166">
        <v>0</v>
      </c>
      <c r="CZ200" s="166"/>
      <c r="DA200" s="166"/>
      <c r="DB200" s="166"/>
      <c r="DC200" s="166">
        <v>0</v>
      </c>
      <c r="DD200" s="59">
        <v>0</v>
      </c>
      <c r="DE200" s="59">
        <v>0</v>
      </c>
      <c r="DF200" s="59">
        <v>0</v>
      </c>
      <c r="DG200" s="59">
        <v>0</v>
      </c>
      <c r="DH200" s="59">
        <v>0</v>
      </c>
      <c r="DI200" s="59">
        <v>0</v>
      </c>
      <c r="DJ200" s="59">
        <v>4.8099999999999997E-2</v>
      </c>
      <c r="DK200" s="169">
        <v>0</v>
      </c>
      <c r="DL200" s="169">
        <v>0</v>
      </c>
      <c r="DM200" s="59">
        <v>0.22500000000000001</v>
      </c>
      <c r="DN200" s="169">
        <v>0</v>
      </c>
      <c r="DO200" s="184">
        <v>0.98180000000000001</v>
      </c>
      <c r="DP200" s="171">
        <f t="shared" si="161"/>
        <v>1.7537</v>
      </c>
      <c r="DQ200" s="59">
        <v>0</v>
      </c>
      <c r="DR200" s="59">
        <v>0</v>
      </c>
      <c r="DS200" s="59">
        <v>0</v>
      </c>
      <c r="DT200" s="59">
        <v>0</v>
      </c>
      <c r="DU200" s="59">
        <v>0</v>
      </c>
      <c r="DV200" s="59">
        <v>0</v>
      </c>
      <c r="DW200" s="59">
        <v>0</v>
      </c>
      <c r="DX200" s="169">
        <v>0</v>
      </c>
      <c r="DY200" s="169">
        <v>0</v>
      </c>
      <c r="DZ200" s="171" t="e">
        <f t="shared" si="162"/>
        <v>#DIV/0!</v>
      </c>
      <c r="EA200" s="169">
        <v>0</v>
      </c>
      <c r="EB200" s="171" t="e">
        <f t="shared" si="163"/>
        <v>#DIV/0!</v>
      </c>
      <c r="EC200" s="169">
        <v>0</v>
      </c>
      <c r="ED200" s="171" t="e">
        <f t="shared" si="164"/>
        <v>#DIV/0!</v>
      </c>
      <c r="EE200" s="169">
        <v>0</v>
      </c>
      <c r="EF200" s="169">
        <v>0</v>
      </c>
      <c r="EG200" s="169">
        <v>0</v>
      </c>
      <c r="EH200" s="59">
        <v>0</v>
      </c>
      <c r="EI200" s="155">
        <v>3.1399999999999997E-2</v>
      </c>
      <c r="EJ200" s="172">
        <v>1.2863000000000002</v>
      </c>
      <c r="EK200" s="173"/>
      <c r="EL200" s="169">
        <v>0</v>
      </c>
      <c r="EM200" s="169">
        <v>0</v>
      </c>
      <c r="EN200" s="59"/>
      <c r="EO200" s="172"/>
      <c r="ES200" s="57">
        <f t="shared" si="174"/>
        <v>1.2863000000000002</v>
      </c>
      <c r="ET200" s="57">
        <f t="shared" si="175"/>
        <v>0</v>
      </c>
      <c r="EU200" s="31"/>
      <c r="EV200" s="61">
        <f t="shared" si="165"/>
        <v>1.7333436989815747</v>
      </c>
      <c r="EW200" s="61"/>
      <c r="EX200" s="203"/>
      <c r="EY200" s="32"/>
      <c r="EZ200" s="158">
        <f t="shared" si="166"/>
        <v>2.2296</v>
      </c>
      <c r="FA200" s="158">
        <f t="shared" si="167"/>
        <v>2.2296</v>
      </c>
      <c r="FH200" s="174">
        <f t="shared" si="176"/>
        <v>381.48455999999999</v>
      </c>
      <c r="FJ200" s="87">
        <v>1.3668</v>
      </c>
      <c r="FK200" s="176">
        <f t="shared" si="177"/>
        <v>1.2681765430067125</v>
      </c>
      <c r="FL200" s="87">
        <v>1.3668</v>
      </c>
      <c r="FM200" s="87">
        <f t="shared" si="178"/>
        <v>0</v>
      </c>
      <c r="FO200" s="88">
        <f t="shared" si="168"/>
        <v>381.48455999999999</v>
      </c>
      <c r="FP200" s="79">
        <f t="shared" si="169"/>
        <v>0</v>
      </c>
      <c r="FS200" s="79">
        <f t="shared" si="170"/>
        <v>220.08593000000002</v>
      </c>
      <c r="FT200" s="79">
        <f t="shared" si="171"/>
        <v>0</v>
      </c>
      <c r="FU200" s="79">
        <f t="shared" si="179"/>
        <v>1.7333436989815749</v>
      </c>
      <c r="FV200" s="79" t="e">
        <f t="shared" si="179"/>
        <v>#DIV/0!</v>
      </c>
      <c r="FY200" s="79">
        <f t="shared" si="180"/>
        <v>381.48455999999999</v>
      </c>
      <c r="FZ200" s="79">
        <f t="shared" si="181"/>
        <v>0</v>
      </c>
      <c r="GB200" s="178">
        <f t="shared" si="182"/>
        <v>171.1</v>
      </c>
      <c r="GC200" s="178">
        <f t="shared" si="183"/>
        <v>0</v>
      </c>
      <c r="GG200" s="14">
        <v>1.7557999999999998</v>
      </c>
      <c r="GH200" s="175">
        <f t="shared" si="184"/>
        <v>1.2698485021073016</v>
      </c>
      <c r="GI200" s="14">
        <v>1.7557999999999998</v>
      </c>
      <c r="GJ200" s="175">
        <f t="shared" si="185"/>
        <v>1.2698485021073016</v>
      </c>
      <c r="GK200" s="175">
        <f t="shared" si="223"/>
        <v>0</v>
      </c>
      <c r="GN200" s="14">
        <v>2.1674000000000002</v>
      </c>
      <c r="GO200" s="175">
        <f t="shared" si="186"/>
        <v>1.234423055017656</v>
      </c>
      <c r="GP200" s="179">
        <f t="shared" si="187"/>
        <v>1.02869797914552</v>
      </c>
      <c r="GQ200" s="14">
        <v>2.1674000000000002</v>
      </c>
      <c r="GR200" s="175">
        <f t="shared" si="188"/>
        <v>1.234423055017656</v>
      </c>
      <c r="GS200" s="175">
        <f t="shared" si="189"/>
        <v>1.02869797914552</v>
      </c>
      <c r="GV200" s="32">
        <f t="shared" si="190"/>
        <v>381.48455999999999</v>
      </c>
      <c r="GW200" s="32">
        <f t="shared" si="191"/>
        <v>0</v>
      </c>
      <c r="GX200" s="180">
        <f t="shared" si="192"/>
        <v>381.48455999999999</v>
      </c>
      <c r="GZ200" s="32">
        <f t="shared" si="193"/>
        <v>2.2296</v>
      </c>
      <c r="HA200" s="32" t="e">
        <f t="shared" si="194"/>
        <v>#DIV/0!</v>
      </c>
      <c r="HB200" s="32">
        <f t="shared" si="195"/>
        <v>2.2296</v>
      </c>
    </row>
    <row r="201" spans="1:210" ht="19.2" customHeight="1" x14ac:dyDescent="0.3">
      <c r="A201" s="50">
        <v>193</v>
      </c>
      <c r="B201" s="51" t="s">
        <v>851</v>
      </c>
      <c r="C201" s="51" t="s">
        <v>852</v>
      </c>
      <c r="D201" s="52">
        <v>9</v>
      </c>
      <c r="E201" s="52">
        <v>3</v>
      </c>
      <c r="F201" s="63">
        <v>102</v>
      </c>
      <c r="G201" s="54" t="s">
        <v>229</v>
      </c>
      <c r="H201" s="181" t="s">
        <v>179</v>
      </c>
      <c r="I201" s="55">
        <f t="shared" si="172"/>
        <v>104.90000000000089</v>
      </c>
      <c r="J201" s="55">
        <f t="shared" ref="J201:J239" si="229">T201</f>
        <v>5603.4</v>
      </c>
      <c r="K201" s="55">
        <f t="shared" ref="K201:K239" si="230">O201</f>
        <v>307.10000000000002</v>
      </c>
      <c r="L201" s="56">
        <v>6015.4000000000005</v>
      </c>
      <c r="M201" s="56">
        <v>5708.3</v>
      </c>
      <c r="N201" s="56">
        <f t="shared" si="173"/>
        <v>104.90000000000055</v>
      </c>
      <c r="O201" s="56">
        <v>307.10000000000002</v>
      </c>
      <c r="P201" s="56">
        <v>0</v>
      </c>
      <c r="Q201" s="55"/>
      <c r="R201" s="55">
        <v>6015.4000000000005</v>
      </c>
      <c r="S201" s="55"/>
      <c r="T201" s="55">
        <v>5603.4</v>
      </c>
      <c r="U201" s="152">
        <v>412.00000000000091</v>
      </c>
      <c r="V201" s="57">
        <v>0.1305</v>
      </c>
      <c r="W201" s="57">
        <v>9.6100000000000005E-2</v>
      </c>
      <c r="X201" s="153">
        <v>0.3004</v>
      </c>
      <c r="Y201" s="153">
        <v>8.3099999999999993E-2</v>
      </c>
      <c r="Z201" s="57">
        <v>2.1899999999999999E-2</v>
      </c>
      <c r="AA201" s="57">
        <v>0.25840000000000002</v>
      </c>
      <c r="AB201" s="57">
        <v>0</v>
      </c>
      <c r="AC201" s="153">
        <v>0.63149999999999995</v>
      </c>
      <c r="AD201" s="57">
        <v>0.1341</v>
      </c>
      <c r="AE201" s="57">
        <v>0</v>
      </c>
      <c r="AF201" s="57">
        <v>1.8835999999999999</v>
      </c>
      <c r="AG201" s="57">
        <v>0.17630000000000001</v>
      </c>
      <c r="AH201" s="57">
        <v>0.35570000000000002</v>
      </c>
      <c r="AI201" s="57">
        <v>0.1249</v>
      </c>
      <c r="AJ201" s="57">
        <v>0.12820000000000001</v>
      </c>
      <c r="AK201" s="57">
        <v>4.2599999999999999E-2</v>
      </c>
      <c r="AL201" s="57">
        <v>0.1023</v>
      </c>
      <c r="AM201" s="57">
        <v>2.5999999999999999E-2</v>
      </c>
      <c r="AN201" s="57">
        <v>0</v>
      </c>
      <c r="AO201" s="57">
        <v>1.2897000000000001</v>
      </c>
      <c r="AP201" s="153">
        <v>1.5083</v>
      </c>
      <c r="AQ201" s="153">
        <v>7.2499999999999995E-2</v>
      </c>
      <c r="AR201" s="57">
        <v>0.309</v>
      </c>
      <c r="AS201" s="57">
        <v>1.35E-2</v>
      </c>
      <c r="AT201" s="153">
        <v>2.2000000000000001E-3</v>
      </c>
      <c r="AU201" s="153">
        <v>0.73170000000000002</v>
      </c>
      <c r="AV201" s="153">
        <v>0</v>
      </c>
      <c r="AW201" s="154">
        <v>8.4224999999999994</v>
      </c>
      <c r="AX201" s="58">
        <v>0.42109999999999997</v>
      </c>
      <c r="AY201" s="155">
        <f t="shared" ref="AY201:AY239" si="231">ROUND((V201+W201+X201+Y201+Z201+AA201+AB201+AC201+AD201+AE201+AF201+AG201+AH201+AI201+AJ201+AK201+AL201+AM201+AN201+AO201+AP201+AR201+AS201+AT201+AU201+AV201)*0.05,4)</f>
        <v>0.41749999999999998</v>
      </c>
      <c r="AZ201" s="155">
        <f t="shared" ref="AZ201:AZ239" si="232">AX201-AY201</f>
        <v>3.5999999999999921E-3</v>
      </c>
      <c r="BA201" s="14">
        <v>8.8435999999999986</v>
      </c>
      <c r="BB201" s="59">
        <f>BA201-'[1]Тариф 26 свод без  ПДВ'!AU201</f>
        <v>1.1999999999989797E-3</v>
      </c>
      <c r="BC201" s="57">
        <v>1.4423999999999999</v>
      </c>
      <c r="BD201" s="57">
        <v>3.2099999999999997E-2</v>
      </c>
      <c r="BE201" s="57">
        <v>0.69279999999999997</v>
      </c>
      <c r="BF201" s="156">
        <v>10.589799999999999</v>
      </c>
      <c r="BG201" s="59">
        <v>0.52949999999999997</v>
      </c>
      <c r="BH201" s="59"/>
      <c r="BI201" s="59"/>
      <c r="BJ201" s="14">
        <v>11.119299999999999</v>
      </c>
      <c r="BK201" s="60"/>
      <c r="BL201" s="60">
        <v>4.5837999999999992</v>
      </c>
      <c r="BM201" s="60">
        <v>0.22919999999999999</v>
      </c>
      <c r="BN201" s="14">
        <v>4.8129999999999988</v>
      </c>
      <c r="BO201" s="14"/>
      <c r="BP201" s="157"/>
      <c r="BQ201" s="158">
        <f>BJ201-'[1]Тариф 26 свод без  ПДВ'!BG201</f>
        <v>1.6999999999995907E-3</v>
      </c>
      <c r="BR201" s="77">
        <f>'[1]Тариф 26 свод без  ПДВ'!BG201</f>
        <v>11.117599999999999</v>
      </c>
      <c r="BS201" s="159">
        <f t="shared" ref="BS201:BS239" si="233">BJ201-BR201</f>
        <v>1.6999999999995907E-3</v>
      </c>
      <c r="BU201" s="77">
        <f>'[1]Тариф 26 свод без  ПДВ'!AU201</f>
        <v>8.8423999999999996</v>
      </c>
      <c r="BV201" s="159">
        <f t="shared" ref="BV201:BV239" si="234">BA201-BU201</f>
        <v>1.1999999999989797E-3</v>
      </c>
      <c r="BW201" s="77">
        <v>4.6605999999999996</v>
      </c>
      <c r="BX201" s="250">
        <v>4.4206000000000003</v>
      </c>
      <c r="BY201" s="250">
        <v>4.4206000000000003</v>
      </c>
      <c r="BZ201" s="250"/>
      <c r="CA201" s="215">
        <f t="shared" ref="CA201:CA239" si="235">BA201/BX201</f>
        <v>2.0005429127267789</v>
      </c>
      <c r="CB201" s="251">
        <f t="shared" ref="CB201:CB239" si="236">BJ201/BY201</f>
        <v>2.5153372845315114</v>
      </c>
      <c r="CI201" s="160">
        <f>'[1]0 СВОД'!AYY216</f>
        <v>64710.750159581337</v>
      </c>
      <c r="CJ201" s="77">
        <f t="shared" ref="CJ201:CJ239" si="237">CI201*12</f>
        <v>776529.00191497605</v>
      </c>
      <c r="CM201" s="161">
        <v>198</v>
      </c>
      <c r="CN201" s="162" t="s">
        <v>853</v>
      </c>
      <c r="CO201" s="163">
        <v>9</v>
      </c>
      <c r="CP201" s="163">
        <v>3</v>
      </c>
      <c r="CQ201" s="164" t="s">
        <v>229</v>
      </c>
      <c r="CR201" s="165" t="s">
        <v>179</v>
      </c>
      <c r="CS201" s="166">
        <v>120.5999999999998</v>
      </c>
      <c r="CT201" s="166">
        <v>5587.7000000000007</v>
      </c>
      <c r="CU201" s="167">
        <v>307.10000000000002</v>
      </c>
      <c r="CV201" s="168">
        <v>6015.4000000000005</v>
      </c>
      <c r="CW201" s="166">
        <v>5708.3</v>
      </c>
      <c r="CX201" s="167">
        <v>307.10000000000002</v>
      </c>
      <c r="CY201" s="166">
        <v>0</v>
      </c>
      <c r="CZ201" s="166"/>
      <c r="DA201" s="166">
        <v>6015.4000000000005</v>
      </c>
      <c r="DB201" s="166"/>
      <c r="DC201" s="166">
        <v>5587.7000000000007</v>
      </c>
      <c r="DD201" s="59">
        <v>0.2001</v>
      </c>
      <c r="DE201" s="59">
        <v>0.18049999999999999</v>
      </c>
      <c r="DF201" s="59">
        <v>0.19750000000000001</v>
      </c>
      <c r="DG201" s="59">
        <v>4.9000000000000002E-2</v>
      </c>
      <c r="DH201" s="59">
        <v>1.6E-2</v>
      </c>
      <c r="DI201" s="59">
        <v>0.11310000000000001</v>
      </c>
      <c r="DJ201" s="59">
        <v>4.8099999999999997E-2</v>
      </c>
      <c r="DK201" s="59">
        <v>0.3458</v>
      </c>
      <c r="DL201" s="59">
        <v>8.1000000000000003E-2</v>
      </c>
      <c r="DM201" s="59">
        <v>8.1600000000000006E-2</v>
      </c>
      <c r="DN201" s="169">
        <v>0</v>
      </c>
      <c r="DO201" s="170">
        <v>1.0674000000000001</v>
      </c>
      <c r="DP201" s="171">
        <f t="shared" ref="DP201:DP238" si="238">AF201</f>
        <v>1.8835999999999999</v>
      </c>
      <c r="DQ201" s="59">
        <v>0.1333</v>
      </c>
      <c r="DR201" s="59">
        <v>0.23630000000000001</v>
      </c>
      <c r="DS201" s="59">
        <v>3.6999999999999998E-2</v>
      </c>
      <c r="DT201" s="59">
        <v>7.0900000000000005E-2</v>
      </c>
      <c r="DU201" s="59">
        <v>3.5000000000000003E-2</v>
      </c>
      <c r="DV201" s="59">
        <v>3.56E-2</v>
      </c>
      <c r="DW201" s="59">
        <v>5.5999999999999999E-3</v>
      </c>
      <c r="DX201" s="169">
        <v>0</v>
      </c>
      <c r="DY201" s="59">
        <v>0.5907</v>
      </c>
      <c r="DZ201" s="171">
        <f t="shared" ref="DZ201:DZ238" si="239">AO201/DY201</f>
        <v>2.1833417978669378</v>
      </c>
      <c r="EA201" s="59">
        <v>0.88839999999999997</v>
      </c>
      <c r="EB201" s="171">
        <f t="shared" ref="EB201:EB238" si="240">(AP201+AQ201)/EA201</f>
        <v>1.7793786582620441</v>
      </c>
      <c r="EC201" s="59">
        <v>0.1081</v>
      </c>
      <c r="ED201" s="171">
        <f t="shared" ref="ED201:ED238" si="241">AR201/EC201</f>
        <v>2.8584643848288622</v>
      </c>
      <c r="EE201" s="59">
        <v>1.03E-2</v>
      </c>
      <c r="EF201" s="59">
        <v>1.4E-3</v>
      </c>
      <c r="EG201" s="59">
        <v>0.27179999999999999</v>
      </c>
      <c r="EH201" s="59">
        <v>0</v>
      </c>
      <c r="EI201" s="155">
        <v>0.1201</v>
      </c>
      <c r="EJ201" s="172">
        <v>4.9246000000000008</v>
      </c>
      <c r="EK201" s="173"/>
      <c r="EL201" s="59">
        <v>1.0819000000000001</v>
      </c>
      <c r="EM201" s="59">
        <v>0.12189999999999999</v>
      </c>
      <c r="EN201" s="59">
        <v>0.1502</v>
      </c>
      <c r="EO201" s="172">
        <v>6.158500000000001</v>
      </c>
      <c r="ES201" s="57">
        <f t="shared" si="174"/>
        <v>4.9246000000000008</v>
      </c>
      <c r="ET201" s="57">
        <f t="shared" si="175"/>
        <v>6.158500000000001</v>
      </c>
      <c r="EU201" s="31"/>
      <c r="EV201" s="61">
        <f t="shared" ref="EV201:EV238" si="242">BA201/ES201</f>
        <v>1.7958006741664292</v>
      </c>
      <c r="EW201" s="61">
        <f>BJ201/ET201</f>
        <v>1.8055208248761869</v>
      </c>
      <c r="EX201" s="174">
        <v>6.6186999999999996</v>
      </c>
      <c r="EY201" s="174">
        <v>8.5394000000000005</v>
      </c>
      <c r="EZ201" s="158">
        <f t="shared" ref="EZ201:EZ238" si="243">BA201</f>
        <v>8.8435999999999986</v>
      </c>
      <c r="FA201" s="158">
        <f t="shared" ref="FA201:FA238" si="244">BJ201</f>
        <v>11.119299999999999</v>
      </c>
      <c r="FB201" s="158">
        <f>BA201-EX201</f>
        <v>2.224899999999999</v>
      </c>
      <c r="FC201" s="158">
        <f>BJ201-EY201</f>
        <v>2.5798999999999985</v>
      </c>
      <c r="FD201" s="175">
        <f>FB201/EX201</f>
        <v>0.33615362533428</v>
      </c>
      <c r="FE201" s="175">
        <f>FC201/FA201</f>
        <v>0.23202000125907196</v>
      </c>
      <c r="FH201" s="174">
        <f t="shared" si="176"/>
        <v>53197.791439999994</v>
      </c>
      <c r="FJ201" s="176">
        <v>1.37</v>
      </c>
      <c r="FK201" s="87">
        <f t="shared" si="177"/>
        <v>1.3108034118003131</v>
      </c>
      <c r="FL201" s="87">
        <v>1.4074</v>
      </c>
      <c r="FM201" s="177">
        <f t="shared" si="178"/>
        <v>1.2828768117636684</v>
      </c>
      <c r="FO201" s="88">
        <f t="shared" ref="FO201:FO239" si="245">BA201*L201</f>
        <v>53197.791439999994</v>
      </c>
      <c r="FP201" s="79">
        <f t="shared" ref="FP201:FP238" si="246">T201*BJ201</f>
        <v>62305.885619999994</v>
      </c>
      <c r="FS201" s="79">
        <f t="shared" ref="FS201:FS238" si="247">ES201*L201</f>
        <v>29623.438840000006</v>
      </c>
      <c r="FT201" s="79">
        <f t="shared" ref="FT201:FT238" si="248">ET201*T201</f>
        <v>34508.538900000007</v>
      </c>
      <c r="FU201" s="79">
        <f t="shared" si="179"/>
        <v>1.7958006741664292</v>
      </c>
      <c r="FV201" s="79">
        <f t="shared" si="179"/>
        <v>1.8055208248761869</v>
      </c>
      <c r="FY201" s="79">
        <f t="shared" si="180"/>
        <v>3643.5632000000073</v>
      </c>
      <c r="FZ201" s="79">
        <f t="shared" si="181"/>
        <v>62305.885619999994</v>
      </c>
      <c r="GB201" s="178">
        <f t="shared" si="182"/>
        <v>412.00000000000091</v>
      </c>
      <c r="GC201" s="178">
        <f t="shared" si="183"/>
        <v>5603.4</v>
      </c>
      <c r="GG201" s="14">
        <v>7.0419</v>
      </c>
      <c r="GH201" s="175">
        <f t="shared" si="184"/>
        <v>1.2558542438830427</v>
      </c>
      <c r="GI201" s="14">
        <v>9.860100000000001</v>
      </c>
      <c r="GJ201" s="175">
        <f t="shared" si="185"/>
        <v>1.1277066155515663</v>
      </c>
      <c r="GK201" s="175">
        <f>GH201-GJ201</f>
        <v>0.12814762833147642</v>
      </c>
      <c r="GN201" s="14">
        <v>8.5126000000000008</v>
      </c>
      <c r="GO201" s="175">
        <f t="shared" si="186"/>
        <v>1.2088498842641902</v>
      </c>
      <c r="GP201" s="179">
        <f t="shared" si="187"/>
        <v>1.0388835373446419</v>
      </c>
      <c r="GQ201" s="14">
        <v>10.7652</v>
      </c>
      <c r="GR201" s="175">
        <f t="shared" si="188"/>
        <v>1.0917942008701735</v>
      </c>
      <c r="GS201" s="175">
        <f t="shared" si="189"/>
        <v>1.0328930256753242</v>
      </c>
      <c r="GV201" s="32">
        <f t="shared" si="190"/>
        <v>3643.5632000000073</v>
      </c>
      <c r="GW201" s="32">
        <f t="shared" si="191"/>
        <v>62305.885619999994</v>
      </c>
      <c r="GX201" s="180">
        <f t="shared" si="192"/>
        <v>65949.448820000005</v>
      </c>
      <c r="GZ201" s="32">
        <f t="shared" si="193"/>
        <v>8.8435999999999986</v>
      </c>
      <c r="HA201" s="32">
        <f t="shared" si="194"/>
        <v>11.119299999999999</v>
      </c>
      <c r="HB201" s="32">
        <f t="shared" si="195"/>
        <v>10.96343531934701</v>
      </c>
    </row>
    <row r="202" spans="1:210" ht="19.2" customHeight="1" x14ac:dyDescent="0.3">
      <c r="A202" s="50">
        <v>194</v>
      </c>
      <c r="B202" s="51" t="s">
        <v>854</v>
      </c>
      <c r="C202" s="51" t="s">
        <v>852</v>
      </c>
      <c r="D202" s="52">
        <v>5</v>
      </c>
      <c r="E202" s="52">
        <v>2</v>
      </c>
      <c r="F202" s="63">
        <v>40</v>
      </c>
      <c r="G202" s="54" t="s">
        <v>143</v>
      </c>
      <c r="H202" s="181" t="s">
        <v>49</v>
      </c>
      <c r="I202" s="55">
        <f t="shared" ref="I202:I239" si="249">L202-J202-K202</f>
        <v>1715.8</v>
      </c>
      <c r="J202" s="55">
        <f t="shared" si="229"/>
        <v>0</v>
      </c>
      <c r="K202" s="55">
        <f t="shared" si="230"/>
        <v>0</v>
      </c>
      <c r="L202" s="56">
        <v>1715.8</v>
      </c>
      <c r="M202" s="56">
        <v>1715.8</v>
      </c>
      <c r="N202" s="56">
        <f t="shared" ref="N202:N239" si="250">L202-O202-T202</f>
        <v>1715.8</v>
      </c>
      <c r="O202" s="56">
        <v>0</v>
      </c>
      <c r="P202" s="56">
        <v>0</v>
      </c>
      <c r="Q202" s="55"/>
      <c r="R202" s="55">
        <v>1715.8</v>
      </c>
      <c r="S202" s="55"/>
      <c r="T202" s="55">
        <v>0</v>
      </c>
      <c r="U202" s="152">
        <v>1715.8</v>
      </c>
      <c r="V202" s="57">
        <v>0.1767</v>
      </c>
      <c r="W202" s="153">
        <v>0.1004</v>
      </c>
      <c r="X202" s="57">
        <v>0.30420000000000003</v>
      </c>
      <c r="Y202" s="57">
        <v>7.2900000000000006E-2</v>
      </c>
      <c r="Z202" s="153">
        <v>2.3300000000000001E-2</v>
      </c>
      <c r="AA202" s="57">
        <v>0.33950000000000002</v>
      </c>
      <c r="AB202" s="153">
        <v>0</v>
      </c>
      <c r="AC202" s="57">
        <v>0.63149999999999995</v>
      </c>
      <c r="AD202" s="57">
        <v>0.18429999999999999</v>
      </c>
      <c r="AE202" s="57">
        <v>0</v>
      </c>
      <c r="AF202" s="57">
        <v>1.9141999999999999</v>
      </c>
      <c r="AG202" s="57">
        <v>0.23719999999999999</v>
      </c>
      <c r="AH202" s="57">
        <v>0.3599</v>
      </c>
      <c r="AI202" s="153">
        <v>7.3800000000000004E-2</v>
      </c>
      <c r="AJ202" s="153">
        <v>0.1046</v>
      </c>
      <c r="AK202" s="153">
        <v>4.53E-2</v>
      </c>
      <c r="AL202" s="57">
        <v>0.11360000000000001</v>
      </c>
      <c r="AM202" s="153">
        <v>3.1899999999999998E-2</v>
      </c>
      <c r="AN202" s="57">
        <v>0</v>
      </c>
      <c r="AO202" s="153">
        <v>2.8203999999999998</v>
      </c>
      <c r="AP202" s="57">
        <v>0.92989999999999995</v>
      </c>
      <c r="AQ202" s="57">
        <v>8.7099999999999997E-2</v>
      </c>
      <c r="AR202" s="153">
        <v>0.55169999999999997</v>
      </c>
      <c r="AS202" s="57">
        <v>5.0900000000000001E-2</v>
      </c>
      <c r="AT202" s="57">
        <v>8.3000000000000001E-3</v>
      </c>
      <c r="AU202" s="153">
        <v>0.12970000000000001</v>
      </c>
      <c r="AV202" s="153">
        <v>0</v>
      </c>
      <c r="AW202" s="154">
        <v>9.2912999999999997</v>
      </c>
      <c r="AX202" s="58">
        <v>0.46460000000000001</v>
      </c>
      <c r="AY202" s="155">
        <f t="shared" si="231"/>
        <v>0.4602</v>
      </c>
      <c r="AZ202" s="155">
        <f t="shared" si="232"/>
        <v>4.400000000000015E-3</v>
      </c>
      <c r="BA202" s="14">
        <v>9.7559000000000005</v>
      </c>
      <c r="BB202" s="59">
        <f>BA202-'[1]Тариф 26 свод без  ПДВ'!AU202</f>
        <v>-3.2999999999994145E-3</v>
      </c>
      <c r="BC202" s="57">
        <v>0</v>
      </c>
      <c r="BD202" s="57">
        <v>0</v>
      </c>
      <c r="BE202" s="57">
        <v>0</v>
      </c>
      <c r="BF202" s="156">
        <v>9.2912999999999997</v>
      </c>
      <c r="BG202" s="59">
        <v>0.46460000000000001</v>
      </c>
      <c r="BH202" s="59"/>
      <c r="BI202" s="59"/>
      <c r="BJ202" s="14">
        <v>9.7559000000000005</v>
      </c>
      <c r="BK202" s="60"/>
      <c r="BL202" s="60">
        <v>4.8596000000000004</v>
      </c>
      <c r="BM202" s="60">
        <v>0.24299999999999999</v>
      </c>
      <c r="BN202" s="14">
        <v>5.1026000000000007</v>
      </c>
      <c r="BO202" s="14"/>
      <c r="BP202" s="157"/>
      <c r="BQ202" s="158">
        <f>BJ202-'[1]Тариф 26 свод без  ПДВ'!BG202</f>
        <v>-3.2999999999994145E-3</v>
      </c>
      <c r="BR202" s="77">
        <f>'[1]Тариф 26 свод без  ПДВ'!BG202</f>
        <v>9.7591999999999999</v>
      </c>
      <c r="BS202" s="159">
        <f t="shared" si="233"/>
        <v>-3.2999999999994145E-3</v>
      </c>
      <c r="BU202" s="77">
        <f>'[1]Тариф 26 свод без  ПДВ'!AU202</f>
        <v>9.7591999999999999</v>
      </c>
      <c r="BV202" s="159">
        <f t="shared" si="234"/>
        <v>-3.2999999999994145E-3</v>
      </c>
      <c r="BW202" s="77">
        <v>4.9160000000000004</v>
      </c>
      <c r="BX202" s="95">
        <v>4.4123999999999999</v>
      </c>
      <c r="BY202" s="95">
        <v>4.4123999999999999</v>
      </c>
      <c r="BZ202" s="95"/>
      <c r="CA202" s="182">
        <f t="shared" si="235"/>
        <v>2.2110189466050225</v>
      </c>
      <c r="CB202" s="207">
        <f t="shared" si="236"/>
        <v>2.2110189466050225</v>
      </c>
      <c r="CI202" s="160">
        <f>'[1]0 СВОД'!AYY217</f>
        <v>16738.912722914381</v>
      </c>
      <c r="CJ202" s="77">
        <f t="shared" si="237"/>
        <v>200866.95267497259</v>
      </c>
      <c r="CM202" s="161">
        <v>199</v>
      </c>
      <c r="CN202" s="162" t="s">
        <v>855</v>
      </c>
      <c r="CO202" s="163">
        <v>5</v>
      </c>
      <c r="CP202" s="163">
        <v>2</v>
      </c>
      <c r="CQ202" s="164" t="s">
        <v>143</v>
      </c>
      <c r="CR202" s="165" t="s">
        <v>49</v>
      </c>
      <c r="CS202" s="166">
        <v>1713.2</v>
      </c>
      <c r="CT202" s="166">
        <v>0</v>
      </c>
      <c r="CU202" s="167">
        <v>0</v>
      </c>
      <c r="CV202" s="168">
        <v>1713.2</v>
      </c>
      <c r="CW202" s="166">
        <v>1713.2</v>
      </c>
      <c r="CX202" s="167">
        <v>0</v>
      </c>
      <c r="CY202" s="166">
        <v>0</v>
      </c>
      <c r="CZ202" s="166"/>
      <c r="DA202" s="166">
        <v>1713.2</v>
      </c>
      <c r="DB202" s="166"/>
      <c r="DC202" s="166">
        <v>0</v>
      </c>
      <c r="DD202" s="59">
        <v>0.17430000000000001</v>
      </c>
      <c r="DE202" s="59">
        <v>0.17130000000000001</v>
      </c>
      <c r="DF202" s="59">
        <v>0.2001</v>
      </c>
      <c r="DG202" s="59">
        <v>4.2999999999999997E-2</v>
      </c>
      <c r="DH202" s="59">
        <v>8.8000000000000005E-3</v>
      </c>
      <c r="DI202" s="59">
        <v>0.14449999999999999</v>
      </c>
      <c r="DJ202" s="59">
        <v>4.8099999999999997E-2</v>
      </c>
      <c r="DK202" s="59">
        <v>0.3458</v>
      </c>
      <c r="DL202" s="169">
        <v>0</v>
      </c>
      <c r="DM202" s="59">
        <v>0.1124</v>
      </c>
      <c r="DN202" s="169">
        <v>0</v>
      </c>
      <c r="DO202" s="170">
        <v>1.0387999999999999</v>
      </c>
      <c r="DP202" s="171">
        <f t="shared" si="238"/>
        <v>1.9141999999999999</v>
      </c>
      <c r="DQ202" s="59">
        <v>0.1144</v>
      </c>
      <c r="DR202" s="59">
        <v>0.22370000000000001</v>
      </c>
      <c r="DS202" s="59">
        <v>1.9E-2</v>
      </c>
      <c r="DT202" s="59">
        <v>4.9299999999999997E-2</v>
      </c>
      <c r="DU202" s="59">
        <v>1.9099999999999999E-2</v>
      </c>
      <c r="DV202" s="59">
        <v>3.9300000000000002E-2</v>
      </c>
      <c r="DW202" s="59">
        <v>8.3999999999999995E-3</v>
      </c>
      <c r="DX202" s="169">
        <v>0</v>
      </c>
      <c r="DY202" s="59">
        <v>1.4379</v>
      </c>
      <c r="DZ202" s="171">
        <f t="shared" si="239"/>
        <v>1.9614715905139439</v>
      </c>
      <c r="EA202" s="59">
        <v>0.56830000000000003</v>
      </c>
      <c r="EB202" s="171">
        <f t="shared" si="240"/>
        <v>1.7895477740629946</v>
      </c>
      <c r="EC202" s="59">
        <v>0.2908</v>
      </c>
      <c r="ED202" s="171">
        <f t="shared" si="241"/>
        <v>1.8971801925722145</v>
      </c>
      <c r="EE202" s="59">
        <v>3.9E-2</v>
      </c>
      <c r="EF202" s="59">
        <v>5.4000000000000003E-3</v>
      </c>
      <c r="EG202" s="59">
        <v>0.23710000000000001</v>
      </c>
      <c r="EH202" s="59">
        <v>0</v>
      </c>
      <c r="EI202" s="208">
        <v>0.13350000000000001</v>
      </c>
      <c r="EJ202" s="172">
        <v>5.4722999999999988</v>
      </c>
      <c r="EK202" s="173"/>
      <c r="EL202" s="169">
        <v>0</v>
      </c>
      <c r="EM202" s="169">
        <v>0</v>
      </c>
      <c r="EN202" s="59"/>
      <c r="EO202" s="172"/>
      <c r="ES202" s="57">
        <f t="shared" ref="ES202:ES242" si="251">EJ202</f>
        <v>5.4722999999999988</v>
      </c>
      <c r="ET202" s="57">
        <f t="shared" ref="ET202:ET242" si="252">EO202</f>
        <v>0</v>
      </c>
      <c r="EU202" s="31"/>
      <c r="EV202" s="61">
        <f t="shared" si="242"/>
        <v>1.7827787219267954</v>
      </c>
      <c r="EW202" s="62"/>
      <c r="EX202" s="158">
        <f>ES202*1.305-BA202</f>
        <v>-2.6145485000000024</v>
      </c>
      <c r="EY202" s="77">
        <f t="shared" ref="EY202:EY204" si="253">ES202*1.344</f>
        <v>7.3547711999999992</v>
      </c>
      <c r="EZ202" s="158">
        <f t="shared" si="243"/>
        <v>9.7559000000000005</v>
      </c>
      <c r="FA202" s="158">
        <f t="shared" si="244"/>
        <v>9.7559000000000005</v>
      </c>
      <c r="FH202" s="174">
        <f t="shared" si="176"/>
        <v>16739.173220000001</v>
      </c>
      <c r="FJ202" s="87">
        <v>1.4362516674889905</v>
      </c>
      <c r="FK202" s="176">
        <f t="shared" ref="FK202:FK238" si="254">EV202/FJ202</f>
        <v>1.2412718204488777</v>
      </c>
      <c r="FM202" s="87" t="e">
        <f t="shared" ref="FM202:FM238" si="255">EW202/FL202</f>
        <v>#DIV/0!</v>
      </c>
      <c r="FO202" s="88">
        <f t="shared" si="245"/>
        <v>16739.173220000001</v>
      </c>
      <c r="FP202" s="79">
        <f t="shared" si="246"/>
        <v>0</v>
      </c>
      <c r="FS202" s="79">
        <f t="shared" si="247"/>
        <v>9389.3723399999981</v>
      </c>
      <c r="FT202" s="79">
        <f t="shared" si="248"/>
        <v>0</v>
      </c>
      <c r="FU202" s="79">
        <f t="shared" ref="FU202:FV238" si="256">FO202/FS202</f>
        <v>1.7827787219267954</v>
      </c>
      <c r="FV202" s="79" t="e">
        <f t="shared" si="256"/>
        <v>#DIV/0!</v>
      </c>
      <c r="FY202" s="79">
        <f t="shared" ref="FY202:FY242" si="257">(L202-T202)*BA202</f>
        <v>16739.173220000001</v>
      </c>
      <c r="FZ202" s="79">
        <f t="shared" ref="FZ202:FZ242" si="258">T202*BJ202</f>
        <v>0</v>
      </c>
      <c r="GB202" s="178">
        <f t="shared" ref="GB202:GB238" si="259">L202-T202</f>
        <v>1715.8</v>
      </c>
      <c r="GC202" s="178">
        <f t="shared" ref="GC202:GC238" si="260">T202</f>
        <v>0</v>
      </c>
      <c r="GG202" s="14">
        <v>7.6822000000000008</v>
      </c>
      <c r="GH202" s="175">
        <f t="shared" ref="GH202:GH238" si="261">BA202/GG202</f>
        <v>1.2699356955038921</v>
      </c>
      <c r="GI202" s="14">
        <v>7.6822000000000008</v>
      </c>
      <c r="GJ202" s="175">
        <f t="shared" ref="GJ202:GJ239" si="262">BJ202/GI202</f>
        <v>1.2699356955038921</v>
      </c>
      <c r="GK202" s="175">
        <f t="shared" ref="GK202:GK220" si="263">GH202-GJ202</f>
        <v>0</v>
      </c>
      <c r="GN202" s="14">
        <v>9.9546000000000028</v>
      </c>
      <c r="GO202" s="175">
        <f t="shared" ref="GO202:GO239" si="264">GN202/GG202</f>
        <v>1.2958006820962746</v>
      </c>
      <c r="GP202" s="179">
        <f t="shared" ref="GP202:GP239" si="265">BA202/GN202</f>
        <v>0.98003937877965941</v>
      </c>
      <c r="GQ202" s="14">
        <v>9.9546000000000028</v>
      </c>
      <c r="GR202" s="175">
        <f t="shared" ref="GR202:GR239" si="266">GQ202/GI202</f>
        <v>1.2958006820962746</v>
      </c>
      <c r="GS202" s="175">
        <f t="shared" ref="GS202:GS239" si="267">BJ202/GQ202</f>
        <v>0.98003937877965941</v>
      </c>
      <c r="GV202" s="32">
        <f t="shared" ref="GV202:GV239" si="268">BA202*(L202-T202)</f>
        <v>16739.173220000001</v>
      </c>
      <c r="GW202" s="32">
        <f t="shared" ref="GW202:GW239" si="269">BJ202*T202</f>
        <v>0</v>
      </c>
      <c r="GX202" s="180">
        <f t="shared" ref="GX202:GX243" si="270">GV202+GW202</f>
        <v>16739.173220000001</v>
      </c>
      <c r="GZ202" s="32">
        <f t="shared" ref="GZ202:GZ239" si="271">GV202/(L202-T202)</f>
        <v>9.7559000000000005</v>
      </c>
      <c r="HA202" s="32" t="e">
        <f t="shared" ref="HA202:HA239" si="272">GW202/T202</f>
        <v>#DIV/0!</v>
      </c>
      <c r="HB202" s="32">
        <f t="shared" ref="HB202:HB239" si="273">GX202/L202</f>
        <v>9.7559000000000005</v>
      </c>
    </row>
    <row r="203" spans="1:210" ht="19.2" customHeight="1" x14ac:dyDescent="0.3">
      <c r="A203" s="50">
        <v>195</v>
      </c>
      <c r="B203" s="51" t="s">
        <v>856</v>
      </c>
      <c r="C203" s="51" t="s">
        <v>852</v>
      </c>
      <c r="D203" s="52">
        <v>5</v>
      </c>
      <c r="E203" s="52">
        <v>2</v>
      </c>
      <c r="F203" s="63">
        <v>40</v>
      </c>
      <c r="G203" s="54" t="s">
        <v>144</v>
      </c>
      <c r="H203" s="181" t="s">
        <v>49</v>
      </c>
      <c r="I203" s="55">
        <f t="shared" si="249"/>
        <v>1715.3</v>
      </c>
      <c r="J203" s="55">
        <f t="shared" si="229"/>
        <v>0</v>
      </c>
      <c r="K203" s="55">
        <f t="shared" si="230"/>
        <v>0</v>
      </c>
      <c r="L203" s="56">
        <v>1715.3</v>
      </c>
      <c r="M203" s="56">
        <v>1715.3</v>
      </c>
      <c r="N203" s="56">
        <f t="shared" si="250"/>
        <v>1715.3</v>
      </c>
      <c r="O203" s="56">
        <v>0</v>
      </c>
      <c r="P203" s="56">
        <v>0</v>
      </c>
      <c r="Q203" s="55"/>
      <c r="R203" s="55">
        <v>1715.3</v>
      </c>
      <c r="S203" s="55"/>
      <c r="T203" s="55">
        <v>0</v>
      </c>
      <c r="U203" s="152">
        <v>1715.3</v>
      </c>
      <c r="V203" s="57">
        <v>0.1767</v>
      </c>
      <c r="W203" s="153">
        <v>0.1004</v>
      </c>
      <c r="X203" s="57">
        <v>0.30530000000000002</v>
      </c>
      <c r="Y203" s="57">
        <v>7.2999999999999995E-2</v>
      </c>
      <c r="Z203" s="153">
        <v>2.3300000000000001E-2</v>
      </c>
      <c r="AA203" s="57">
        <v>0.33960000000000001</v>
      </c>
      <c r="AB203" s="153">
        <v>0</v>
      </c>
      <c r="AC203" s="57">
        <v>0.63149999999999995</v>
      </c>
      <c r="AD203" s="57">
        <v>0.18440000000000001</v>
      </c>
      <c r="AE203" s="57">
        <v>0</v>
      </c>
      <c r="AF203" s="57">
        <v>2.0032000000000001</v>
      </c>
      <c r="AG203" s="57">
        <v>0.23719999999999999</v>
      </c>
      <c r="AH203" s="57">
        <v>0.35599999999999998</v>
      </c>
      <c r="AI203" s="153">
        <v>7.4899999999999994E-2</v>
      </c>
      <c r="AJ203" s="153">
        <v>0.1046</v>
      </c>
      <c r="AK203" s="153">
        <v>4.53E-2</v>
      </c>
      <c r="AL203" s="57">
        <v>0.1137</v>
      </c>
      <c r="AM203" s="153">
        <v>3.1899999999999998E-2</v>
      </c>
      <c r="AN203" s="57">
        <v>0</v>
      </c>
      <c r="AO203" s="153">
        <v>2.3643000000000001</v>
      </c>
      <c r="AP203" s="57">
        <v>0.93010000000000004</v>
      </c>
      <c r="AQ203" s="57">
        <v>8.7099999999999997E-2</v>
      </c>
      <c r="AR203" s="153">
        <v>0.76180000000000003</v>
      </c>
      <c r="AS203" s="57">
        <v>5.0999999999999997E-2</v>
      </c>
      <c r="AT203" s="57">
        <v>8.3000000000000001E-3</v>
      </c>
      <c r="AU203" s="153">
        <v>0.66379999999999995</v>
      </c>
      <c r="AV203" s="153">
        <v>0</v>
      </c>
      <c r="AW203" s="154">
        <v>9.6673999999999989</v>
      </c>
      <c r="AX203" s="58">
        <v>0.4834</v>
      </c>
      <c r="AY203" s="155">
        <f t="shared" si="231"/>
        <v>0.47899999999999998</v>
      </c>
      <c r="AZ203" s="155">
        <f t="shared" si="232"/>
        <v>4.400000000000015E-3</v>
      </c>
      <c r="BA203" s="14">
        <v>10.150799999999998</v>
      </c>
      <c r="BB203" s="59">
        <f>BA203-'[1]Тариф 26 свод без  ПДВ'!AU203</f>
        <v>3.0999999999981043E-3</v>
      </c>
      <c r="BC203" s="57">
        <v>0</v>
      </c>
      <c r="BD203" s="57">
        <v>0</v>
      </c>
      <c r="BE203" s="57">
        <v>0</v>
      </c>
      <c r="BF203" s="156">
        <v>9.6673999999999989</v>
      </c>
      <c r="BG203" s="59">
        <v>0.4834</v>
      </c>
      <c r="BH203" s="59"/>
      <c r="BI203" s="59"/>
      <c r="BJ203" s="14">
        <v>10.150799999999998</v>
      </c>
      <c r="BK203" s="60"/>
      <c r="BL203" s="60">
        <v>4.9473999999999974</v>
      </c>
      <c r="BM203" s="60">
        <v>0.24740000000000001</v>
      </c>
      <c r="BN203" s="14">
        <v>5.1947999999999972</v>
      </c>
      <c r="BO203" s="14"/>
      <c r="BP203" s="157"/>
      <c r="BQ203" s="158">
        <f>BJ203-'[1]Тариф 26 свод без  ПДВ'!BG203</f>
        <v>3.0999999999981043E-3</v>
      </c>
      <c r="BR203" s="77">
        <f>'[1]Тариф 26 свод без  ПДВ'!BG203</f>
        <v>10.1477</v>
      </c>
      <c r="BS203" s="159">
        <f t="shared" si="233"/>
        <v>3.0999999999981043E-3</v>
      </c>
      <c r="BU203" s="77">
        <f>'[1]Тариф 26 свод без  ПДВ'!AU203</f>
        <v>10.1477</v>
      </c>
      <c r="BV203" s="159">
        <f t="shared" si="234"/>
        <v>3.0999999999981043E-3</v>
      </c>
      <c r="BX203" s="95">
        <v>4.8974000000000002</v>
      </c>
      <c r="BY203" s="95">
        <v>4.8974000000000002</v>
      </c>
      <c r="BZ203" s="95"/>
      <c r="CA203" s="200">
        <f t="shared" si="235"/>
        <v>2.0726916322946867</v>
      </c>
      <c r="CB203" s="200">
        <f t="shared" si="236"/>
        <v>2.0726916322946867</v>
      </c>
      <c r="CI203" s="160">
        <f>'[1]0 СВОД'!AYY218</f>
        <v>17411.807091995139</v>
      </c>
      <c r="CJ203" s="77">
        <f t="shared" si="237"/>
        <v>208941.68510394165</v>
      </c>
      <c r="CM203" s="161">
        <v>200</v>
      </c>
      <c r="CN203" s="162" t="s">
        <v>857</v>
      </c>
      <c r="CO203" s="163">
        <v>5</v>
      </c>
      <c r="CP203" s="163">
        <v>2</v>
      </c>
      <c r="CQ203" s="164" t="s">
        <v>144</v>
      </c>
      <c r="CR203" s="165" t="s">
        <v>49</v>
      </c>
      <c r="CS203" s="166">
        <v>1711.8</v>
      </c>
      <c r="CT203" s="166">
        <v>0</v>
      </c>
      <c r="CU203" s="167">
        <v>0</v>
      </c>
      <c r="CV203" s="168">
        <v>1711.8</v>
      </c>
      <c r="CW203" s="166">
        <v>1711.8</v>
      </c>
      <c r="CX203" s="167">
        <v>0</v>
      </c>
      <c r="CY203" s="166">
        <v>0</v>
      </c>
      <c r="CZ203" s="166"/>
      <c r="DA203" s="166">
        <v>1711.8</v>
      </c>
      <c r="DB203" s="166"/>
      <c r="DC203" s="166">
        <v>0</v>
      </c>
      <c r="DD203" s="59">
        <v>0.1744</v>
      </c>
      <c r="DE203" s="59">
        <v>0.16339999999999999</v>
      </c>
      <c r="DF203" s="59">
        <v>0.2009</v>
      </c>
      <c r="DG203" s="59">
        <v>4.2999999999999997E-2</v>
      </c>
      <c r="DH203" s="59">
        <v>8.8000000000000005E-3</v>
      </c>
      <c r="DI203" s="59">
        <v>0.1447</v>
      </c>
      <c r="DJ203" s="59">
        <v>4.8099999999999997E-2</v>
      </c>
      <c r="DK203" s="59">
        <v>0.3458</v>
      </c>
      <c r="DL203" s="169">
        <v>0</v>
      </c>
      <c r="DM203" s="59">
        <v>0.1124</v>
      </c>
      <c r="DN203" s="169">
        <v>0</v>
      </c>
      <c r="DO203" s="170">
        <v>1.2573000000000001</v>
      </c>
      <c r="DP203" s="171">
        <f t="shared" si="238"/>
        <v>2.0032000000000001</v>
      </c>
      <c r="DQ203" s="59">
        <v>0.1145</v>
      </c>
      <c r="DR203" s="59">
        <v>0.21340000000000001</v>
      </c>
      <c r="DS203" s="59">
        <v>1.9300000000000001E-2</v>
      </c>
      <c r="DT203" s="59">
        <v>4.9399999999999999E-2</v>
      </c>
      <c r="DU203" s="59">
        <v>1.9199999999999998E-2</v>
      </c>
      <c r="DV203" s="59">
        <v>3.9399999999999998E-2</v>
      </c>
      <c r="DW203" s="59">
        <v>8.3999999999999995E-3</v>
      </c>
      <c r="DX203" s="169">
        <v>0</v>
      </c>
      <c r="DY203" s="59">
        <v>1.2255</v>
      </c>
      <c r="DZ203" s="171">
        <f t="shared" si="239"/>
        <v>1.9292533659730722</v>
      </c>
      <c r="EA203" s="59">
        <v>0.56879999999999997</v>
      </c>
      <c r="EB203" s="171">
        <f t="shared" si="240"/>
        <v>1.7883263009845292</v>
      </c>
      <c r="EC203" s="59">
        <v>0.40029999999999999</v>
      </c>
      <c r="ED203" s="171">
        <f t="shared" si="241"/>
        <v>1.9030726954783914</v>
      </c>
      <c r="EE203" s="59">
        <v>3.9100000000000003E-2</v>
      </c>
      <c r="EF203" s="59">
        <v>5.4000000000000003E-3</v>
      </c>
      <c r="EG203" s="59">
        <v>0.33510000000000001</v>
      </c>
      <c r="EH203" s="59">
        <v>0</v>
      </c>
      <c r="EI203" s="208">
        <v>0.1384</v>
      </c>
      <c r="EJ203" s="172">
        <v>5.6749999999999998</v>
      </c>
      <c r="EK203" s="173"/>
      <c r="EL203" s="169">
        <v>0</v>
      </c>
      <c r="EM203" s="169">
        <v>0</v>
      </c>
      <c r="EN203" s="59"/>
      <c r="EO203" s="172"/>
      <c r="ES203" s="57">
        <f t="shared" si="251"/>
        <v>5.6749999999999998</v>
      </c>
      <c r="ET203" s="57">
        <f t="shared" si="252"/>
        <v>0</v>
      </c>
      <c r="EU203" s="31"/>
      <c r="EV203" s="61">
        <f t="shared" si="242"/>
        <v>1.7886872246696033</v>
      </c>
      <c r="EW203" s="62"/>
      <c r="EX203" s="158">
        <f>ES203*1.305-BA203</f>
        <v>-2.7449249999999994</v>
      </c>
      <c r="EY203" s="77">
        <f t="shared" si="253"/>
        <v>7.6272000000000002</v>
      </c>
      <c r="EZ203" s="158">
        <f t="shared" si="243"/>
        <v>10.150799999999998</v>
      </c>
      <c r="FA203" s="158">
        <f t="shared" si="244"/>
        <v>10.150799999999998</v>
      </c>
      <c r="FH203" s="174">
        <f t="shared" ref="FH203:FH243" si="274">L203*BA203</f>
        <v>17411.667239999995</v>
      </c>
      <c r="FJ203" s="87">
        <v>1.3911541850220266</v>
      </c>
      <c r="FK203" s="176">
        <f t="shared" si="254"/>
        <v>1.2857577139382881</v>
      </c>
      <c r="FM203" s="87" t="e">
        <f t="shared" si="255"/>
        <v>#DIV/0!</v>
      </c>
      <c r="FO203" s="88">
        <f t="shared" si="245"/>
        <v>17411.667239999995</v>
      </c>
      <c r="FP203" s="79">
        <f t="shared" si="246"/>
        <v>0</v>
      </c>
      <c r="FS203" s="79">
        <f t="shared" si="247"/>
        <v>9734.3274999999994</v>
      </c>
      <c r="FT203" s="79">
        <f t="shared" si="248"/>
        <v>0</v>
      </c>
      <c r="FU203" s="79">
        <f t="shared" si="256"/>
        <v>1.7886872246696031</v>
      </c>
      <c r="FV203" s="79" t="e">
        <f t="shared" si="256"/>
        <v>#DIV/0!</v>
      </c>
      <c r="FY203" s="79">
        <f t="shared" si="257"/>
        <v>17411.667239999995</v>
      </c>
      <c r="FZ203" s="79">
        <f t="shared" si="258"/>
        <v>0</v>
      </c>
      <c r="GB203" s="178">
        <f t="shared" si="259"/>
        <v>1715.3</v>
      </c>
      <c r="GC203" s="178">
        <f t="shared" si="260"/>
        <v>0</v>
      </c>
      <c r="GG203" s="14">
        <v>7.9932000000000007</v>
      </c>
      <c r="GH203" s="175">
        <f t="shared" si="261"/>
        <v>1.2699294400240202</v>
      </c>
      <c r="GI203" s="14">
        <v>7.9932000000000007</v>
      </c>
      <c r="GJ203" s="175">
        <f t="shared" si="262"/>
        <v>1.2699294400240202</v>
      </c>
      <c r="GK203" s="175">
        <f t="shared" si="263"/>
        <v>0</v>
      </c>
      <c r="GN203" s="14">
        <v>10.029500000000001</v>
      </c>
      <c r="GO203" s="175">
        <f t="shared" si="264"/>
        <v>1.2547540409347946</v>
      </c>
      <c r="GP203" s="179">
        <f t="shared" si="265"/>
        <v>1.0120943217508349</v>
      </c>
      <c r="GQ203" s="14">
        <v>10.029500000000001</v>
      </c>
      <c r="GR203" s="175">
        <f t="shared" si="266"/>
        <v>1.2547540409347946</v>
      </c>
      <c r="GS203" s="175">
        <f t="shared" si="267"/>
        <v>1.0120943217508349</v>
      </c>
      <c r="GV203" s="32">
        <f t="shared" si="268"/>
        <v>17411.667239999995</v>
      </c>
      <c r="GW203" s="32">
        <f t="shared" si="269"/>
        <v>0</v>
      </c>
      <c r="GX203" s="180">
        <f t="shared" si="270"/>
        <v>17411.667239999995</v>
      </c>
      <c r="GZ203" s="32">
        <f t="shared" si="271"/>
        <v>10.150799999999997</v>
      </c>
      <c r="HA203" s="32" t="e">
        <f t="shared" si="272"/>
        <v>#DIV/0!</v>
      </c>
      <c r="HB203" s="32">
        <f t="shared" si="273"/>
        <v>10.150799999999997</v>
      </c>
    </row>
    <row r="204" spans="1:210" ht="19.2" customHeight="1" x14ac:dyDescent="0.3">
      <c r="A204" s="50">
        <v>196</v>
      </c>
      <c r="B204" s="51" t="s">
        <v>858</v>
      </c>
      <c r="C204" s="51" t="s">
        <v>852</v>
      </c>
      <c r="D204" s="52">
        <v>5</v>
      </c>
      <c r="E204" s="52">
        <v>2</v>
      </c>
      <c r="F204" s="63">
        <v>40</v>
      </c>
      <c r="G204" s="54" t="s">
        <v>145</v>
      </c>
      <c r="H204" s="181" t="s">
        <v>49</v>
      </c>
      <c r="I204" s="55">
        <f t="shared" si="249"/>
        <v>1701.1</v>
      </c>
      <c r="J204" s="55">
        <f t="shared" si="229"/>
        <v>0</v>
      </c>
      <c r="K204" s="55">
        <f t="shared" si="230"/>
        <v>0</v>
      </c>
      <c r="L204" s="56">
        <v>1701.1</v>
      </c>
      <c r="M204" s="56">
        <v>1701.1</v>
      </c>
      <c r="N204" s="56">
        <f t="shared" si="250"/>
        <v>1701.1</v>
      </c>
      <c r="O204" s="56">
        <v>0</v>
      </c>
      <c r="P204" s="56">
        <v>0</v>
      </c>
      <c r="Q204" s="55"/>
      <c r="R204" s="55">
        <v>1701.1</v>
      </c>
      <c r="S204" s="55"/>
      <c r="T204" s="55">
        <v>0</v>
      </c>
      <c r="U204" s="152">
        <v>1701.1</v>
      </c>
      <c r="V204" s="57">
        <v>0.1782</v>
      </c>
      <c r="W204" s="153">
        <v>0.1012</v>
      </c>
      <c r="X204" s="57">
        <v>0.30559999999999998</v>
      </c>
      <c r="Y204" s="57">
        <v>7.2400000000000006E-2</v>
      </c>
      <c r="Z204" s="153">
        <v>2.35E-2</v>
      </c>
      <c r="AA204" s="57">
        <v>0.34239999999999998</v>
      </c>
      <c r="AB204" s="153">
        <v>0</v>
      </c>
      <c r="AC204" s="57">
        <v>0.63149999999999995</v>
      </c>
      <c r="AD204" s="57">
        <v>0.18590000000000001</v>
      </c>
      <c r="AE204" s="57">
        <v>0</v>
      </c>
      <c r="AF204" s="57">
        <v>1.9795</v>
      </c>
      <c r="AG204" s="57">
        <v>0.2392</v>
      </c>
      <c r="AH204" s="57">
        <v>0.35899999999999999</v>
      </c>
      <c r="AI204" s="153">
        <v>7.51E-2</v>
      </c>
      <c r="AJ204" s="153">
        <v>0.1053</v>
      </c>
      <c r="AK204" s="153">
        <v>4.5699999999999998E-2</v>
      </c>
      <c r="AL204" s="57">
        <v>0.11459999999999999</v>
      </c>
      <c r="AM204" s="153">
        <v>3.2099999999999997E-2</v>
      </c>
      <c r="AN204" s="57">
        <v>0</v>
      </c>
      <c r="AO204" s="153">
        <v>2.7761999999999998</v>
      </c>
      <c r="AP204" s="57">
        <v>0.93789999999999996</v>
      </c>
      <c r="AQ204" s="57">
        <v>8.7800000000000003E-2</v>
      </c>
      <c r="AR204" s="153">
        <v>0.55269999999999997</v>
      </c>
      <c r="AS204" s="57">
        <v>5.1400000000000001E-2</v>
      </c>
      <c r="AT204" s="57">
        <v>8.3000000000000001E-3</v>
      </c>
      <c r="AU204" s="153">
        <v>0.46860000000000002</v>
      </c>
      <c r="AV204" s="153">
        <v>0</v>
      </c>
      <c r="AW204" s="154">
        <v>9.6740999999999975</v>
      </c>
      <c r="AX204" s="58">
        <v>0.48370000000000002</v>
      </c>
      <c r="AY204" s="155">
        <f t="shared" si="231"/>
        <v>0.4793</v>
      </c>
      <c r="AZ204" s="155">
        <f t="shared" si="232"/>
        <v>4.400000000000015E-3</v>
      </c>
      <c r="BA204" s="14">
        <v>10.157799999999998</v>
      </c>
      <c r="BB204" s="59">
        <f>BA204-'[1]Тариф 26 свод без  ПДВ'!AU204</f>
        <v>3.3999999999974051E-3</v>
      </c>
      <c r="BC204" s="57">
        <v>0</v>
      </c>
      <c r="BD204" s="57">
        <v>0</v>
      </c>
      <c r="BE204" s="57">
        <v>0</v>
      </c>
      <c r="BF204" s="156">
        <v>9.6740999999999975</v>
      </c>
      <c r="BG204" s="59">
        <v>0.48370000000000002</v>
      </c>
      <c r="BH204" s="59"/>
      <c r="BI204" s="59"/>
      <c r="BJ204" s="14">
        <v>10.157799999999998</v>
      </c>
      <c r="BK204" s="60"/>
      <c r="BL204" s="60">
        <v>4.9386999999999972</v>
      </c>
      <c r="BM204" s="60">
        <v>0.24690000000000001</v>
      </c>
      <c r="BN204" s="14">
        <v>5.1855999999999973</v>
      </c>
      <c r="BO204" s="14"/>
      <c r="BP204" s="157"/>
      <c r="BQ204" s="158">
        <f>BJ204-'[1]Тариф 26 свод без  ПДВ'!BG204</f>
        <v>3.3999999999974051E-3</v>
      </c>
      <c r="BR204" s="77">
        <f>'[1]Тариф 26 свод без  ПДВ'!BG204</f>
        <v>10.154400000000001</v>
      </c>
      <c r="BS204" s="159">
        <f t="shared" si="233"/>
        <v>3.3999999999974051E-3</v>
      </c>
      <c r="BU204" s="77">
        <f>'[1]Тариф 26 свод без  ПДВ'!AU204</f>
        <v>10.154400000000001</v>
      </c>
      <c r="BV204" s="159">
        <f t="shared" si="234"/>
        <v>3.3999999999974051E-3</v>
      </c>
      <c r="BX204" s="95">
        <v>4.595699999999999</v>
      </c>
      <c r="BY204" s="95">
        <v>4.595699999999999</v>
      </c>
      <c r="BZ204" s="95"/>
      <c r="CA204" s="200">
        <f t="shared" si="235"/>
        <v>2.21028352590465</v>
      </c>
      <c r="CB204" s="200">
        <f t="shared" si="236"/>
        <v>2.21028352590465</v>
      </c>
      <c r="CI204" s="160">
        <f>'[1]0 СВОД'!AYY219</f>
        <v>17279.757750638266</v>
      </c>
      <c r="CJ204" s="77">
        <f t="shared" si="237"/>
        <v>207357.09300765919</v>
      </c>
      <c r="CM204" s="161">
        <v>201</v>
      </c>
      <c r="CN204" s="162" t="s">
        <v>859</v>
      </c>
      <c r="CO204" s="163">
        <v>5</v>
      </c>
      <c r="CP204" s="163">
        <v>2</v>
      </c>
      <c r="CQ204" s="164" t="s">
        <v>145</v>
      </c>
      <c r="CR204" s="165" t="s">
        <v>49</v>
      </c>
      <c r="CS204" s="166">
        <v>1701.3</v>
      </c>
      <c r="CT204" s="166">
        <v>0</v>
      </c>
      <c r="CU204" s="167">
        <v>0</v>
      </c>
      <c r="CV204" s="168">
        <v>1701.3</v>
      </c>
      <c r="CW204" s="166">
        <v>1701.3</v>
      </c>
      <c r="CX204" s="167">
        <v>0</v>
      </c>
      <c r="CY204" s="166">
        <v>0</v>
      </c>
      <c r="CZ204" s="166"/>
      <c r="DA204" s="166">
        <v>1701.3</v>
      </c>
      <c r="DB204" s="166"/>
      <c r="DC204" s="166">
        <v>0</v>
      </c>
      <c r="DD204" s="59">
        <v>0.17549999999999999</v>
      </c>
      <c r="DE204" s="59">
        <v>0.16439999999999999</v>
      </c>
      <c r="DF204" s="59">
        <v>0.20069999999999999</v>
      </c>
      <c r="DG204" s="59">
        <v>4.2599999999999999E-2</v>
      </c>
      <c r="DH204" s="59">
        <v>8.8000000000000005E-3</v>
      </c>
      <c r="DI204" s="59">
        <v>0.14549999999999999</v>
      </c>
      <c r="DJ204" s="59">
        <v>4.8099999999999997E-2</v>
      </c>
      <c r="DK204" s="59">
        <v>0.3458</v>
      </c>
      <c r="DL204" s="169">
        <v>0</v>
      </c>
      <c r="DM204" s="59">
        <v>0.11310000000000001</v>
      </c>
      <c r="DN204" s="169">
        <v>0</v>
      </c>
      <c r="DO204" s="170">
        <v>1.2605</v>
      </c>
      <c r="DP204" s="171">
        <f t="shared" si="238"/>
        <v>1.9795</v>
      </c>
      <c r="DQ204" s="59">
        <v>0.1152</v>
      </c>
      <c r="DR204" s="59">
        <v>0.21479999999999999</v>
      </c>
      <c r="DS204" s="59">
        <v>1.9300000000000001E-2</v>
      </c>
      <c r="DT204" s="59">
        <v>4.9599999999999998E-2</v>
      </c>
      <c r="DU204" s="59">
        <v>1.9300000000000001E-2</v>
      </c>
      <c r="DV204" s="59">
        <v>3.9600000000000003E-2</v>
      </c>
      <c r="DW204" s="59">
        <v>8.5000000000000006E-3</v>
      </c>
      <c r="DX204" s="169">
        <v>0</v>
      </c>
      <c r="DY204" s="170">
        <v>1.3747</v>
      </c>
      <c r="DZ204" s="171">
        <f t="shared" si="239"/>
        <v>2.0194951625809265</v>
      </c>
      <c r="EA204" s="59">
        <v>0.57230000000000003</v>
      </c>
      <c r="EB204" s="171">
        <f t="shared" si="240"/>
        <v>1.7922418312074087</v>
      </c>
      <c r="EC204" s="59">
        <v>0.28820000000000001</v>
      </c>
      <c r="ED204" s="171">
        <f t="shared" si="241"/>
        <v>1.9177654406662039</v>
      </c>
      <c r="EE204" s="59">
        <v>3.9300000000000002E-2</v>
      </c>
      <c r="EF204" s="59">
        <v>5.4999999999999997E-3</v>
      </c>
      <c r="EG204" s="59">
        <v>0.30549999999999999</v>
      </c>
      <c r="EH204" s="59">
        <v>0</v>
      </c>
      <c r="EI204" s="208">
        <v>0.1389</v>
      </c>
      <c r="EJ204" s="172">
        <v>5.6956999999999995</v>
      </c>
      <c r="EK204" s="173"/>
      <c r="EL204" s="169">
        <v>0</v>
      </c>
      <c r="EM204" s="169">
        <v>0</v>
      </c>
      <c r="EN204" s="59"/>
      <c r="EO204" s="172"/>
      <c r="ES204" s="57">
        <f t="shared" si="251"/>
        <v>5.6956999999999995</v>
      </c>
      <c r="ET204" s="57">
        <f t="shared" si="252"/>
        <v>0</v>
      </c>
      <c r="EU204" s="31"/>
      <c r="EV204" s="61">
        <f t="shared" si="242"/>
        <v>1.7834155591059921</v>
      </c>
      <c r="EW204" s="62"/>
      <c r="EX204" s="158">
        <f>ES204*1.305-BA204</f>
        <v>-2.7249114999999993</v>
      </c>
      <c r="EY204" s="77">
        <f t="shared" si="253"/>
        <v>7.6550208</v>
      </c>
      <c r="EZ204" s="158">
        <f t="shared" si="243"/>
        <v>10.157799999999998</v>
      </c>
      <c r="FA204" s="158">
        <f t="shared" si="244"/>
        <v>10.157799999999998</v>
      </c>
      <c r="FH204" s="174">
        <f t="shared" si="274"/>
        <v>17279.433579999997</v>
      </c>
      <c r="FJ204" s="87">
        <v>1.3980195586143933</v>
      </c>
      <c r="FK204" s="176">
        <f t="shared" si="254"/>
        <v>1.2756728245444384</v>
      </c>
      <c r="FM204" s="87" t="e">
        <f t="shared" si="255"/>
        <v>#DIV/0!</v>
      </c>
      <c r="FO204" s="88">
        <f t="shared" si="245"/>
        <v>17279.433579999997</v>
      </c>
      <c r="FP204" s="79">
        <f t="shared" si="246"/>
        <v>0</v>
      </c>
      <c r="FS204" s="79">
        <f t="shared" si="247"/>
        <v>9688.9552699999986</v>
      </c>
      <c r="FT204" s="79">
        <f t="shared" si="248"/>
        <v>0</v>
      </c>
      <c r="FU204" s="79">
        <f t="shared" si="256"/>
        <v>1.7834155591059921</v>
      </c>
      <c r="FV204" s="79" t="e">
        <f t="shared" si="256"/>
        <v>#DIV/0!</v>
      </c>
      <c r="FY204" s="79">
        <f t="shared" si="257"/>
        <v>17279.433579999997</v>
      </c>
      <c r="FZ204" s="79">
        <f t="shared" si="258"/>
        <v>0</v>
      </c>
      <c r="GB204" s="178">
        <f t="shared" si="259"/>
        <v>1701.1</v>
      </c>
      <c r="GC204" s="178">
        <f t="shared" si="260"/>
        <v>0</v>
      </c>
      <c r="GG204" s="14">
        <v>7.9986000000000015</v>
      </c>
      <c r="GH204" s="175">
        <f t="shared" si="261"/>
        <v>1.2699472407671337</v>
      </c>
      <c r="GI204" s="14">
        <v>7.9986000000000015</v>
      </c>
      <c r="GJ204" s="175">
        <f t="shared" si="262"/>
        <v>1.2699472407671337</v>
      </c>
      <c r="GK204" s="175">
        <f t="shared" si="263"/>
        <v>0</v>
      </c>
      <c r="GN204" s="14">
        <v>10.153199999999998</v>
      </c>
      <c r="GO204" s="175">
        <f t="shared" si="264"/>
        <v>1.2693721401245213</v>
      </c>
      <c r="GP204" s="179">
        <f t="shared" si="265"/>
        <v>1.0004530591340661</v>
      </c>
      <c r="GQ204" s="14">
        <v>10.153199999999998</v>
      </c>
      <c r="GR204" s="175">
        <f t="shared" si="266"/>
        <v>1.2693721401245213</v>
      </c>
      <c r="GS204" s="175">
        <f t="shared" si="267"/>
        <v>1.0004530591340661</v>
      </c>
      <c r="GV204" s="32">
        <f t="shared" si="268"/>
        <v>17279.433579999997</v>
      </c>
      <c r="GW204" s="32">
        <f t="shared" si="269"/>
        <v>0</v>
      </c>
      <c r="GX204" s="180">
        <f t="shared" si="270"/>
        <v>17279.433579999997</v>
      </c>
      <c r="GZ204" s="32">
        <f t="shared" si="271"/>
        <v>10.157799999999998</v>
      </c>
      <c r="HA204" s="32" t="e">
        <f t="shared" si="272"/>
        <v>#DIV/0!</v>
      </c>
      <c r="HB204" s="32">
        <f t="shared" si="273"/>
        <v>10.157799999999998</v>
      </c>
    </row>
    <row r="205" spans="1:210" ht="19.2" customHeight="1" x14ac:dyDescent="0.3">
      <c r="A205" s="50">
        <v>197</v>
      </c>
      <c r="B205" s="51" t="s">
        <v>860</v>
      </c>
      <c r="C205" s="51" t="s">
        <v>852</v>
      </c>
      <c r="D205" s="52">
        <v>9</v>
      </c>
      <c r="E205" s="52">
        <v>3</v>
      </c>
      <c r="F205" s="63">
        <v>96</v>
      </c>
      <c r="G205" s="54" t="s">
        <v>230</v>
      </c>
      <c r="H205" s="181" t="s">
        <v>179</v>
      </c>
      <c r="I205" s="55">
        <f t="shared" si="249"/>
        <v>9.0949470177292824E-13</v>
      </c>
      <c r="J205" s="55">
        <f t="shared" si="229"/>
        <v>5377.7</v>
      </c>
      <c r="K205" s="55">
        <f t="shared" si="230"/>
        <v>42.5</v>
      </c>
      <c r="L205" s="56">
        <v>5420.2000000000007</v>
      </c>
      <c r="M205" s="56">
        <v>5377.7000000000007</v>
      </c>
      <c r="N205" s="56">
        <f t="shared" si="250"/>
        <v>0</v>
      </c>
      <c r="O205" s="56">
        <v>42.5</v>
      </c>
      <c r="P205" s="56">
        <v>0</v>
      </c>
      <c r="Q205" s="55"/>
      <c r="R205" s="55">
        <v>5420.2000000000007</v>
      </c>
      <c r="S205" s="55"/>
      <c r="T205" s="55">
        <v>5377.7</v>
      </c>
      <c r="U205" s="152">
        <v>42.500000000000909</v>
      </c>
      <c r="V205" s="57">
        <v>0.1396</v>
      </c>
      <c r="W205" s="57">
        <v>7.9399999999999998E-2</v>
      </c>
      <c r="X205" s="153">
        <v>0.28420000000000001</v>
      </c>
      <c r="Y205" s="153">
        <v>7.8899999999999998E-2</v>
      </c>
      <c r="Z205" s="57">
        <v>1.84E-2</v>
      </c>
      <c r="AA205" s="57">
        <v>0.28129999999999999</v>
      </c>
      <c r="AB205" s="57">
        <v>0</v>
      </c>
      <c r="AC205" s="153">
        <v>0.63149999999999995</v>
      </c>
      <c r="AD205" s="57">
        <v>0.1401</v>
      </c>
      <c r="AE205" s="57">
        <v>0</v>
      </c>
      <c r="AF205" s="57">
        <v>1.9395</v>
      </c>
      <c r="AG205" s="57">
        <v>0.1842</v>
      </c>
      <c r="AH205" s="57">
        <v>0.28570000000000001</v>
      </c>
      <c r="AI205" s="57">
        <v>0.1077</v>
      </c>
      <c r="AJ205" s="57">
        <v>0.1477</v>
      </c>
      <c r="AK205" s="57">
        <v>3.5799999999999998E-2</v>
      </c>
      <c r="AL205" s="57">
        <v>0.1103</v>
      </c>
      <c r="AM205" s="57">
        <v>2.6599999999999999E-2</v>
      </c>
      <c r="AN205" s="57">
        <v>0</v>
      </c>
      <c r="AO205" s="57">
        <v>1.2344999999999999</v>
      </c>
      <c r="AP205" s="153">
        <v>1.6821999999999999</v>
      </c>
      <c r="AQ205" s="153">
        <v>8.1900000000000001E-2</v>
      </c>
      <c r="AR205" s="57">
        <v>0.35549999999999998</v>
      </c>
      <c r="AS205" s="57">
        <v>3.15E-2</v>
      </c>
      <c r="AT205" s="153">
        <v>5.1000000000000004E-3</v>
      </c>
      <c r="AU205" s="153">
        <v>0.5524</v>
      </c>
      <c r="AV205" s="153">
        <v>0</v>
      </c>
      <c r="AW205" s="154">
        <v>8.4340000000000011</v>
      </c>
      <c r="AX205" s="58">
        <v>0.42170000000000002</v>
      </c>
      <c r="AY205" s="155">
        <f t="shared" si="231"/>
        <v>0.41760000000000003</v>
      </c>
      <c r="AZ205" s="155">
        <f t="shared" si="232"/>
        <v>4.0999999999999925E-3</v>
      </c>
      <c r="BA205" s="14">
        <v>8.8557000000000006</v>
      </c>
      <c r="BB205" s="59">
        <f>BA205-'[1]Тариф 26 свод без  ПДВ'!AU205</f>
        <v>1.4000000000002899E-3</v>
      </c>
      <c r="BC205" s="57">
        <v>1.9117999999999999</v>
      </c>
      <c r="BD205" s="57">
        <v>0</v>
      </c>
      <c r="BE205" s="57">
        <v>0.63519999999999999</v>
      </c>
      <c r="BF205" s="156">
        <v>10.981</v>
      </c>
      <c r="BG205" s="59">
        <v>0.54910000000000003</v>
      </c>
      <c r="BH205" s="59"/>
      <c r="BI205" s="59"/>
      <c r="BJ205" s="14">
        <v>11.530099999999999</v>
      </c>
      <c r="BK205" s="60"/>
      <c r="BL205" s="60">
        <v>4.6094000000000008</v>
      </c>
      <c r="BM205" s="60">
        <v>0.23050000000000001</v>
      </c>
      <c r="BN205" s="14">
        <v>4.839900000000001</v>
      </c>
      <c r="BO205" s="14"/>
      <c r="BP205" s="157"/>
      <c r="BQ205" s="158">
        <f>BJ205-'[1]Тариф 26 свод без  ПДВ'!BG205</f>
        <v>-3.3000000000011909E-3</v>
      </c>
      <c r="BR205" s="77">
        <f>'[1]Тариф 26 свод без  ПДВ'!BG205</f>
        <v>11.5334</v>
      </c>
      <c r="BS205" s="159">
        <f t="shared" si="233"/>
        <v>-3.3000000000011909E-3</v>
      </c>
      <c r="BU205" s="77">
        <f>'[1]Тариф 26 свод без  ПДВ'!AU205</f>
        <v>8.8543000000000003</v>
      </c>
      <c r="BV205" s="159">
        <f t="shared" si="234"/>
        <v>1.4000000000002899E-3</v>
      </c>
      <c r="BX205" s="59">
        <v>1.0289999999999999</v>
      </c>
      <c r="BY205" s="95">
        <v>1.0289999999999999</v>
      </c>
      <c r="BZ205" s="95"/>
      <c r="CA205" s="204">
        <f t="shared" si="235"/>
        <v>8.6061224489795922</v>
      </c>
      <c r="CB205" s="204">
        <f t="shared" si="236"/>
        <v>11.205150631681244</v>
      </c>
      <c r="CI205" s="160">
        <f>'[1]0 СВОД'!AYY220</f>
        <v>62211.713815684307</v>
      </c>
      <c r="CJ205" s="77">
        <f t="shared" si="237"/>
        <v>746540.56578821165</v>
      </c>
      <c r="CM205" s="161">
        <v>202</v>
      </c>
      <c r="CN205" s="183" t="s">
        <v>861</v>
      </c>
      <c r="CO205" s="163">
        <v>9</v>
      </c>
      <c r="CP205" s="163">
        <v>3</v>
      </c>
      <c r="CQ205" s="164" t="s">
        <v>230</v>
      </c>
      <c r="CR205" s="165" t="s">
        <v>179</v>
      </c>
      <c r="CS205" s="166">
        <v>0</v>
      </c>
      <c r="CT205" s="166">
        <v>5372.3</v>
      </c>
      <c r="CU205" s="167">
        <v>42.5</v>
      </c>
      <c r="CV205" s="168">
        <v>5414.8</v>
      </c>
      <c r="CW205" s="166">
        <v>5372.3</v>
      </c>
      <c r="CX205" s="167">
        <v>42.5</v>
      </c>
      <c r="CY205" s="166">
        <v>0</v>
      </c>
      <c r="CZ205" s="166"/>
      <c r="DA205" s="166">
        <v>5414.8</v>
      </c>
      <c r="DB205" s="166"/>
      <c r="DC205" s="166">
        <v>5372.3</v>
      </c>
      <c r="DD205" s="59">
        <v>0.13719999999999999</v>
      </c>
      <c r="DE205" s="59">
        <v>0.12909999999999999</v>
      </c>
      <c r="DF205" s="59">
        <v>0.18709999999999999</v>
      </c>
      <c r="DG205" s="59">
        <v>4.6600000000000003E-2</v>
      </c>
      <c r="DH205" s="59">
        <v>6.8999999999999999E-3</v>
      </c>
      <c r="DI205" s="59">
        <v>0.1231</v>
      </c>
      <c r="DJ205" s="59">
        <v>4.8099999999999997E-2</v>
      </c>
      <c r="DK205" s="59">
        <v>0.3458</v>
      </c>
      <c r="DL205" s="169">
        <v>0</v>
      </c>
      <c r="DM205" s="59">
        <v>8.5300000000000001E-2</v>
      </c>
      <c r="DN205" s="169">
        <v>0</v>
      </c>
      <c r="DO205" s="184">
        <v>1.5874999999999999</v>
      </c>
      <c r="DP205" s="171">
        <f t="shared" si="238"/>
        <v>1.9395</v>
      </c>
      <c r="DQ205" s="59">
        <v>8.8800000000000004E-2</v>
      </c>
      <c r="DR205" s="59">
        <v>0.17150000000000001</v>
      </c>
      <c r="DS205" s="59">
        <v>2.7900000000000001E-2</v>
      </c>
      <c r="DT205" s="59">
        <v>6.9599999999999995E-2</v>
      </c>
      <c r="DU205" s="59">
        <v>1.5100000000000001E-2</v>
      </c>
      <c r="DV205" s="59">
        <v>3.8399999999999997E-2</v>
      </c>
      <c r="DW205" s="59">
        <v>5.8999999999999999E-3</v>
      </c>
      <c r="DX205" s="169">
        <v>0</v>
      </c>
      <c r="DY205" s="59">
        <v>0.57869999999999999</v>
      </c>
      <c r="DZ205" s="171">
        <f t="shared" si="239"/>
        <v>2.1332296526697769</v>
      </c>
      <c r="EA205" s="59">
        <v>0.99080000000000001</v>
      </c>
      <c r="EB205" s="171">
        <f t="shared" si="240"/>
        <v>1.7804804198627371</v>
      </c>
      <c r="EC205" s="59">
        <v>0.1346</v>
      </c>
      <c r="ED205" s="171">
        <f t="shared" si="241"/>
        <v>2.6411589895988112</v>
      </c>
      <c r="EE205" s="59">
        <v>2.41E-2</v>
      </c>
      <c r="EF205" s="59">
        <v>3.3999999999999998E-3</v>
      </c>
      <c r="EG205" s="59">
        <v>0.2082</v>
      </c>
      <c r="EH205" s="59">
        <v>0</v>
      </c>
      <c r="EI205" s="155">
        <v>0.1263</v>
      </c>
      <c r="EJ205" s="172">
        <v>5.1799999999999988</v>
      </c>
      <c r="EK205" s="173"/>
      <c r="EL205" s="59">
        <v>1.6540999999999999</v>
      </c>
      <c r="EM205" s="59">
        <v>0.39979999999999999</v>
      </c>
      <c r="EN205" s="59">
        <v>0.1777</v>
      </c>
      <c r="EO205" s="172">
        <v>7.2852999999999986</v>
      </c>
      <c r="ES205" s="57">
        <f t="shared" si="251"/>
        <v>5.1799999999999988</v>
      </c>
      <c r="ET205" s="57">
        <f t="shared" si="252"/>
        <v>7.2852999999999986</v>
      </c>
      <c r="EU205" s="31"/>
      <c r="EV205" s="61">
        <f t="shared" si="242"/>
        <v>1.7095945945945952</v>
      </c>
      <c r="EW205" s="61">
        <f>BJ205/ET205</f>
        <v>1.5826527390773202</v>
      </c>
      <c r="EX205" s="185">
        <v>6.6798999999999999</v>
      </c>
      <c r="EY205" s="174">
        <v>9.6544000000000008</v>
      </c>
      <c r="EZ205" s="158">
        <f t="shared" si="243"/>
        <v>8.8557000000000006</v>
      </c>
      <c r="FA205" s="158">
        <f t="shared" si="244"/>
        <v>11.530099999999999</v>
      </c>
      <c r="FB205" s="158">
        <f>BA205-EX205</f>
        <v>2.1758000000000006</v>
      </c>
      <c r="FC205" s="158">
        <f>BJ205-EY205</f>
        <v>1.8756999999999984</v>
      </c>
      <c r="FD205" s="175">
        <f t="shared" ref="FD205:FD206" si="275">FB205/EX205</f>
        <v>0.32572343897363742</v>
      </c>
      <c r="FE205" s="175">
        <f t="shared" ref="FE205:FE206" si="276">FC205/FA205</f>
        <v>0.16267855439241624</v>
      </c>
      <c r="FH205" s="174">
        <f t="shared" si="274"/>
        <v>47999.665140000012</v>
      </c>
      <c r="FJ205" s="176">
        <v>1.2847</v>
      </c>
      <c r="FK205" s="176">
        <f t="shared" si="254"/>
        <v>1.3307344863350161</v>
      </c>
      <c r="FL205" s="87">
        <v>1.3217000000000001</v>
      </c>
      <c r="FM205" s="177">
        <f t="shared" si="255"/>
        <v>1.1974371938241053</v>
      </c>
      <c r="FO205" s="88">
        <f t="shared" si="245"/>
        <v>47999.665140000012</v>
      </c>
      <c r="FP205" s="79">
        <f t="shared" si="246"/>
        <v>62005.418769999997</v>
      </c>
      <c r="FS205" s="79">
        <f t="shared" si="247"/>
        <v>28076.635999999999</v>
      </c>
      <c r="FT205" s="79">
        <f t="shared" si="248"/>
        <v>39178.15780999999</v>
      </c>
      <c r="FU205" s="79">
        <f t="shared" si="256"/>
        <v>1.7095945945945952</v>
      </c>
      <c r="FV205" s="79">
        <f t="shared" si="256"/>
        <v>1.5826527390773204</v>
      </c>
      <c r="FY205" s="79">
        <f t="shared" si="257"/>
        <v>376.36725000000808</v>
      </c>
      <c r="FZ205" s="79">
        <f t="shared" si="258"/>
        <v>62005.418769999997</v>
      </c>
      <c r="GB205" s="178">
        <f t="shared" si="259"/>
        <v>42.500000000000909</v>
      </c>
      <c r="GC205" s="178">
        <f t="shared" si="260"/>
        <v>5377.7</v>
      </c>
      <c r="GG205" s="14">
        <v>6.9733000000000001</v>
      </c>
      <c r="GH205" s="175">
        <f t="shared" si="261"/>
        <v>1.2699439289862764</v>
      </c>
      <c r="GI205" s="14">
        <v>10.0412</v>
      </c>
      <c r="GJ205" s="175">
        <f t="shared" si="262"/>
        <v>1.1482790901485878</v>
      </c>
      <c r="GK205" s="175">
        <f t="shared" si="263"/>
        <v>0.12166483883768864</v>
      </c>
      <c r="GN205" s="14">
        <v>8.7041000000000004</v>
      </c>
      <c r="GO205" s="175">
        <f t="shared" si="264"/>
        <v>1.2482038633071861</v>
      </c>
      <c r="GP205" s="179">
        <f t="shared" si="265"/>
        <v>1.0174170793074528</v>
      </c>
      <c r="GQ205" s="14">
        <v>11.15</v>
      </c>
      <c r="GR205" s="175">
        <f t="shared" si="266"/>
        <v>1.1104250487989484</v>
      </c>
      <c r="GS205" s="175">
        <f t="shared" si="267"/>
        <v>1.0340896860986546</v>
      </c>
      <c r="GV205" s="32">
        <f t="shared" si="268"/>
        <v>376.36725000000808</v>
      </c>
      <c r="GW205" s="32">
        <f t="shared" si="269"/>
        <v>62005.418769999997</v>
      </c>
      <c r="GX205" s="180">
        <f t="shared" si="270"/>
        <v>62381.786020000007</v>
      </c>
      <c r="GZ205" s="32">
        <f t="shared" si="271"/>
        <v>8.8557000000000006</v>
      </c>
      <c r="HA205" s="32">
        <f t="shared" si="272"/>
        <v>11.530099999999999</v>
      </c>
      <c r="HB205" s="32">
        <f t="shared" si="273"/>
        <v>11.509129925095015</v>
      </c>
    </row>
    <row r="206" spans="1:210" ht="19.2" customHeight="1" x14ac:dyDescent="0.3">
      <c r="A206" s="50">
        <v>198</v>
      </c>
      <c r="B206" s="51" t="s">
        <v>862</v>
      </c>
      <c r="C206" s="51" t="s">
        <v>852</v>
      </c>
      <c r="D206" s="52">
        <v>9</v>
      </c>
      <c r="E206" s="52">
        <v>5</v>
      </c>
      <c r="F206" s="63">
        <v>168</v>
      </c>
      <c r="G206" s="54" t="s">
        <v>231</v>
      </c>
      <c r="H206" s="181" t="s">
        <v>179</v>
      </c>
      <c r="I206" s="55">
        <f t="shared" si="249"/>
        <v>287.98000000000138</v>
      </c>
      <c r="J206" s="55">
        <f t="shared" si="229"/>
        <v>9488.9599999999991</v>
      </c>
      <c r="K206" s="55">
        <f t="shared" si="230"/>
        <v>1296</v>
      </c>
      <c r="L206" s="56">
        <v>11072.94</v>
      </c>
      <c r="M206" s="56">
        <v>9776.94</v>
      </c>
      <c r="N206" s="56">
        <f t="shared" si="250"/>
        <v>287.98000000000138</v>
      </c>
      <c r="O206" s="56">
        <v>1296</v>
      </c>
      <c r="P206" s="56">
        <v>0</v>
      </c>
      <c r="Q206" s="55"/>
      <c r="R206" s="55">
        <v>11072.94</v>
      </c>
      <c r="S206" s="55"/>
      <c r="T206" s="55">
        <v>9488.9599999999991</v>
      </c>
      <c r="U206" s="152">
        <v>1583.9800000000014</v>
      </c>
      <c r="V206" s="57">
        <v>0.15840000000000001</v>
      </c>
      <c r="W206" s="57">
        <v>0.1002</v>
      </c>
      <c r="X206" s="153">
        <v>0.32400000000000001</v>
      </c>
      <c r="Y206" s="153">
        <v>7.22E-2</v>
      </c>
      <c r="Z206" s="57">
        <v>3.0800000000000001E-2</v>
      </c>
      <c r="AA206" s="57">
        <v>0.2984</v>
      </c>
      <c r="AB206" s="57">
        <v>0</v>
      </c>
      <c r="AC206" s="153">
        <v>0.63149999999999995</v>
      </c>
      <c r="AD206" s="57">
        <v>0.12280000000000001</v>
      </c>
      <c r="AE206" s="57">
        <v>0</v>
      </c>
      <c r="AF206" s="57">
        <v>2.0718000000000001</v>
      </c>
      <c r="AG206" s="57">
        <v>0.20530000000000001</v>
      </c>
      <c r="AH206" s="57">
        <v>0.34970000000000001</v>
      </c>
      <c r="AI206" s="57">
        <v>0.14810000000000001</v>
      </c>
      <c r="AJ206" s="57">
        <v>8.9099999999999999E-2</v>
      </c>
      <c r="AK206" s="57">
        <v>5.9799999999999999E-2</v>
      </c>
      <c r="AL206" s="57">
        <v>0.12520000000000001</v>
      </c>
      <c r="AM206" s="57">
        <v>2.47E-2</v>
      </c>
      <c r="AN206" s="57">
        <v>0</v>
      </c>
      <c r="AO206" s="57">
        <v>1.0643</v>
      </c>
      <c r="AP206" s="153">
        <v>1.4269000000000001</v>
      </c>
      <c r="AQ206" s="153">
        <v>8.5999999999999993E-2</v>
      </c>
      <c r="AR206" s="57">
        <v>0.30680000000000002</v>
      </c>
      <c r="AS206" s="57">
        <v>1.03E-2</v>
      </c>
      <c r="AT206" s="153">
        <v>1.6999999999999999E-3</v>
      </c>
      <c r="AU206" s="153">
        <v>0.1424</v>
      </c>
      <c r="AV206" s="153">
        <v>0</v>
      </c>
      <c r="AW206" s="154">
        <v>7.8504000000000023</v>
      </c>
      <c r="AX206" s="58">
        <v>0.39250000000000002</v>
      </c>
      <c r="AY206" s="155">
        <f t="shared" si="231"/>
        <v>0.38819999999999999</v>
      </c>
      <c r="AZ206" s="155">
        <f t="shared" si="232"/>
        <v>4.300000000000026E-3</v>
      </c>
      <c r="BA206" s="14">
        <v>8.2429000000000023</v>
      </c>
      <c r="BB206" s="59">
        <f>BA206-'[1]Тариф 26 свод без  ПДВ'!AU206</f>
        <v>-3.499999999997172E-3</v>
      </c>
      <c r="BC206" s="57">
        <v>1.3986000000000001</v>
      </c>
      <c r="BD206" s="57">
        <v>7.5800000000000006E-2</v>
      </c>
      <c r="BE206" s="57">
        <v>0.6</v>
      </c>
      <c r="BF206" s="156">
        <v>9.9248000000000012</v>
      </c>
      <c r="BG206" s="59">
        <v>0.49619999999999997</v>
      </c>
      <c r="BH206" s="59"/>
      <c r="BI206" s="59"/>
      <c r="BJ206" s="14">
        <v>10.421000000000001</v>
      </c>
      <c r="BK206" s="60"/>
      <c r="BL206" s="60">
        <v>4.9100000000000019</v>
      </c>
      <c r="BM206" s="60">
        <v>0.2455</v>
      </c>
      <c r="BN206" s="14">
        <v>5.1555000000000017</v>
      </c>
      <c r="BO206" s="14"/>
      <c r="BP206" s="157"/>
      <c r="BQ206" s="158">
        <f>BJ206-'[1]Тариф 26 свод без  ПДВ'!BG206</f>
        <v>4.3000000000006366E-3</v>
      </c>
      <c r="BR206" s="77">
        <f>'[1]Тариф 26 свод без  ПДВ'!BG206</f>
        <v>10.416700000000001</v>
      </c>
      <c r="BS206" s="159">
        <f t="shared" si="233"/>
        <v>4.3000000000006366E-3</v>
      </c>
      <c r="BU206" s="77">
        <f>'[1]Тариф 26 свод без  ПДВ'!AU206</f>
        <v>8.2463999999999995</v>
      </c>
      <c r="BV206" s="159">
        <f t="shared" si="234"/>
        <v>-3.499999999997172E-3</v>
      </c>
      <c r="BX206" s="95">
        <v>3.9632000000000001</v>
      </c>
      <c r="BY206" s="95">
        <v>4.9191000000000003</v>
      </c>
      <c r="BZ206" s="95"/>
      <c r="CA206" s="62">
        <f t="shared" si="235"/>
        <v>2.079859709325798</v>
      </c>
      <c r="CB206" s="62">
        <f t="shared" si="236"/>
        <v>2.1184769571669615</v>
      </c>
      <c r="CD206" s="160">
        <f>L206-CE206</f>
        <v>1583.9800000000014</v>
      </c>
      <c r="CE206" s="160">
        <f>T206</f>
        <v>9488.9599999999991</v>
      </c>
      <c r="CF206" s="77">
        <f>CD206*BA206</f>
        <v>13056.588742000014</v>
      </c>
      <c r="CG206" s="77">
        <f>BJ206*CE206</f>
        <v>98884.452160000001</v>
      </c>
      <c r="CI206" s="160">
        <f>'[1]0 СВОД'!AYY221</f>
        <v>107939.96853988894</v>
      </c>
      <c r="CJ206" s="77">
        <f t="shared" si="237"/>
        <v>1295279.6224786672</v>
      </c>
      <c r="CM206" s="161">
        <v>203</v>
      </c>
      <c r="CN206" s="183" t="s">
        <v>863</v>
      </c>
      <c r="CO206" s="163">
        <v>9</v>
      </c>
      <c r="CP206" s="163">
        <v>5</v>
      </c>
      <c r="CQ206" s="164" t="s">
        <v>231</v>
      </c>
      <c r="CR206" s="165" t="s">
        <v>179</v>
      </c>
      <c r="CS206" s="166">
        <v>154.45000000000073</v>
      </c>
      <c r="CT206" s="166">
        <v>9478.99</v>
      </c>
      <c r="CU206" s="167">
        <v>1439.5</v>
      </c>
      <c r="CV206" s="168">
        <v>11072.94</v>
      </c>
      <c r="CW206" s="166">
        <v>9633.44</v>
      </c>
      <c r="CX206" s="167">
        <v>1439.5</v>
      </c>
      <c r="CY206" s="166">
        <v>0</v>
      </c>
      <c r="CZ206" s="166"/>
      <c r="DA206" s="166">
        <v>11072.94</v>
      </c>
      <c r="DB206" s="166"/>
      <c r="DC206" s="166">
        <v>9478.99</v>
      </c>
      <c r="DD206" s="59">
        <v>0.15570000000000001</v>
      </c>
      <c r="DE206" s="59">
        <v>0.16009999999999999</v>
      </c>
      <c r="DF206" s="59">
        <v>0.21310000000000001</v>
      </c>
      <c r="DG206" s="59">
        <v>4.2500000000000003E-2</v>
      </c>
      <c r="DH206" s="59">
        <v>1.1599999999999999E-2</v>
      </c>
      <c r="DI206" s="59">
        <v>0.13120000000000001</v>
      </c>
      <c r="DJ206" s="59">
        <v>4.8099999999999997E-2</v>
      </c>
      <c r="DK206" s="59">
        <v>0.3458</v>
      </c>
      <c r="DL206" s="59">
        <v>7.3300000000000004E-2</v>
      </c>
      <c r="DM206" s="59">
        <v>7.4700000000000003E-2</v>
      </c>
      <c r="DN206" s="169">
        <v>0</v>
      </c>
      <c r="DO206" s="184">
        <v>1.3505</v>
      </c>
      <c r="DP206" s="171">
        <f t="shared" si="238"/>
        <v>2.0718000000000001</v>
      </c>
      <c r="DQ206" s="59">
        <v>9.8799999999999999E-2</v>
      </c>
      <c r="DR206" s="59">
        <v>0.20960000000000001</v>
      </c>
      <c r="DS206" s="59">
        <v>3.8699999999999998E-2</v>
      </c>
      <c r="DT206" s="59">
        <v>4.2299999999999997E-2</v>
      </c>
      <c r="DU206" s="59">
        <v>2.52E-2</v>
      </c>
      <c r="DV206" s="59">
        <v>4.36E-2</v>
      </c>
      <c r="DW206" s="59">
        <v>5.0000000000000001E-3</v>
      </c>
      <c r="DX206" s="169">
        <v>0</v>
      </c>
      <c r="DY206" s="59">
        <v>0.48620000000000002</v>
      </c>
      <c r="DZ206" s="171">
        <f t="shared" si="239"/>
        <v>2.1890168654874538</v>
      </c>
      <c r="EA206" s="59">
        <v>0.86419999999999997</v>
      </c>
      <c r="EB206" s="171">
        <f t="shared" si="240"/>
        <v>1.7506364267530667</v>
      </c>
      <c r="EC206" s="59">
        <v>0.10539999999999999</v>
      </c>
      <c r="ED206" s="171">
        <f t="shared" si="241"/>
        <v>2.9108159392789377</v>
      </c>
      <c r="EE206" s="59">
        <v>7.9000000000000008E-3</v>
      </c>
      <c r="EF206" s="59">
        <v>1.1000000000000001E-3</v>
      </c>
      <c r="EG206" s="59">
        <v>0.18959999999999999</v>
      </c>
      <c r="EH206" s="59">
        <v>0</v>
      </c>
      <c r="EI206" s="155">
        <v>0.1181</v>
      </c>
      <c r="EJ206" s="172">
        <v>4.8423000000000016</v>
      </c>
      <c r="EK206" s="173"/>
      <c r="EL206" s="59">
        <v>1.0629</v>
      </c>
      <c r="EM206" s="59">
        <v>0.27410000000000001</v>
      </c>
      <c r="EN206" s="59">
        <v>0.1515</v>
      </c>
      <c r="EO206" s="172">
        <v>6.2127000000000017</v>
      </c>
      <c r="ES206" s="57">
        <f t="shared" si="251"/>
        <v>4.8423000000000016</v>
      </c>
      <c r="ET206" s="57">
        <f t="shared" si="252"/>
        <v>6.2127000000000017</v>
      </c>
      <c r="EU206" s="31"/>
      <c r="EV206" s="61">
        <f t="shared" si="242"/>
        <v>1.7022695826363503</v>
      </c>
      <c r="EW206" s="61">
        <f>BJ206/ET206</f>
        <v>1.6773705474270444</v>
      </c>
      <c r="EX206" s="185">
        <v>6.2948000000000004</v>
      </c>
      <c r="EY206" s="174">
        <v>8.4634999999999998</v>
      </c>
      <c r="EZ206" s="158">
        <f t="shared" si="243"/>
        <v>8.2429000000000023</v>
      </c>
      <c r="FA206" s="158">
        <f t="shared" si="244"/>
        <v>10.421000000000001</v>
      </c>
      <c r="FB206" s="158">
        <f>BA206-EX206</f>
        <v>1.9481000000000019</v>
      </c>
      <c r="FC206" s="158">
        <f>BJ206-EY206</f>
        <v>1.9575000000000014</v>
      </c>
      <c r="FD206" s="175">
        <f t="shared" si="275"/>
        <v>0.30947766410370492</v>
      </c>
      <c r="FE206" s="175">
        <f t="shared" si="276"/>
        <v>0.18784185778716064</v>
      </c>
      <c r="FH206" s="174">
        <f t="shared" si="274"/>
        <v>91273.137126000031</v>
      </c>
      <c r="FJ206" s="176">
        <v>1.3</v>
      </c>
      <c r="FK206" s="176">
        <f t="shared" si="254"/>
        <v>1.3094381404895001</v>
      </c>
      <c r="FL206" s="87">
        <v>1.3623000000000001</v>
      </c>
      <c r="FM206" s="177">
        <f t="shared" si="255"/>
        <v>1.2312783875996802</v>
      </c>
      <c r="FO206" s="88">
        <f t="shared" si="245"/>
        <v>91273.137126000031</v>
      </c>
      <c r="FP206" s="79">
        <f t="shared" si="246"/>
        <v>98884.452160000001</v>
      </c>
      <c r="FS206" s="79">
        <f t="shared" si="247"/>
        <v>53618.497362000024</v>
      </c>
      <c r="FT206" s="79">
        <f t="shared" si="248"/>
        <v>58952.061792000008</v>
      </c>
      <c r="FU206" s="79">
        <f t="shared" si="256"/>
        <v>1.7022695826363503</v>
      </c>
      <c r="FV206" s="79">
        <f t="shared" si="256"/>
        <v>1.6773705474270444</v>
      </c>
      <c r="FY206" s="79">
        <f t="shared" si="257"/>
        <v>13056.588742000014</v>
      </c>
      <c r="FZ206" s="79">
        <f t="shared" si="258"/>
        <v>98884.452160000001</v>
      </c>
      <c r="GB206" s="178">
        <f t="shared" si="259"/>
        <v>1583.9800000000014</v>
      </c>
      <c r="GC206" s="178">
        <f t="shared" si="260"/>
        <v>9488.9599999999991</v>
      </c>
      <c r="GG206" s="14">
        <v>6.4909000000000017</v>
      </c>
      <c r="GH206" s="175">
        <f t="shared" si="261"/>
        <v>1.2699163444206505</v>
      </c>
      <c r="GI206" s="14">
        <v>8.8409000000000013</v>
      </c>
      <c r="GJ206" s="175">
        <f t="shared" si="262"/>
        <v>1.1787261477903832</v>
      </c>
      <c r="GK206" s="175">
        <f t="shared" si="263"/>
        <v>9.1190196630267284E-2</v>
      </c>
      <c r="GN206" s="14">
        <v>8.1978999999999989</v>
      </c>
      <c r="GO206" s="175">
        <f t="shared" si="264"/>
        <v>1.2629835616016263</v>
      </c>
      <c r="GP206" s="179">
        <f t="shared" si="265"/>
        <v>1.0054892106515088</v>
      </c>
      <c r="GQ206" s="14">
        <v>10.093999999999999</v>
      </c>
      <c r="GR206" s="175">
        <f t="shared" si="266"/>
        <v>1.1417389632277255</v>
      </c>
      <c r="GS206" s="175">
        <f t="shared" si="267"/>
        <v>1.0323954824648307</v>
      </c>
      <c r="GV206" s="32">
        <f t="shared" si="268"/>
        <v>13056.588742000014</v>
      </c>
      <c r="GW206" s="32">
        <f t="shared" si="269"/>
        <v>98884.452160000001</v>
      </c>
      <c r="GX206" s="180">
        <f t="shared" si="270"/>
        <v>111941.04090200001</v>
      </c>
      <c r="GZ206" s="32">
        <f t="shared" si="271"/>
        <v>8.2429000000000023</v>
      </c>
      <c r="HA206" s="32">
        <f t="shared" si="272"/>
        <v>10.421000000000001</v>
      </c>
      <c r="HB206" s="32">
        <f t="shared" si="273"/>
        <v>10.109423594998256</v>
      </c>
    </row>
    <row r="207" spans="1:210" ht="19.2" customHeight="1" x14ac:dyDescent="0.3">
      <c r="A207" s="50">
        <v>199</v>
      </c>
      <c r="B207" s="51" t="s">
        <v>864</v>
      </c>
      <c r="C207" s="51" t="s">
        <v>852</v>
      </c>
      <c r="D207" s="52">
        <v>5</v>
      </c>
      <c r="E207" s="52">
        <v>4</v>
      </c>
      <c r="F207" s="63">
        <v>80</v>
      </c>
      <c r="G207" s="54" t="s">
        <v>146</v>
      </c>
      <c r="H207" s="181" t="s">
        <v>49</v>
      </c>
      <c r="I207" s="55">
        <f t="shared" si="249"/>
        <v>3423.8</v>
      </c>
      <c r="J207" s="55">
        <f t="shared" si="229"/>
        <v>0</v>
      </c>
      <c r="K207" s="55">
        <f t="shared" si="230"/>
        <v>0</v>
      </c>
      <c r="L207" s="56">
        <v>3423.8</v>
      </c>
      <c r="M207" s="56">
        <v>3423.8</v>
      </c>
      <c r="N207" s="56">
        <f t="shared" si="250"/>
        <v>3423.8</v>
      </c>
      <c r="O207" s="56">
        <v>0</v>
      </c>
      <c r="P207" s="56">
        <v>0</v>
      </c>
      <c r="Q207" s="55"/>
      <c r="R207" s="55">
        <v>3423.8</v>
      </c>
      <c r="S207" s="55"/>
      <c r="T207" s="55">
        <v>0</v>
      </c>
      <c r="U207" s="152">
        <v>3423.8</v>
      </c>
      <c r="V207" s="57">
        <v>0.17169999999999999</v>
      </c>
      <c r="W207" s="153">
        <v>0.1108</v>
      </c>
      <c r="X207" s="57">
        <v>0.3135</v>
      </c>
      <c r="Y207" s="57">
        <v>7.51E-2</v>
      </c>
      <c r="Z207" s="153">
        <v>2.63E-2</v>
      </c>
      <c r="AA207" s="57">
        <v>0.42959999999999998</v>
      </c>
      <c r="AB207" s="153">
        <v>0</v>
      </c>
      <c r="AC207" s="57">
        <v>0.63149999999999995</v>
      </c>
      <c r="AD207" s="57">
        <v>0.18479999999999999</v>
      </c>
      <c r="AE207" s="57">
        <v>0</v>
      </c>
      <c r="AF207" s="57">
        <v>2.2486000000000002</v>
      </c>
      <c r="AG207" s="57">
        <v>0.2283</v>
      </c>
      <c r="AH207" s="57">
        <v>0.39279999999999998</v>
      </c>
      <c r="AI207" s="153">
        <v>0.1017</v>
      </c>
      <c r="AJ207" s="153">
        <v>0.10630000000000001</v>
      </c>
      <c r="AK207" s="153">
        <v>5.11E-2</v>
      </c>
      <c r="AL207" s="57">
        <v>0.15240000000000001</v>
      </c>
      <c r="AM207" s="153">
        <v>3.2199999999999999E-2</v>
      </c>
      <c r="AN207" s="57">
        <v>0</v>
      </c>
      <c r="AO207" s="153">
        <v>1.9084000000000001</v>
      </c>
      <c r="AP207" s="57">
        <v>0.92230000000000001</v>
      </c>
      <c r="AQ207" s="57">
        <v>8.6900000000000005E-2</v>
      </c>
      <c r="AR207" s="153">
        <v>0.40089999999999998</v>
      </c>
      <c r="AS207" s="57">
        <v>5.04E-2</v>
      </c>
      <c r="AT207" s="57">
        <v>8.2000000000000007E-3</v>
      </c>
      <c r="AU207" s="153">
        <v>0.46710000000000002</v>
      </c>
      <c r="AV207" s="153">
        <v>0</v>
      </c>
      <c r="AW207" s="154">
        <v>9.1009000000000011</v>
      </c>
      <c r="AX207" s="58">
        <v>0.45500000000000002</v>
      </c>
      <c r="AY207" s="155">
        <f t="shared" si="231"/>
        <v>0.45069999999999999</v>
      </c>
      <c r="AZ207" s="155">
        <f t="shared" si="232"/>
        <v>4.300000000000026E-3</v>
      </c>
      <c r="BA207" s="14">
        <v>9.5559000000000012</v>
      </c>
      <c r="BB207" s="59">
        <f>BA207-'[1]Тариф 26 свод без  ПДВ'!AU207</f>
        <v>-1.0999999999992127E-3</v>
      </c>
      <c r="BC207" s="57">
        <v>0</v>
      </c>
      <c r="BD207" s="57">
        <v>0</v>
      </c>
      <c r="BE207" s="57">
        <v>0</v>
      </c>
      <c r="BF207" s="156">
        <v>9.1009000000000011</v>
      </c>
      <c r="BG207" s="59">
        <v>0.45500000000000002</v>
      </c>
      <c r="BH207" s="59"/>
      <c r="BI207" s="59"/>
      <c r="BJ207" s="14">
        <v>9.5559000000000012</v>
      </c>
      <c r="BK207" s="60"/>
      <c r="BL207" s="60">
        <v>5.4022000000000006</v>
      </c>
      <c r="BM207" s="60">
        <v>0.27010000000000001</v>
      </c>
      <c r="BN207" s="14">
        <v>5.6723000000000008</v>
      </c>
      <c r="BO207" s="14"/>
      <c r="BP207" s="157"/>
      <c r="BQ207" s="158">
        <f>BJ207-'[1]Тариф 26 свод без  ПДВ'!BG207</f>
        <v>-1.0999999999992127E-3</v>
      </c>
      <c r="BR207" s="77">
        <f>'[1]Тариф 26 свод без  ПДВ'!BG207</f>
        <v>9.5570000000000004</v>
      </c>
      <c r="BS207" s="159">
        <f t="shared" si="233"/>
        <v>-1.0999999999992127E-3</v>
      </c>
      <c r="BU207" s="77">
        <f>'[1]Тариф 26 свод без  ПДВ'!AU207</f>
        <v>9.5570000000000004</v>
      </c>
      <c r="BV207" s="159">
        <f t="shared" si="234"/>
        <v>-1.0999999999992127E-3</v>
      </c>
      <c r="BX207" s="95">
        <v>4.3763000000000005</v>
      </c>
      <c r="BY207" s="95">
        <v>4.3763000000000005</v>
      </c>
      <c r="BZ207" s="95"/>
      <c r="CA207" s="62">
        <f t="shared" si="235"/>
        <v>2.1835568859538879</v>
      </c>
      <c r="CB207" s="62">
        <f t="shared" si="236"/>
        <v>2.1835568859538879</v>
      </c>
      <c r="CI207" s="160">
        <f>'[1]0 СВОД'!AYY222</f>
        <v>32717.228403918856</v>
      </c>
      <c r="CJ207" s="77">
        <f t="shared" si="237"/>
        <v>392606.74084702629</v>
      </c>
      <c r="CM207" s="161">
        <v>204</v>
      </c>
      <c r="CN207" s="162" t="s">
        <v>865</v>
      </c>
      <c r="CO207" s="163">
        <v>5</v>
      </c>
      <c r="CP207" s="163">
        <v>4</v>
      </c>
      <c r="CQ207" s="164" t="s">
        <v>146</v>
      </c>
      <c r="CR207" s="165" t="s">
        <v>49</v>
      </c>
      <c r="CS207" s="166">
        <v>3423.7</v>
      </c>
      <c r="CT207" s="166">
        <v>0</v>
      </c>
      <c r="CU207" s="167">
        <v>0</v>
      </c>
      <c r="CV207" s="168">
        <v>3423.7</v>
      </c>
      <c r="CW207" s="166">
        <v>3423.7</v>
      </c>
      <c r="CX207" s="167">
        <v>0</v>
      </c>
      <c r="CY207" s="166">
        <v>0</v>
      </c>
      <c r="CZ207" s="166"/>
      <c r="DA207" s="166">
        <v>3423.7</v>
      </c>
      <c r="DB207" s="166"/>
      <c r="DC207" s="166">
        <v>0</v>
      </c>
      <c r="DD207" s="59">
        <v>0.16850000000000001</v>
      </c>
      <c r="DE207" s="59">
        <v>0.18</v>
      </c>
      <c r="DF207" s="59">
        <v>0.20610000000000001</v>
      </c>
      <c r="DG207" s="59">
        <v>4.4200000000000003E-2</v>
      </c>
      <c r="DH207" s="59">
        <v>9.9000000000000008E-3</v>
      </c>
      <c r="DI207" s="59">
        <v>0.18729999999999999</v>
      </c>
      <c r="DJ207" s="59">
        <v>4.8099999999999997E-2</v>
      </c>
      <c r="DK207" s="59">
        <v>0.3458</v>
      </c>
      <c r="DL207" s="169">
        <v>0</v>
      </c>
      <c r="DM207" s="59">
        <v>0.1124</v>
      </c>
      <c r="DN207" s="169">
        <v>0</v>
      </c>
      <c r="DO207" s="170">
        <v>1.2939000000000001</v>
      </c>
      <c r="DP207" s="171">
        <f t="shared" si="238"/>
        <v>2.2486000000000002</v>
      </c>
      <c r="DQ207" s="59">
        <v>0.11</v>
      </c>
      <c r="DR207" s="59">
        <v>0.23499999999999999</v>
      </c>
      <c r="DS207" s="59">
        <v>2.64E-2</v>
      </c>
      <c r="DT207" s="59">
        <v>0.05</v>
      </c>
      <c r="DU207" s="59">
        <v>2.1499999999999998E-2</v>
      </c>
      <c r="DV207" s="59">
        <v>5.3100000000000001E-2</v>
      </c>
      <c r="DW207" s="59">
        <v>8.5000000000000006E-3</v>
      </c>
      <c r="DX207" s="169">
        <v>0</v>
      </c>
      <c r="DY207" s="59">
        <v>0.94579999999999997</v>
      </c>
      <c r="DZ207" s="171">
        <f t="shared" si="239"/>
        <v>2.0177627405371115</v>
      </c>
      <c r="EA207" s="59">
        <v>0.56279999999999997</v>
      </c>
      <c r="EB207" s="171">
        <f t="shared" si="240"/>
        <v>1.7931769722814501</v>
      </c>
      <c r="EC207" s="59">
        <v>0.21110000000000001</v>
      </c>
      <c r="ED207" s="171">
        <f t="shared" si="241"/>
        <v>1.8990999526290855</v>
      </c>
      <c r="EE207" s="59">
        <v>3.8600000000000002E-2</v>
      </c>
      <c r="EF207" s="59">
        <v>5.4000000000000003E-3</v>
      </c>
      <c r="EG207" s="59">
        <v>0.26419999999999999</v>
      </c>
      <c r="EH207" s="59">
        <v>0</v>
      </c>
      <c r="EI207" s="208">
        <v>0.12820000000000001</v>
      </c>
      <c r="EJ207" s="172">
        <v>5.2568000000000001</v>
      </c>
      <c r="EK207" s="173"/>
      <c r="EL207" s="169">
        <v>0</v>
      </c>
      <c r="EM207" s="169">
        <v>0</v>
      </c>
      <c r="EN207" s="59"/>
      <c r="EO207" s="172"/>
      <c r="ES207" s="57">
        <f t="shared" si="251"/>
        <v>5.2568000000000001</v>
      </c>
      <c r="ET207" s="57">
        <f t="shared" si="252"/>
        <v>0</v>
      </c>
      <c r="EU207" s="31"/>
      <c r="EV207" s="61">
        <f t="shared" si="242"/>
        <v>1.8178169228427943</v>
      </c>
      <c r="EW207" s="62"/>
      <c r="EX207" s="158">
        <f t="shared" ref="EX207:EX213" si="277">ES207*1.305-BA207</f>
        <v>-2.6957760000000013</v>
      </c>
      <c r="EY207" s="77">
        <f t="shared" ref="EY207:EY213" si="278">ES207*1.344</f>
        <v>7.0651392000000008</v>
      </c>
      <c r="EZ207" s="158">
        <f t="shared" si="243"/>
        <v>9.5559000000000012</v>
      </c>
      <c r="FA207" s="158">
        <f t="shared" si="244"/>
        <v>9.5559000000000012</v>
      </c>
      <c r="FH207" s="174">
        <f t="shared" si="274"/>
        <v>32717.490420000006</v>
      </c>
      <c r="FJ207" s="87">
        <v>1.3789187338304671</v>
      </c>
      <c r="FK207" s="176">
        <f t="shared" si="254"/>
        <v>1.3182915557272341</v>
      </c>
      <c r="FM207" s="87" t="e">
        <f t="shared" si="255"/>
        <v>#DIV/0!</v>
      </c>
      <c r="FO207" s="88">
        <f t="shared" si="245"/>
        <v>32717.490420000006</v>
      </c>
      <c r="FP207" s="79">
        <f t="shared" si="246"/>
        <v>0</v>
      </c>
      <c r="FS207" s="79">
        <f t="shared" si="247"/>
        <v>17998.23184</v>
      </c>
      <c r="FT207" s="79">
        <f t="shared" si="248"/>
        <v>0</v>
      </c>
      <c r="FU207" s="79">
        <f t="shared" si="256"/>
        <v>1.8178169228427943</v>
      </c>
      <c r="FV207" s="79" t="e">
        <f t="shared" si="256"/>
        <v>#DIV/0!</v>
      </c>
      <c r="FY207" s="79">
        <f t="shared" si="257"/>
        <v>32717.490420000006</v>
      </c>
      <c r="FZ207" s="79">
        <f t="shared" si="258"/>
        <v>0</v>
      </c>
      <c r="GB207" s="178">
        <f t="shared" si="259"/>
        <v>3423.8</v>
      </c>
      <c r="GC207" s="178">
        <f t="shared" si="260"/>
        <v>0</v>
      </c>
      <c r="GG207" s="14">
        <v>7.5247000000000002</v>
      </c>
      <c r="GH207" s="175">
        <f t="shared" si="261"/>
        <v>1.2699376719337649</v>
      </c>
      <c r="GI207" s="14">
        <v>7.5247000000000002</v>
      </c>
      <c r="GJ207" s="175">
        <f t="shared" si="262"/>
        <v>1.2699376719337649</v>
      </c>
      <c r="GK207" s="175">
        <f t="shared" si="263"/>
        <v>0</v>
      </c>
      <c r="GN207" s="14">
        <v>9.5178000000000029</v>
      </c>
      <c r="GO207" s="175">
        <f t="shared" si="264"/>
        <v>1.2648743471500528</v>
      </c>
      <c r="GP207" s="179">
        <f t="shared" si="265"/>
        <v>1.0040030259093486</v>
      </c>
      <c r="GQ207" s="14">
        <v>9.5178000000000029</v>
      </c>
      <c r="GR207" s="175">
        <f t="shared" si="266"/>
        <v>1.2648743471500528</v>
      </c>
      <c r="GS207" s="175">
        <f t="shared" si="267"/>
        <v>1.0040030259093486</v>
      </c>
      <c r="GV207" s="32">
        <f t="shared" si="268"/>
        <v>32717.490420000006</v>
      </c>
      <c r="GW207" s="32">
        <f t="shared" si="269"/>
        <v>0</v>
      </c>
      <c r="GX207" s="180">
        <f t="shared" si="270"/>
        <v>32717.490420000006</v>
      </c>
      <c r="GZ207" s="32">
        <f t="shared" si="271"/>
        <v>9.5559000000000012</v>
      </c>
      <c r="HA207" s="32" t="e">
        <f t="shared" si="272"/>
        <v>#DIV/0!</v>
      </c>
      <c r="HB207" s="32">
        <f t="shared" si="273"/>
        <v>9.5559000000000012</v>
      </c>
    </row>
    <row r="208" spans="1:210" ht="19.2" customHeight="1" x14ac:dyDescent="0.3">
      <c r="A208" s="50">
        <v>200</v>
      </c>
      <c r="B208" s="51" t="s">
        <v>866</v>
      </c>
      <c r="C208" s="51" t="s">
        <v>852</v>
      </c>
      <c r="D208" s="52">
        <v>5</v>
      </c>
      <c r="E208" s="52">
        <v>2</v>
      </c>
      <c r="F208" s="63">
        <v>40</v>
      </c>
      <c r="G208" s="54" t="s">
        <v>147</v>
      </c>
      <c r="H208" s="181" t="s">
        <v>49</v>
      </c>
      <c r="I208" s="55">
        <f t="shared" si="249"/>
        <v>1716.7</v>
      </c>
      <c r="J208" s="55">
        <f t="shared" si="229"/>
        <v>0</v>
      </c>
      <c r="K208" s="55">
        <f t="shared" si="230"/>
        <v>0</v>
      </c>
      <c r="L208" s="56">
        <v>1716.7</v>
      </c>
      <c r="M208" s="56">
        <v>1716.7</v>
      </c>
      <c r="N208" s="56">
        <f t="shared" si="250"/>
        <v>1716.7</v>
      </c>
      <c r="O208" s="56">
        <v>0</v>
      </c>
      <c r="P208" s="56">
        <v>0</v>
      </c>
      <c r="Q208" s="55"/>
      <c r="R208" s="55">
        <v>1716.7</v>
      </c>
      <c r="S208" s="55"/>
      <c r="T208" s="55">
        <v>0</v>
      </c>
      <c r="U208" s="152">
        <v>1716.7</v>
      </c>
      <c r="V208" s="57">
        <v>0.17660000000000001</v>
      </c>
      <c r="W208" s="153">
        <v>0.1003</v>
      </c>
      <c r="X208" s="57">
        <v>0.30509999999999998</v>
      </c>
      <c r="Y208" s="57">
        <v>7.2700000000000001E-2</v>
      </c>
      <c r="Z208" s="153">
        <v>2.6200000000000001E-2</v>
      </c>
      <c r="AA208" s="57">
        <v>0.33929999999999999</v>
      </c>
      <c r="AB208" s="153">
        <v>0</v>
      </c>
      <c r="AC208" s="57">
        <v>0.63149999999999995</v>
      </c>
      <c r="AD208" s="57">
        <v>0.1842</v>
      </c>
      <c r="AE208" s="57">
        <v>0</v>
      </c>
      <c r="AF208" s="57">
        <v>2.1825999999999999</v>
      </c>
      <c r="AG208" s="57">
        <v>0.23699999999999999</v>
      </c>
      <c r="AH208" s="57">
        <v>0.36749999999999999</v>
      </c>
      <c r="AI208" s="153">
        <v>7.4999999999999997E-2</v>
      </c>
      <c r="AJ208" s="153">
        <v>0.1018</v>
      </c>
      <c r="AK208" s="153">
        <v>5.0900000000000001E-2</v>
      </c>
      <c r="AL208" s="57">
        <v>0.11360000000000001</v>
      </c>
      <c r="AM208" s="153">
        <v>3.1899999999999998E-2</v>
      </c>
      <c r="AN208" s="57">
        <v>0</v>
      </c>
      <c r="AO208" s="153">
        <v>2.3289</v>
      </c>
      <c r="AP208" s="57">
        <v>0.90559999999999996</v>
      </c>
      <c r="AQ208" s="57">
        <v>8.8599999999999998E-2</v>
      </c>
      <c r="AR208" s="153">
        <v>0.52</v>
      </c>
      <c r="AS208" s="57">
        <v>5.0700000000000002E-2</v>
      </c>
      <c r="AT208" s="57">
        <v>8.2000000000000007E-3</v>
      </c>
      <c r="AU208" s="153">
        <v>0.36180000000000001</v>
      </c>
      <c r="AV208" s="153">
        <v>0</v>
      </c>
      <c r="AW208" s="154">
        <v>9.2600000000000016</v>
      </c>
      <c r="AX208" s="58">
        <v>0.46300000000000002</v>
      </c>
      <c r="AY208" s="155">
        <f t="shared" si="231"/>
        <v>0.45860000000000001</v>
      </c>
      <c r="AZ208" s="155">
        <f t="shared" si="232"/>
        <v>4.400000000000015E-3</v>
      </c>
      <c r="BA208" s="14">
        <v>9.7230000000000008</v>
      </c>
      <c r="BB208" s="59">
        <f>BA208-'[1]Тариф 26 свод без  ПДВ'!AU208</f>
        <v>-4.9999999999990052E-3</v>
      </c>
      <c r="BC208" s="57">
        <v>0</v>
      </c>
      <c r="BD208" s="57">
        <v>0</v>
      </c>
      <c r="BE208" s="57">
        <v>0</v>
      </c>
      <c r="BF208" s="156">
        <v>9.2600000000000016</v>
      </c>
      <c r="BG208" s="59">
        <v>0.46300000000000002</v>
      </c>
      <c r="BH208" s="59"/>
      <c r="BI208" s="59"/>
      <c r="BJ208" s="14">
        <v>9.7230000000000008</v>
      </c>
      <c r="BK208" s="60"/>
      <c r="BL208" s="60">
        <v>5.1437000000000017</v>
      </c>
      <c r="BM208" s="60">
        <v>0.25719999999999998</v>
      </c>
      <c r="BN208" s="14">
        <v>5.4009000000000018</v>
      </c>
      <c r="BO208" s="14"/>
      <c r="BP208" s="157"/>
      <c r="BQ208" s="158">
        <f>BJ208-'[1]Тариф 26 свод без  ПДВ'!BG208</f>
        <v>-4.9999999999990052E-3</v>
      </c>
      <c r="BR208" s="77">
        <f>'[1]Тариф 26 свод без  ПДВ'!BG208</f>
        <v>9.7279999999999998</v>
      </c>
      <c r="BS208" s="159">
        <f t="shared" si="233"/>
        <v>-4.9999999999990052E-3</v>
      </c>
      <c r="BU208" s="77">
        <f>'[1]Тариф 26 свод без  ПДВ'!AU208</f>
        <v>9.7279999999999998</v>
      </c>
      <c r="BV208" s="159">
        <f t="shared" si="234"/>
        <v>-4.9999999999990052E-3</v>
      </c>
      <c r="BX208" s="95">
        <v>4.5388999999999999</v>
      </c>
      <c r="BY208" s="95">
        <v>4.5388999999999999</v>
      </c>
      <c r="BZ208" s="95"/>
      <c r="CA208" s="62">
        <f t="shared" si="235"/>
        <v>2.1421489788274695</v>
      </c>
      <c r="CB208" s="62">
        <f t="shared" si="236"/>
        <v>2.1421489788274695</v>
      </c>
      <c r="CI208" s="160">
        <f>'[1]0 СВОД'!AYY223</f>
        <v>16691.906141874399</v>
      </c>
      <c r="CJ208" s="77">
        <f t="shared" si="237"/>
        <v>200302.8737024928</v>
      </c>
      <c r="CM208" s="161">
        <v>205</v>
      </c>
      <c r="CN208" s="162" t="s">
        <v>867</v>
      </c>
      <c r="CO208" s="163">
        <v>5</v>
      </c>
      <c r="CP208" s="163">
        <v>2</v>
      </c>
      <c r="CQ208" s="164" t="s">
        <v>147</v>
      </c>
      <c r="CR208" s="165" t="s">
        <v>49</v>
      </c>
      <c r="CS208" s="166">
        <v>1714</v>
      </c>
      <c r="CT208" s="166">
        <v>0</v>
      </c>
      <c r="CU208" s="167">
        <v>0</v>
      </c>
      <c r="CV208" s="168">
        <v>1714</v>
      </c>
      <c r="CW208" s="166">
        <v>1714</v>
      </c>
      <c r="CX208" s="167">
        <v>0</v>
      </c>
      <c r="CY208" s="166">
        <v>0</v>
      </c>
      <c r="CZ208" s="166"/>
      <c r="DA208" s="166">
        <v>1714</v>
      </c>
      <c r="DB208" s="166"/>
      <c r="DC208" s="166">
        <v>0</v>
      </c>
      <c r="DD208" s="59">
        <v>0.17419999999999999</v>
      </c>
      <c r="DE208" s="59">
        <v>0.18720000000000001</v>
      </c>
      <c r="DF208" s="59">
        <v>0.20069999999999999</v>
      </c>
      <c r="DG208" s="59">
        <v>4.2799999999999998E-2</v>
      </c>
      <c r="DH208" s="59">
        <v>9.9000000000000008E-3</v>
      </c>
      <c r="DI208" s="59">
        <v>0.14449999999999999</v>
      </c>
      <c r="DJ208" s="59">
        <v>4.8099999999999997E-2</v>
      </c>
      <c r="DK208" s="59">
        <v>0.3458</v>
      </c>
      <c r="DL208" s="169">
        <v>0</v>
      </c>
      <c r="DM208" s="59">
        <v>0.1123</v>
      </c>
      <c r="DN208" s="169">
        <v>0</v>
      </c>
      <c r="DO208" s="170">
        <v>1.2157</v>
      </c>
      <c r="DP208" s="171">
        <f t="shared" si="238"/>
        <v>2.1825999999999999</v>
      </c>
      <c r="DQ208" s="59">
        <v>0.1143</v>
      </c>
      <c r="DR208" s="59">
        <v>0.2445</v>
      </c>
      <c r="DS208" s="59">
        <v>1.9300000000000001E-2</v>
      </c>
      <c r="DT208" s="59">
        <v>4.8000000000000001E-2</v>
      </c>
      <c r="DU208" s="59">
        <v>2.1499999999999998E-2</v>
      </c>
      <c r="DV208" s="59">
        <v>3.9300000000000002E-2</v>
      </c>
      <c r="DW208" s="59">
        <v>8.3999999999999995E-3</v>
      </c>
      <c r="DX208" s="169">
        <v>0</v>
      </c>
      <c r="DY208" s="59">
        <v>1.1801999999999999</v>
      </c>
      <c r="DZ208" s="171">
        <f t="shared" si="239"/>
        <v>1.9733096085409254</v>
      </c>
      <c r="EA208" s="59">
        <v>0.55349999999999999</v>
      </c>
      <c r="EB208" s="171">
        <f t="shared" si="240"/>
        <v>1.7962059620596205</v>
      </c>
      <c r="EC208" s="59">
        <v>0.2742</v>
      </c>
      <c r="ED208" s="171">
        <f t="shared" si="241"/>
        <v>1.8964259664478484</v>
      </c>
      <c r="EE208" s="59">
        <v>3.8800000000000001E-2</v>
      </c>
      <c r="EF208" s="59">
        <v>5.4000000000000003E-3</v>
      </c>
      <c r="EG208" s="59">
        <v>0.24929999999999999</v>
      </c>
      <c r="EH208" s="59">
        <v>0</v>
      </c>
      <c r="EI208" s="208">
        <v>0.13189999999999999</v>
      </c>
      <c r="EJ208" s="172">
        <v>5.4097999999999988</v>
      </c>
      <c r="EK208" s="173"/>
      <c r="EL208" s="169">
        <v>0</v>
      </c>
      <c r="EM208" s="169">
        <v>0</v>
      </c>
      <c r="EN208" s="59"/>
      <c r="EO208" s="172"/>
      <c r="ES208" s="57">
        <f t="shared" si="251"/>
        <v>5.4097999999999988</v>
      </c>
      <c r="ET208" s="57">
        <f t="shared" si="252"/>
        <v>0</v>
      </c>
      <c r="EU208" s="31"/>
      <c r="EV208" s="61">
        <f t="shared" si="242"/>
        <v>1.7972938001404863</v>
      </c>
      <c r="EW208" s="62"/>
      <c r="EX208" s="158">
        <f t="shared" si="277"/>
        <v>-2.6632110000000022</v>
      </c>
      <c r="EY208" s="77">
        <f t="shared" si="278"/>
        <v>7.2707711999999987</v>
      </c>
      <c r="EZ208" s="158">
        <f t="shared" si="243"/>
        <v>9.7230000000000008</v>
      </c>
      <c r="FA208" s="158">
        <f t="shared" si="244"/>
        <v>9.7230000000000008</v>
      </c>
      <c r="FH208" s="174">
        <f t="shared" si="274"/>
        <v>16691.474100000003</v>
      </c>
      <c r="FJ208" s="87">
        <v>1.3926392842618955</v>
      </c>
      <c r="FK208" s="176">
        <f t="shared" si="254"/>
        <v>1.2905666387926571</v>
      </c>
      <c r="FM208" s="87" t="e">
        <f t="shared" si="255"/>
        <v>#DIV/0!</v>
      </c>
      <c r="FO208" s="88">
        <f t="shared" si="245"/>
        <v>16691.474100000003</v>
      </c>
      <c r="FP208" s="79">
        <f t="shared" si="246"/>
        <v>0</v>
      </c>
      <c r="FS208" s="79">
        <f t="shared" si="247"/>
        <v>9287.0036599999985</v>
      </c>
      <c r="FT208" s="79">
        <f t="shared" si="248"/>
        <v>0</v>
      </c>
      <c r="FU208" s="79">
        <f t="shared" si="256"/>
        <v>1.7972938001404863</v>
      </c>
      <c r="FV208" s="79" t="e">
        <f t="shared" si="256"/>
        <v>#DIV/0!</v>
      </c>
      <c r="FY208" s="79">
        <f t="shared" si="257"/>
        <v>16691.474100000003</v>
      </c>
      <c r="FZ208" s="79">
        <f t="shared" si="258"/>
        <v>0</v>
      </c>
      <c r="GB208" s="178">
        <f t="shared" si="259"/>
        <v>1716.7</v>
      </c>
      <c r="GC208" s="178">
        <f t="shared" si="260"/>
        <v>0</v>
      </c>
      <c r="GG208" s="14">
        <v>7.6563000000000008</v>
      </c>
      <c r="GH208" s="175">
        <f t="shared" si="261"/>
        <v>1.2699345636926453</v>
      </c>
      <c r="GI208" s="14">
        <v>7.6563000000000008</v>
      </c>
      <c r="GJ208" s="175">
        <f t="shared" si="262"/>
        <v>1.2699345636926453</v>
      </c>
      <c r="GK208" s="175">
        <f t="shared" si="263"/>
        <v>0</v>
      </c>
      <c r="GN208" s="14">
        <v>9.7472000000000012</v>
      </c>
      <c r="GO208" s="175">
        <f t="shared" si="264"/>
        <v>1.2730953593772449</v>
      </c>
      <c r="GP208" s="179">
        <f t="shared" si="265"/>
        <v>0.99751723571897566</v>
      </c>
      <c r="GQ208" s="14">
        <v>9.7472000000000012</v>
      </c>
      <c r="GR208" s="175">
        <f t="shared" si="266"/>
        <v>1.2730953593772449</v>
      </c>
      <c r="GS208" s="175">
        <f t="shared" si="267"/>
        <v>0.99751723571897566</v>
      </c>
      <c r="GV208" s="32">
        <f t="shared" si="268"/>
        <v>16691.474100000003</v>
      </c>
      <c r="GW208" s="32">
        <f t="shared" si="269"/>
        <v>0</v>
      </c>
      <c r="GX208" s="180">
        <f t="shared" si="270"/>
        <v>16691.474100000003</v>
      </c>
      <c r="GZ208" s="32">
        <f t="shared" si="271"/>
        <v>9.7230000000000008</v>
      </c>
      <c r="HA208" s="32" t="e">
        <f t="shared" si="272"/>
        <v>#DIV/0!</v>
      </c>
      <c r="HB208" s="32">
        <f t="shared" si="273"/>
        <v>9.7230000000000008</v>
      </c>
    </row>
    <row r="209" spans="1:210" ht="19.2" customHeight="1" x14ac:dyDescent="0.3">
      <c r="A209" s="50">
        <v>201</v>
      </c>
      <c r="B209" s="51" t="s">
        <v>868</v>
      </c>
      <c r="C209" s="51" t="s">
        <v>852</v>
      </c>
      <c r="D209" s="52">
        <v>5</v>
      </c>
      <c r="E209" s="52">
        <v>2</v>
      </c>
      <c r="F209" s="63">
        <v>40</v>
      </c>
      <c r="G209" s="54" t="s">
        <v>148</v>
      </c>
      <c r="H209" s="181" t="s">
        <v>49</v>
      </c>
      <c r="I209" s="55">
        <f t="shared" si="249"/>
        <v>1706.1</v>
      </c>
      <c r="J209" s="55">
        <f t="shared" si="229"/>
        <v>0</v>
      </c>
      <c r="K209" s="55">
        <f t="shared" si="230"/>
        <v>0</v>
      </c>
      <c r="L209" s="56">
        <v>1706.1</v>
      </c>
      <c r="M209" s="56">
        <v>1706.1</v>
      </c>
      <c r="N209" s="56">
        <f t="shared" si="250"/>
        <v>1706.1</v>
      </c>
      <c r="O209" s="56">
        <v>0</v>
      </c>
      <c r="P209" s="56">
        <v>0</v>
      </c>
      <c r="Q209" s="55"/>
      <c r="R209" s="55">
        <v>1706.1</v>
      </c>
      <c r="S209" s="55"/>
      <c r="T209" s="55">
        <v>0</v>
      </c>
      <c r="U209" s="152">
        <v>1706.1</v>
      </c>
      <c r="V209" s="57">
        <v>0.1777</v>
      </c>
      <c r="W209" s="153">
        <v>0.1009</v>
      </c>
      <c r="X209" s="57">
        <v>0.30570000000000003</v>
      </c>
      <c r="Y209" s="57">
        <v>7.2900000000000006E-2</v>
      </c>
      <c r="Z209" s="153">
        <v>2.64E-2</v>
      </c>
      <c r="AA209" s="57">
        <v>0.34139999999999998</v>
      </c>
      <c r="AB209" s="153">
        <v>0</v>
      </c>
      <c r="AC209" s="57">
        <v>0.63149999999999995</v>
      </c>
      <c r="AD209" s="57">
        <v>0.18540000000000001</v>
      </c>
      <c r="AE209" s="57">
        <v>0</v>
      </c>
      <c r="AF209" s="57">
        <v>2.4338000000000002</v>
      </c>
      <c r="AG209" s="57">
        <v>0.23849999999999999</v>
      </c>
      <c r="AH209" s="57">
        <v>0.36980000000000002</v>
      </c>
      <c r="AI209" s="153">
        <v>7.4800000000000005E-2</v>
      </c>
      <c r="AJ209" s="153">
        <v>0.1042</v>
      </c>
      <c r="AK209" s="153">
        <v>5.1200000000000002E-2</v>
      </c>
      <c r="AL209" s="57">
        <v>0.1143</v>
      </c>
      <c r="AM209" s="153">
        <v>3.2000000000000001E-2</v>
      </c>
      <c r="AN209" s="57">
        <v>0</v>
      </c>
      <c r="AO209" s="153">
        <v>1.6738</v>
      </c>
      <c r="AP209" s="57">
        <v>0.93640000000000001</v>
      </c>
      <c r="AQ209" s="57">
        <v>8.9099999999999999E-2</v>
      </c>
      <c r="AR209" s="153">
        <v>0.39229999999999998</v>
      </c>
      <c r="AS209" s="57">
        <v>5.0999999999999997E-2</v>
      </c>
      <c r="AT209" s="57">
        <v>8.3000000000000001E-3</v>
      </c>
      <c r="AU209" s="153">
        <v>0.3246</v>
      </c>
      <c r="AV209" s="153">
        <v>0</v>
      </c>
      <c r="AW209" s="154">
        <v>8.7360000000000007</v>
      </c>
      <c r="AX209" s="58">
        <v>0.43680000000000002</v>
      </c>
      <c r="AY209" s="155">
        <f t="shared" si="231"/>
        <v>0.43230000000000002</v>
      </c>
      <c r="AZ209" s="155">
        <f t="shared" si="232"/>
        <v>4.500000000000004E-3</v>
      </c>
      <c r="BA209" s="14">
        <v>9.1728000000000005</v>
      </c>
      <c r="BB209" s="59">
        <f>BA209-'[1]Тариф 26 свод без  ПДВ'!AU209</f>
        <v>4.5999999999999375E-3</v>
      </c>
      <c r="BC209" s="57">
        <v>0</v>
      </c>
      <c r="BD209" s="57">
        <v>0</v>
      </c>
      <c r="BE209" s="57">
        <v>0</v>
      </c>
      <c r="BF209" s="156">
        <v>8.7360000000000007</v>
      </c>
      <c r="BG209" s="59">
        <v>0.43680000000000002</v>
      </c>
      <c r="BH209" s="59"/>
      <c r="BI209" s="59"/>
      <c r="BJ209" s="14">
        <v>9.1728000000000005</v>
      </c>
      <c r="BK209" s="60"/>
      <c r="BL209" s="60">
        <v>5.4089</v>
      </c>
      <c r="BM209" s="60">
        <v>0.27039999999999997</v>
      </c>
      <c r="BN209" s="14">
        <v>5.6792999999999996</v>
      </c>
      <c r="BO209" s="14"/>
      <c r="BP209" s="157"/>
      <c r="BQ209" s="158">
        <f>BJ209-'[1]Тариф 26 свод без  ПДВ'!BG209</f>
        <v>4.5999999999999375E-3</v>
      </c>
      <c r="BR209" s="77">
        <f>'[1]Тариф 26 свод без  ПДВ'!BG209</f>
        <v>9.1682000000000006</v>
      </c>
      <c r="BS209" s="159">
        <f t="shared" si="233"/>
        <v>4.5999999999999375E-3</v>
      </c>
      <c r="BU209" s="77">
        <f>'[1]Тариф 26 свод без  ПДВ'!AU209</f>
        <v>9.1682000000000006</v>
      </c>
      <c r="BV209" s="159">
        <f t="shared" si="234"/>
        <v>4.5999999999999375E-3</v>
      </c>
      <c r="BX209" s="95">
        <v>4.5552000000000001</v>
      </c>
      <c r="BY209" s="95">
        <v>4.5552000000000001</v>
      </c>
      <c r="BZ209" s="95"/>
      <c r="CA209" s="62">
        <f t="shared" si="235"/>
        <v>2.0136986301369864</v>
      </c>
      <c r="CB209" s="62">
        <f t="shared" si="236"/>
        <v>2.0136986301369864</v>
      </c>
      <c r="CI209" s="160">
        <f>'[1]0 СВОД'!AYY224</f>
        <v>15650.109157185008</v>
      </c>
      <c r="CJ209" s="77">
        <f t="shared" si="237"/>
        <v>187801.30988622009</v>
      </c>
      <c r="CM209" s="161">
        <v>206</v>
      </c>
      <c r="CN209" s="162" t="s">
        <v>869</v>
      </c>
      <c r="CO209" s="163">
        <v>5</v>
      </c>
      <c r="CP209" s="163">
        <v>2</v>
      </c>
      <c r="CQ209" s="164" t="s">
        <v>148</v>
      </c>
      <c r="CR209" s="165" t="s">
        <v>49</v>
      </c>
      <c r="CS209" s="166">
        <v>1704.2</v>
      </c>
      <c r="CT209" s="166">
        <v>0</v>
      </c>
      <c r="CU209" s="167">
        <v>0</v>
      </c>
      <c r="CV209" s="168">
        <v>1704.2</v>
      </c>
      <c r="CW209" s="166">
        <v>1704.2</v>
      </c>
      <c r="CX209" s="167">
        <v>0</v>
      </c>
      <c r="CY209" s="166">
        <v>0</v>
      </c>
      <c r="CZ209" s="166"/>
      <c r="DA209" s="166">
        <v>1704.2</v>
      </c>
      <c r="DB209" s="166"/>
      <c r="DC209" s="166">
        <v>0</v>
      </c>
      <c r="DD209" s="59">
        <v>0.17519999999999999</v>
      </c>
      <c r="DE209" s="59">
        <v>0.1883</v>
      </c>
      <c r="DF209" s="59">
        <v>0.20100000000000001</v>
      </c>
      <c r="DG209" s="59">
        <v>4.2900000000000001E-2</v>
      </c>
      <c r="DH209" s="59">
        <v>9.9000000000000008E-3</v>
      </c>
      <c r="DI209" s="59">
        <v>0.14530000000000001</v>
      </c>
      <c r="DJ209" s="59">
        <v>4.8099999999999997E-2</v>
      </c>
      <c r="DK209" s="59">
        <v>0.3458</v>
      </c>
      <c r="DL209" s="169">
        <v>0</v>
      </c>
      <c r="DM209" s="59">
        <v>0.1129</v>
      </c>
      <c r="DN209" s="169">
        <v>0</v>
      </c>
      <c r="DO209" s="170">
        <v>1.2613000000000001</v>
      </c>
      <c r="DP209" s="171">
        <f t="shared" si="238"/>
        <v>2.4338000000000002</v>
      </c>
      <c r="DQ209" s="59">
        <v>0.1172</v>
      </c>
      <c r="DR209" s="59">
        <v>0.24590000000000001</v>
      </c>
      <c r="DS209" s="59">
        <v>1.9199999999999998E-2</v>
      </c>
      <c r="DT209" s="59">
        <v>4.9099999999999998E-2</v>
      </c>
      <c r="DU209" s="59">
        <v>2.1600000000000001E-2</v>
      </c>
      <c r="DV209" s="59">
        <v>3.95E-2</v>
      </c>
      <c r="DW209" s="59">
        <v>8.5000000000000006E-3</v>
      </c>
      <c r="DX209" s="169">
        <v>0</v>
      </c>
      <c r="DY209" s="59">
        <v>0.82089999999999996</v>
      </c>
      <c r="DZ209" s="171">
        <f t="shared" si="239"/>
        <v>2.0389816055548788</v>
      </c>
      <c r="EA209" s="59">
        <v>0.57069999999999999</v>
      </c>
      <c r="EB209" s="171">
        <f t="shared" si="240"/>
        <v>1.7969160679866831</v>
      </c>
      <c r="EC209" s="59">
        <v>0.2074</v>
      </c>
      <c r="ED209" s="171">
        <f t="shared" si="241"/>
        <v>1.8915139826422371</v>
      </c>
      <c r="EE209" s="59">
        <v>3.9100000000000003E-2</v>
      </c>
      <c r="EF209" s="59">
        <v>5.4000000000000003E-3</v>
      </c>
      <c r="EG209" s="59">
        <v>0.26769999999999999</v>
      </c>
      <c r="EH209" s="59">
        <v>0</v>
      </c>
      <c r="EI209" s="208">
        <v>0.1236</v>
      </c>
      <c r="EJ209" s="172">
        <v>5.0665000000000004</v>
      </c>
      <c r="EK209" s="173"/>
      <c r="EL209" s="169">
        <v>0</v>
      </c>
      <c r="EM209" s="169">
        <v>0</v>
      </c>
      <c r="EN209" s="59"/>
      <c r="EO209" s="172"/>
      <c r="ES209" s="57">
        <f t="shared" si="251"/>
        <v>5.0665000000000004</v>
      </c>
      <c r="ET209" s="57">
        <f t="shared" si="252"/>
        <v>0</v>
      </c>
      <c r="EU209" s="31"/>
      <c r="EV209" s="61">
        <f t="shared" si="242"/>
        <v>1.810480607914734</v>
      </c>
      <c r="EW209" s="62"/>
      <c r="EX209" s="158">
        <f t="shared" si="277"/>
        <v>-2.5610175000000002</v>
      </c>
      <c r="EY209" s="77">
        <f t="shared" si="278"/>
        <v>6.8093760000000012</v>
      </c>
      <c r="EZ209" s="158">
        <f t="shared" si="243"/>
        <v>9.1728000000000005</v>
      </c>
      <c r="FA209" s="158">
        <f t="shared" si="244"/>
        <v>9.1728000000000005</v>
      </c>
      <c r="FH209" s="174">
        <f t="shared" si="274"/>
        <v>15649.71408</v>
      </c>
      <c r="FJ209" s="87">
        <v>1.3926773907036418</v>
      </c>
      <c r="FK209" s="176">
        <f t="shared" si="254"/>
        <v>1.2999999999999998</v>
      </c>
      <c r="FM209" s="87" t="e">
        <f t="shared" si="255"/>
        <v>#DIV/0!</v>
      </c>
      <c r="FO209" s="88">
        <f t="shared" si="245"/>
        <v>15649.71408</v>
      </c>
      <c r="FP209" s="79">
        <f t="shared" si="246"/>
        <v>0</v>
      </c>
      <c r="FS209" s="79">
        <f t="shared" si="247"/>
        <v>8643.9556499999999</v>
      </c>
      <c r="FT209" s="79">
        <f t="shared" si="248"/>
        <v>0</v>
      </c>
      <c r="FU209" s="79">
        <f t="shared" si="256"/>
        <v>1.810480607914734</v>
      </c>
      <c r="FV209" s="79" t="e">
        <f t="shared" si="256"/>
        <v>#DIV/0!</v>
      </c>
      <c r="FY209" s="79">
        <f t="shared" si="257"/>
        <v>15649.71408</v>
      </c>
      <c r="FZ209" s="79">
        <f t="shared" si="258"/>
        <v>0</v>
      </c>
      <c r="GB209" s="178">
        <f t="shared" si="259"/>
        <v>1706.1</v>
      </c>
      <c r="GC209" s="178">
        <f t="shared" si="260"/>
        <v>0</v>
      </c>
      <c r="GG209" s="14">
        <v>7.2230000000000008</v>
      </c>
      <c r="GH209" s="175">
        <f t="shared" si="261"/>
        <v>1.2699432368821819</v>
      </c>
      <c r="GI209" s="14">
        <v>7.2230000000000008</v>
      </c>
      <c r="GJ209" s="175">
        <f t="shared" si="262"/>
        <v>1.2699432368821819</v>
      </c>
      <c r="GK209" s="175">
        <f t="shared" si="263"/>
        <v>0</v>
      </c>
      <c r="GN209" s="14">
        <v>9.0943000000000005</v>
      </c>
      <c r="GO209" s="175">
        <f t="shared" si="264"/>
        <v>1.2590751765194517</v>
      </c>
      <c r="GP209" s="179">
        <f t="shared" si="265"/>
        <v>1.008631780345931</v>
      </c>
      <c r="GQ209" s="14">
        <v>9.0943000000000005</v>
      </c>
      <c r="GR209" s="175">
        <f t="shared" si="266"/>
        <v>1.2590751765194517</v>
      </c>
      <c r="GS209" s="175">
        <f t="shared" si="267"/>
        <v>1.008631780345931</v>
      </c>
      <c r="GV209" s="32">
        <f t="shared" si="268"/>
        <v>15649.71408</v>
      </c>
      <c r="GW209" s="32">
        <f t="shared" si="269"/>
        <v>0</v>
      </c>
      <c r="GX209" s="180">
        <f t="shared" si="270"/>
        <v>15649.71408</v>
      </c>
      <c r="GZ209" s="32">
        <f t="shared" si="271"/>
        <v>9.1728000000000005</v>
      </c>
      <c r="HA209" s="32" t="e">
        <f t="shared" si="272"/>
        <v>#DIV/0!</v>
      </c>
      <c r="HB209" s="32">
        <f t="shared" si="273"/>
        <v>9.1728000000000005</v>
      </c>
    </row>
    <row r="210" spans="1:210" ht="19.2" customHeight="1" x14ac:dyDescent="0.3">
      <c r="A210" s="50">
        <v>202</v>
      </c>
      <c r="B210" s="51" t="s">
        <v>870</v>
      </c>
      <c r="C210" s="51" t="s">
        <v>852</v>
      </c>
      <c r="D210" s="52">
        <v>5</v>
      </c>
      <c r="E210" s="52">
        <v>6</v>
      </c>
      <c r="F210" s="63">
        <v>90</v>
      </c>
      <c r="G210" s="54" t="s">
        <v>149</v>
      </c>
      <c r="H210" s="181" t="s">
        <v>49</v>
      </c>
      <c r="I210" s="55">
        <f t="shared" si="249"/>
        <v>4448.0999999999995</v>
      </c>
      <c r="J210" s="55">
        <f t="shared" si="229"/>
        <v>0</v>
      </c>
      <c r="K210" s="55">
        <f t="shared" si="230"/>
        <v>252.39</v>
      </c>
      <c r="L210" s="56">
        <v>4700.49</v>
      </c>
      <c r="M210" s="56">
        <v>4448.0999999999995</v>
      </c>
      <c r="N210" s="56">
        <f t="shared" si="250"/>
        <v>4448.0999999999995</v>
      </c>
      <c r="O210" s="56">
        <v>252.39</v>
      </c>
      <c r="P210" s="56">
        <v>0</v>
      </c>
      <c r="Q210" s="55"/>
      <c r="R210" s="55">
        <v>4700.49</v>
      </c>
      <c r="S210" s="55"/>
      <c r="T210" s="55">
        <v>0</v>
      </c>
      <c r="U210" s="152">
        <v>4700.49</v>
      </c>
      <c r="V210" s="57">
        <v>0.16569999999999999</v>
      </c>
      <c r="W210" s="153">
        <v>8.0500000000000002E-2</v>
      </c>
      <c r="X210" s="57">
        <v>0.3332</v>
      </c>
      <c r="Y210" s="57">
        <v>7.3899999999999993E-2</v>
      </c>
      <c r="Z210" s="153">
        <v>3.8300000000000001E-2</v>
      </c>
      <c r="AA210" s="57">
        <v>0.55730000000000002</v>
      </c>
      <c r="AB210" s="153">
        <v>0</v>
      </c>
      <c r="AC210" s="57">
        <v>0.63149999999999995</v>
      </c>
      <c r="AD210" s="57">
        <v>0.15140000000000001</v>
      </c>
      <c r="AE210" s="57">
        <v>0</v>
      </c>
      <c r="AF210" s="57">
        <v>2.4392</v>
      </c>
      <c r="AG210" s="57">
        <v>0.2079</v>
      </c>
      <c r="AH210" s="57">
        <v>0.28749999999999998</v>
      </c>
      <c r="AI210" s="153">
        <v>9.1399999999999995E-2</v>
      </c>
      <c r="AJ210" s="153">
        <v>9.2399999999999996E-2</v>
      </c>
      <c r="AK210" s="153">
        <v>7.4399999999999994E-2</v>
      </c>
      <c r="AL210" s="57">
        <v>0.21</v>
      </c>
      <c r="AM210" s="153">
        <v>3.1300000000000001E-2</v>
      </c>
      <c r="AN210" s="57">
        <v>0</v>
      </c>
      <c r="AO210" s="153">
        <v>2.0419999999999998</v>
      </c>
      <c r="AP210" s="57">
        <v>1.0310999999999999</v>
      </c>
      <c r="AQ210" s="57">
        <v>8.0600000000000005E-2</v>
      </c>
      <c r="AR210" s="153">
        <v>0.61570000000000003</v>
      </c>
      <c r="AS210" s="57">
        <v>2.75E-2</v>
      </c>
      <c r="AT210" s="57">
        <v>4.4999999999999997E-3</v>
      </c>
      <c r="AU210" s="153">
        <v>0.33279999999999998</v>
      </c>
      <c r="AV210" s="153">
        <v>0</v>
      </c>
      <c r="AW210" s="154">
        <v>9.6001000000000012</v>
      </c>
      <c r="AX210" s="58">
        <v>0.48</v>
      </c>
      <c r="AY210" s="155">
        <f t="shared" si="231"/>
        <v>0.47599999999999998</v>
      </c>
      <c r="AZ210" s="155">
        <f t="shared" si="232"/>
        <v>4.0000000000000036E-3</v>
      </c>
      <c r="BA210" s="14">
        <v>10.080100000000002</v>
      </c>
      <c r="BB210" s="59">
        <f>BA210-'[1]Тариф 26 свод без  ПДВ'!AU210</f>
        <v>0</v>
      </c>
      <c r="BC210" s="57">
        <v>0</v>
      </c>
      <c r="BD210" s="57">
        <v>0</v>
      </c>
      <c r="BE210" s="57">
        <v>0</v>
      </c>
      <c r="BF210" s="156">
        <v>9.6001000000000012</v>
      </c>
      <c r="BG210" s="59">
        <v>0.48</v>
      </c>
      <c r="BH210" s="59"/>
      <c r="BI210" s="59"/>
      <c r="BJ210" s="14">
        <v>10.080100000000002</v>
      </c>
      <c r="BK210" s="60"/>
      <c r="BL210" s="60">
        <v>5.5785</v>
      </c>
      <c r="BM210" s="60">
        <v>0.27889999999999998</v>
      </c>
      <c r="BN210" s="14">
        <v>5.8574000000000002</v>
      </c>
      <c r="BO210" s="14"/>
      <c r="BP210" s="157"/>
      <c r="BQ210" s="158">
        <f>BJ210-'[1]Тариф 26 свод без  ПДВ'!BG210</f>
        <v>0</v>
      </c>
      <c r="BR210" s="77">
        <f>'[1]Тариф 26 свод без  ПДВ'!BG210</f>
        <v>10.0801</v>
      </c>
      <c r="BS210" s="159">
        <f t="shared" si="233"/>
        <v>0</v>
      </c>
      <c r="BU210" s="77">
        <f>'[1]Тариф 26 свод без  ПДВ'!AU210</f>
        <v>10.0801</v>
      </c>
      <c r="BV210" s="159">
        <f t="shared" si="234"/>
        <v>0</v>
      </c>
      <c r="BX210" s="95">
        <v>4.1375000000000002</v>
      </c>
      <c r="BY210" s="95">
        <v>5.9565000000000001</v>
      </c>
      <c r="BZ210" s="95"/>
      <c r="CA210" s="182">
        <f t="shared" si="235"/>
        <v>2.4362779456193357</v>
      </c>
      <c r="CB210" s="182">
        <f t="shared" si="236"/>
        <v>1.6922857382691181</v>
      </c>
      <c r="CD210" s="160">
        <f>L210-CE210</f>
        <v>4700.49</v>
      </c>
      <c r="CE210" s="160">
        <f>T210</f>
        <v>0</v>
      </c>
      <c r="CF210" s="77">
        <f>CD210*BA210</f>
        <v>47381.409249000004</v>
      </c>
      <c r="CG210" s="77">
        <f>BJ210*CE210</f>
        <v>0</v>
      </c>
      <c r="CI210" s="160">
        <f>'[1]0 СВОД'!AYY225</f>
        <v>46314.781190959729</v>
      </c>
      <c r="CJ210" s="77">
        <f t="shared" si="237"/>
        <v>555777.37429151672</v>
      </c>
      <c r="CM210" s="161">
        <v>207</v>
      </c>
      <c r="CN210" s="162" t="s">
        <v>871</v>
      </c>
      <c r="CO210" s="163">
        <v>5</v>
      </c>
      <c r="CP210" s="163">
        <v>6</v>
      </c>
      <c r="CQ210" s="164" t="s">
        <v>149</v>
      </c>
      <c r="CR210" s="165" t="s">
        <v>49</v>
      </c>
      <c r="CS210" s="166">
        <v>4442.0099999999993</v>
      </c>
      <c r="CT210" s="166">
        <v>0</v>
      </c>
      <c r="CU210" s="167">
        <v>252.39</v>
      </c>
      <c r="CV210" s="168">
        <v>4694.3999999999996</v>
      </c>
      <c r="CW210" s="166">
        <v>4442.0099999999993</v>
      </c>
      <c r="CX210" s="167">
        <v>252.39</v>
      </c>
      <c r="CY210" s="166">
        <v>3.4106051316484809E-13</v>
      </c>
      <c r="CZ210" s="166"/>
      <c r="DA210" s="166">
        <v>4694.3999999999996</v>
      </c>
      <c r="DB210" s="166"/>
      <c r="DC210" s="166">
        <v>0</v>
      </c>
      <c r="DD210" s="59">
        <v>0.1638</v>
      </c>
      <c r="DE210" s="59">
        <v>0.13500000000000001</v>
      </c>
      <c r="DF210" s="59">
        <v>0.21940000000000001</v>
      </c>
      <c r="DG210" s="59">
        <v>4.36E-2</v>
      </c>
      <c r="DH210" s="59">
        <v>1.44E-2</v>
      </c>
      <c r="DI210" s="59">
        <v>0.24560000000000001</v>
      </c>
      <c r="DJ210" s="59">
        <v>4.8099999999999997E-2</v>
      </c>
      <c r="DK210" s="59">
        <v>0.3458</v>
      </c>
      <c r="DL210" s="169">
        <v>0</v>
      </c>
      <c r="DM210" s="59">
        <v>9.2299999999999993E-2</v>
      </c>
      <c r="DN210" s="169">
        <v>0</v>
      </c>
      <c r="DO210" s="170">
        <v>1.2850999999999999</v>
      </c>
      <c r="DP210" s="171">
        <f t="shared" si="238"/>
        <v>2.4392</v>
      </c>
      <c r="DQ210" s="59">
        <v>0.105</v>
      </c>
      <c r="DR210" s="59">
        <v>0.17630000000000001</v>
      </c>
      <c r="DS210" s="59">
        <v>2.3900000000000001E-2</v>
      </c>
      <c r="DT210" s="59">
        <v>4.3499999999999997E-2</v>
      </c>
      <c r="DU210" s="59">
        <v>3.1399999999999997E-2</v>
      </c>
      <c r="DV210" s="59">
        <v>7.3400000000000007E-2</v>
      </c>
      <c r="DW210" s="59">
        <v>8.0999999999999996E-3</v>
      </c>
      <c r="DX210" s="169">
        <v>0</v>
      </c>
      <c r="DY210" s="59">
        <v>1.1725000000000001</v>
      </c>
      <c r="DZ210" s="171">
        <f t="shared" si="239"/>
        <v>1.7415778251599143</v>
      </c>
      <c r="EA210" s="59">
        <v>0.6149</v>
      </c>
      <c r="EB210" s="171">
        <f t="shared" si="240"/>
        <v>1.8079362497967149</v>
      </c>
      <c r="EC210" s="59">
        <v>0.43919999999999998</v>
      </c>
      <c r="ED210" s="171">
        <f t="shared" si="241"/>
        <v>1.4018670309653918</v>
      </c>
      <c r="EE210" s="59">
        <v>2.1000000000000001E-2</v>
      </c>
      <c r="EF210" s="59">
        <v>2.8999999999999998E-3</v>
      </c>
      <c r="EG210" s="59">
        <v>0.32929999999999998</v>
      </c>
      <c r="EH210" s="59">
        <v>0</v>
      </c>
      <c r="EI210" s="208">
        <v>0.1409</v>
      </c>
      <c r="EJ210" s="172">
        <v>5.7754000000000003</v>
      </c>
      <c r="EK210" s="173"/>
      <c r="EL210" s="169">
        <v>0</v>
      </c>
      <c r="EM210" s="169">
        <v>0</v>
      </c>
      <c r="EN210" s="59"/>
      <c r="EO210" s="172"/>
      <c r="ES210" s="57">
        <f t="shared" si="251"/>
        <v>5.7754000000000003</v>
      </c>
      <c r="ET210" s="57">
        <f t="shared" si="252"/>
        <v>0</v>
      </c>
      <c r="EU210" s="31"/>
      <c r="EV210" s="65">
        <f t="shared" si="242"/>
        <v>1.7453509713612911</v>
      </c>
      <c r="EW210" s="62"/>
      <c r="EX210" s="158">
        <f t="shared" si="277"/>
        <v>-2.5432030000000019</v>
      </c>
      <c r="EY210" s="77">
        <f t="shared" si="278"/>
        <v>7.7621376000000009</v>
      </c>
      <c r="EZ210" s="158">
        <f t="shared" si="243"/>
        <v>10.080100000000002</v>
      </c>
      <c r="FA210" s="158">
        <f t="shared" si="244"/>
        <v>10.080100000000002</v>
      </c>
      <c r="FH210" s="174">
        <f t="shared" si="274"/>
        <v>47381.409249000004</v>
      </c>
      <c r="FJ210" s="87">
        <v>1.3260553381583957</v>
      </c>
      <c r="FK210" s="176">
        <f t="shared" si="254"/>
        <v>1.3161976888424629</v>
      </c>
      <c r="FM210" s="87" t="e">
        <f t="shared" si="255"/>
        <v>#DIV/0!</v>
      </c>
      <c r="FO210" s="88">
        <f t="shared" si="245"/>
        <v>47381.409249000004</v>
      </c>
      <c r="FP210" s="79">
        <f t="shared" si="246"/>
        <v>0</v>
      </c>
      <c r="FS210" s="79">
        <f t="shared" si="247"/>
        <v>27147.209945999999</v>
      </c>
      <c r="FT210" s="79">
        <f t="shared" si="248"/>
        <v>0</v>
      </c>
      <c r="FU210" s="79">
        <f t="shared" si="256"/>
        <v>1.7453509713612911</v>
      </c>
      <c r="FV210" s="79" t="e">
        <f t="shared" si="256"/>
        <v>#DIV/0!</v>
      </c>
      <c r="FY210" s="79">
        <f t="shared" si="257"/>
        <v>47381.409249000004</v>
      </c>
      <c r="FZ210" s="79">
        <f t="shared" si="258"/>
        <v>0</v>
      </c>
      <c r="GB210" s="178">
        <f t="shared" si="259"/>
        <v>4700.49</v>
      </c>
      <c r="GC210" s="178">
        <f t="shared" si="260"/>
        <v>0</v>
      </c>
      <c r="GG210" s="14">
        <v>7.9375</v>
      </c>
      <c r="GH210" s="175">
        <f t="shared" si="261"/>
        <v>1.2699338582677167</v>
      </c>
      <c r="GI210" s="14">
        <v>7.9375</v>
      </c>
      <c r="GJ210" s="175">
        <f t="shared" si="262"/>
        <v>1.2699338582677167</v>
      </c>
      <c r="GK210" s="175">
        <f t="shared" si="263"/>
        <v>0</v>
      </c>
      <c r="GN210" s="14">
        <v>10.207599999999999</v>
      </c>
      <c r="GO210" s="175">
        <f t="shared" si="264"/>
        <v>1.2859968503937007</v>
      </c>
      <c r="GP210" s="179">
        <f t="shared" si="265"/>
        <v>0.98750930679101867</v>
      </c>
      <c r="GQ210" s="14">
        <v>10.207599999999999</v>
      </c>
      <c r="GR210" s="175">
        <f t="shared" si="266"/>
        <v>1.2859968503937007</v>
      </c>
      <c r="GS210" s="175">
        <f t="shared" si="267"/>
        <v>0.98750930679101867</v>
      </c>
      <c r="GV210" s="32">
        <f t="shared" si="268"/>
        <v>47381.409249000004</v>
      </c>
      <c r="GW210" s="32">
        <f t="shared" si="269"/>
        <v>0</v>
      </c>
      <c r="GX210" s="180">
        <f t="shared" si="270"/>
        <v>47381.409249000004</v>
      </c>
      <c r="GZ210" s="32">
        <f t="shared" si="271"/>
        <v>10.080100000000002</v>
      </c>
      <c r="HA210" s="32" t="e">
        <f t="shared" si="272"/>
        <v>#DIV/0!</v>
      </c>
      <c r="HB210" s="32">
        <f t="shared" si="273"/>
        <v>10.080100000000002</v>
      </c>
    </row>
    <row r="211" spans="1:210" ht="19.2" customHeight="1" x14ac:dyDescent="0.3">
      <c r="A211" s="50">
        <v>203</v>
      </c>
      <c r="B211" s="51" t="s">
        <v>872</v>
      </c>
      <c r="C211" s="51" t="s">
        <v>852</v>
      </c>
      <c r="D211" s="52">
        <v>5</v>
      </c>
      <c r="E211" s="52">
        <v>6</v>
      </c>
      <c r="F211" s="63">
        <v>90</v>
      </c>
      <c r="G211" s="54" t="s">
        <v>150</v>
      </c>
      <c r="H211" s="181" t="s">
        <v>49</v>
      </c>
      <c r="I211" s="55">
        <f t="shared" si="249"/>
        <v>4475.74</v>
      </c>
      <c r="J211" s="55">
        <f t="shared" si="229"/>
        <v>0</v>
      </c>
      <c r="K211" s="55">
        <f t="shared" si="230"/>
        <v>0</v>
      </c>
      <c r="L211" s="56">
        <v>4475.74</v>
      </c>
      <c r="M211" s="56">
        <v>4475.74</v>
      </c>
      <c r="N211" s="56">
        <f t="shared" si="250"/>
        <v>4475.74</v>
      </c>
      <c r="O211" s="56">
        <v>0</v>
      </c>
      <c r="P211" s="56">
        <v>0</v>
      </c>
      <c r="Q211" s="55"/>
      <c r="R211" s="55">
        <v>4475.74</v>
      </c>
      <c r="S211" s="55"/>
      <c r="T211" s="55">
        <v>0</v>
      </c>
      <c r="U211" s="152">
        <v>4475.74</v>
      </c>
      <c r="V211" s="57">
        <v>0.15540000000000001</v>
      </c>
      <c r="W211" s="153">
        <v>8.4500000000000006E-2</v>
      </c>
      <c r="X211" s="57">
        <v>0.33189999999999997</v>
      </c>
      <c r="Y211" s="57">
        <v>0</v>
      </c>
      <c r="Z211" s="153">
        <v>3.1199999999999999E-2</v>
      </c>
      <c r="AA211" s="57">
        <v>0.57430000000000003</v>
      </c>
      <c r="AB211" s="153">
        <v>0</v>
      </c>
      <c r="AC211" s="57">
        <v>0.62080000000000002</v>
      </c>
      <c r="AD211" s="57">
        <v>0.28620000000000001</v>
      </c>
      <c r="AE211" s="57">
        <v>0</v>
      </c>
      <c r="AF211" s="57">
        <v>2.5484</v>
      </c>
      <c r="AG211" s="57">
        <v>0.2049</v>
      </c>
      <c r="AH211" s="57">
        <v>0.29980000000000001</v>
      </c>
      <c r="AI211" s="153">
        <v>9.0700000000000003E-2</v>
      </c>
      <c r="AJ211" s="153">
        <v>0</v>
      </c>
      <c r="AK211" s="153">
        <v>6.08E-2</v>
      </c>
      <c r="AL211" s="57">
        <v>0.2205</v>
      </c>
      <c r="AM211" s="153">
        <v>3.2199999999999999E-2</v>
      </c>
      <c r="AN211" s="57">
        <v>0</v>
      </c>
      <c r="AO211" s="153">
        <v>2.0663999999999998</v>
      </c>
      <c r="AP211" s="57">
        <v>1.0650999999999999</v>
      </c>
      <c r="AQ211" s="57">
        <v>8.7099999999999997E-2</v>
      </c>
      <c r="AR211" s="153">
        <v>0.60770000000000002</v>
      </c>
      <c r="AS211" s="57">
        <v>5.2200000000000003E-2</v>
      </c>
      <c r="AT211" s="57">
        <v>8.5000000000000006E-3</v>
      </c>
      <c r="AU211" s="153">
        <v>0.18970000000000001</v>
      </c>
      <c r="AV211" s="153">
        <v>0</v>
      </c>
      <c r="AW211" s="154">
        <v>9.6182999999999979</v>
      </c>
      <c r="AX211" s="58">
        <v>0.48089999999999999</v>
      </c>
      <c r="AY211" s="155">
        <f t="shared" si="231"/>
        <v>0.47660000000000002</v>
      </c>
      <c r="AZ211" s="155">
        <f t="shared" si="232"/>
        <v>4.2999999999999705E-3</v>
      </c>
      <c r="BA211" s="14">
        <v>10.099199999999998</v>
      </c>
      <c r="BB211" s="59">
        <f>BA211-'[1]Тариф 26 свод без  ПДВ'!AU211</f>
        <v>7.9999999999813554E-4</v>
      </c>
      <c r="BC211" s="57">
        <v>0</v>
      </c>
      <c r="BD211" s="57">
        <v>0</v>
      </c>
      <c r="BE211" s="57">
        <v>0</v>
      </c>
      <c r="BF211" s="156">
        <v>9.6182999999999979</v>
      </c>
      <c r="BG211" s="59">
        <v>0.48089999999999999</v>
      </c>
      <c r="BH211" s="59"/>
      <c r="BI211" s="59"/>
      <c r="BJ211" s="14">
        <v>10.099199999999998</v>
      </c>
      <c r="BK211" s="60"/>
      <c r="BL211" s="60">
        <v>5.6893999999999982</v>
      </c>
      <c r="BM211" s="60">
        <v>0.28449999999999998</v>
      </c>
      <c r="BN211" s="14">
        <v>5.9738999999999987</v>
      </c>
      <c r="BO211" s="14"/>
      <c r="BP211" s="157"/>
      <c r="BQ211" s="158">
        <f>BJ211-'[1]Тариф 26 свод без  ПДВ'!BG211</f>
        <v>7.9999999999813554E-4</v>
      </c>
      <c r="BR211" s="77">
        <f>'[1]Тариф 26 свод без  ПДВ'!BG211</f>
        <v>10.0984</v>
      </c>
      <c r="BS211" s="159">
        <f t="shared" si="233"/>
        <v>7.9999999999813554E-4</v>
      </c>
      <c r="BU211" s="77">
        <f>'[1]Тариф 26 свод без  ПДВ'!AU211</f>
        <v>10.0984</v>
      </c>
      <c r="BV211" s="159">
        <f t="shared" si="234"/>
        <v>7.9999999999813554E-4</v>
      </c>
      <c r="BX211" s="95">
        <v>3.8934000000000002</v>
      </c>
      <c r="BY211" s="95">
        <v>4.9623999999999997</v>
      </c>
      <c r="BZ211" s="95"/>
      <c r="CA211" s="182">
        <f t="shared" si="235"/>
        <v>2.5939281861611954</v>
      </c>
      <c r="CB211" s="182">
        <f t="shared" si="236"/>
        <v>2.0351442850233754</v>
      </c>
      <c r="CD211" s="160">
        <f>L211-CE211</f>
        <v>4475.74</v>
      </c>
      <c r="CE211" s="160">
        <f>T211</f>
        <v>0</v>
      </c>
      <c r="CF211" s="77">
        <f>CD211*BA211</f>
        <v>45201.393407999989</v>
      </c>
      <c r="CG211" s="77">
        <f>BJ211*CE211</f>
        <v>0</v>
      </c>
      <c r="CI211" s="160">
        <f>'[1]0 СВОД'!AYY226</f>
        <v>45201.003759817431</v>
      </c>
      <c r="CJ211" s="77">
        <f t="shared" si="237"/>
        <v>542412.0451178092</v>
      </c>
      <c r="CM211" s="161">
        <v>208</v>
      </c>
      <c r="CN211" s="183" t="s">
        <v>873</v>
      </c>
      <c r="CO211" s="163">
        <v>5</v>
      </c>
      <c r="CP211" s="163">
        <v>6</v>
      </c>
      <c r="CQ211" s="164" t="s">
        <v>150</v>
      </c>
      <c r="CR211" s="165" t="s">
        <v>49</v>
      </c>
      <c r="CS211" s="166">
        <v>4472.0200000000004</v>
      </c>
      <c r="CT211" s="166">
        <v>0</v>
      </c>
      <c r="CU211" s="167">
        <v>0</v>
      </c>
      <c r="CV211" s="168">
        <v>4472.0200000000004</v>
      </c>
      <c r="CW211" s="166">
        <v>4472.0200000000004</v>
      </c>
      <c r="CX211" s="167">
        <v>0</v>
      </c>
      <c r="CY211" s="166">
        <v>0</v>
      </c>
      <c r="CZ211" s="166"/>
      <c r="DA211" s="166">
        <v>4472.0200000000004</v>
      </c>
      <c r="DB211" s="166"/>
      <c r="DC211" s="166">
        <v>0</v>
      </c>
      <c r="DD211" s="59">
        <v>0.1527</v>
      </c>
      <c r="DE211" s="59">
        <v>0.13750000000000001</v>
      </c>
      <c r="DF211" s="59">
        <v>0.21840000000000001</v>
      </c>
      <c r="DG211" s="59">
        <v>0</v>
      </c>
      <c r="DH211" s="59">
        <v>1.17E-2</v>
      </c>
      <c r="DI211" s="59">
        <v>0.25240000000000001</v>
      </c>
      <c r="DJ211" s="59">
        <v>4.8099999999999997E-2</v>
      </c>
      <c r="DK211" s="59">
        <v>0.33839999999999998</v>
      </c>
      <c r="DL211" s="169">
        <v>0</v>
      </c>
      <c r="DM211" s="59">
        <v>0.15490000000000001</v>
      </c>
      <c r="DN211" s="169">
        <v>0</v>
      </c>
      <c r="DO211" s="184">
        <v>1.6991999999999998</v>
      </c>
      <c r="DP211" s="171">
        <f t="shared" si="238"/>
        <v>2.5484</v>
      </c>
      <c r="DQ211" s="59">
        <v>9.8699999999999996E-2</v>
      </c>
      <c r="DR211" s="59">
        <v>0.17949999999999999</v>
      </c>
      <c r="DS211" s="59">
        <v>2.3699999999999999E-2</v>
      </c>
      <c r="DT211" s="59">
        <v>0</v>
      </c>
      <c r="DU211" s="59">
        <v>2.5700000000000001E-2</v>
      </c>
      <c r="DV211" s="59">
        <v>7.1900000000000006E-2</v>
      </c>
      <c r="DW211" s="59">
        <v>8.5000000000000006E-3</v>
      </c>
      <c r="DX211" s="169">
        <v>0</v>
      </c>
      <c r="DY211" s="59">
        <v>1.2001999999999999</v>
      </c>
      <c r="DZ211" s="171">
        <f t="shared" si="239"/>
        <v>1.7217130478253624</v>
      </c>
      <c r="EA211" s="59">
        <v>0.64410000000000001</v>
      </c>
      <c r="EB211" s="171">
        <f t="shared" si="240"/>
        <v>1.7888526626300263</v>
      </c>
      <c r="EC211" s="59">
        <v>0.438</v>
      </c>
      <c r="ED211" s="171">
        <f t="shared" si="241"/>
        <v>1.3874429223744293</v>
      </c>
      <c r="EE211" s="59">
        <v>0.04</v>
      </c>
      <c r="EF211" s="59">
        <v>5.5999999999999999E-3</v>
      </c>
      <c r="EG211" s="59">
        <v>0.1623</v>
      </c>
      <c r="EH211" s="59">
        <v>0</v>
      </c>
      <c r="EI211" s="208">
        <v>0.14779999999999999</v>
      </c>
      <c r="EJ211" s="172">
        <v>6.0593000000000004</v>
      </c>
      <c r="EK211" s="173"/>
      <c r="EL211" s="169">
        <v>0</v>
      </c>
      <c r="EM211" s="169">
        <v>0</v>
      </c>
      <c r="EN211" s="59"/>
      <c r="EO211" s="172"/>
      <c r="ES211" s="57">
        <f t="shared" si="251"/>
        <v>6.0593000000000004</v>
      </c>
      <c r="ET211" s="57">
        <f t="shared" si="252"/>
        <v>0</v>
      </c>
      <c r="EU211" s="31"/>
      <c r="EV211" s="65">
        <f t="shared" si="242"/>
        <v>1.6667271797072265</v>
      </c>
      <c r="EW211" s="62"/>
      <c r="EX211" s="158">
        <f t="shared" si="277"/>
        <v>-2.1918134999999976</v>
      </c>
      <c r="EY211" s="77">
        <f t="shared" si="278"/>
        <v>8.1436992000000004</v>
      </c>
      <c r="EZ211" s="158">
        <f t="shared" si="243"/>
        <v>10.099199999999998</v>
      </c>
      <c r="FA211" s="158">
        <f t="shared" si="244"/>
        <v>10.099199999999998</v>
      </c>
      <c r="FH211" s="174">
        <f t="shared" si="274"/>
        <v>45201.393407999989</v>
      </c>
      <c r="FJ211" s="87">
        <v>1.2077467694288115</v>
      </c>
      <c r="FK211" s="176">
        <f t="shared" si="254"/>
        <v>1.3800303357428843</v>
      </c>
      <c r="FM211" s="87" t="e">
        <f t="shared" si="255"/>
        <v>#DIV/0!</v>
      </c>
      <c r="FO211" s="88">
        <f t="shared" si="245"/>
        <v>45201.393407999989</v>
      </c>
      <c r="FP211" s="79">
        <f t="shared" si="246"/>
        <v>0</v>
      </c>
      <c r="FS211" s="79">
        <f t="shared" si="247"/>
        <v>27119.851382000001</v>
      </c>
      <c r="FT211" s="79">
        <f t="shared" si="248"/>
        <v>0</v>
      </c>
      <c r="FU211" s="79">
        <f t="shared" si="256"/>
        <v>1.6667271797072265</v>
      </c>
      <c r="FV211" s="79" t="e">
        <f t="shared" si="256"/>
        <v>#DIV/0!</v>
      </c>
      <c r="FY211" s="79">
        <f t="shared" si="257"/>
        <v>45201.393407999989</v>
      </c>
      <c r="FZ211" s="79">
        <f t="shared" si="258"/>
        <v>0</v>
      </c>
      <c r="GB211" s="178">
        <f t="shared" si="259"/>
        <v>4475.74</v>
      </c>
      <c r="GC211" s="178">
        <f t="shared" si="260"/>
        <v>0</v>
      </c>
      <c r="GG211" s="14">
        <v>7.9526000000000003</v>
      </c>
      <c r="GH211" s="175">
        <f t="shared" si="261"/>
        <v>1.269924301486306</v>
      </c>
      <c r="GI211" s="14">
        <v>7.9526000000000003</v>
      </c>
      <c r="GJ211" s="175">
        <f t="shared" si="262"/>
        <v>1.269924301486306</v>
      </c>
      <c r="GK211" s="175">
        <f t="shared" si="263"/>
        <v>0</v>
      </c>
      <c r="GN211" s="14">
        <v>10.395499999999997</v>
      </c>
      <c r="GO211" s="175">
        <f t="shared" si="264"/>
        <v>1.3071825566481396</v>
      </c>
      <c r="GP211" s="179">
        <f t="shared" si="265"/>
        <v>0.97149728247799538</v>
      </c>
      <c r="GQ211" s="14">
        <v>10.395499999999997</v>
      </c>
      <c r="GR211" s="175">
        <f t="shared" si="266"/>
        <v>1.3071825566481396</v>
      </c>
      <c r="GS211" s="175">
        <f t="shared" si="267"/>
        <v>0.97149728247799538</v>
      </c>
      <c r="GV211" s="32">
        <f t="shared" si="268"/>
        <v>45201.393407999989</v>
      </c>
      <c r="GW211" s="32">
        <f t="shared" si="269"/>
        <v>0</v>
      </c>
      <c r="GX211" s="180">
        <f t="shared" si="270"/>
        <v>45201.393407999989</v>
      </c>
      <c r="GZ211" s="32">
        <f t="shared" si="271"/>
        <v>10.099199999999998</v>
      </c>
      <c r="HA211" s="32" t="e">
        <f t="shared" si="272"/>
        <v>#DIV/0!</v>
      </c>
      <c r="HB211" s="32">
        <f t="shared" si="273"/>
        <v>10.099199999999998</v>
      </c>
    </row>
    <row r="212" spans="1:210" ht="19.2" customHeight="1" x14ac:dyDescent="0.3">
      <c r="A212" s="50">
        <v>204</v>
      </c>
      <c r="B212" s="51" t="s">
        <v>874</v>
      </c>
      <c r="C212" s="51" t="s">
        <v>852</v>
      </c>
      <c r="D212" s="52">
        <v>5</v>
      </c>
      <c r="E212" s="52">
        <v>4</v>
      </c>
      <c r="F212" s="63">
        <v>60</v>
      </c>
      <c r="G212" s="54" t="s">
        <v>151</v>
      </c>
      <c r="H212" s="181" t="s">
        <v>49</v>
      </c>
      <c r="I212" s="55">
        <f t="shared" si="249"/>
        <v>2757.58</v>
      </c>
      <c r="J212" s="55">
        <f t="shared" si="229"/>
        <v>0</v>
      </c>
      <c r="K212" s="55">
        <f t="shared" si="230"/>
        <v>0</v>
      </c>
      <c r="L212" s="56">
        <v>2757.58</v>
      </c>
      <c r="M212" s="56">
        <v>2757.58</v>
      </c>
      <c r="N212" s="56">
        <f t="shared" si="250"/>
        <v>2757.58</v>
      </c>
      <c r="O212" s="56">
        <v>0</v>
      </c>
      <c r="P212" s="56">
        <v>0</v>
      </c>
      <c r="Q212" s="55"/>
      <c r="R212" s="55">
        <v>2757.58</v>
      </c>
      <c r="S212" s="55"/>
      <c r="T212" s="55">
        <v>0</v>
      </c>
      <c r="U212" s="152">
        <v>2757.58</v>
      </c>
      <c r="V212" s="57">
        <v>0.1666</v>
      </c>
      <c r="W212" s="153">
        <v>9.2399999999999996E-2</v>
      </c>
      <c r="X212" s="57">
        <v>0.32229999999999998</v>
      </c>
      <c r="Y212" s="57">
        <v>0</v>
      </c>
      <c r="Z212" s="153">
        <v>2.9000000000000001E-2</v>
      </c>
      <c r="AA212" s="57">
        <v>0.49880000000000002</v>
      </c>
      <c r="AB212" s="153">
        <v>0</v>
      </c>
      <c r="AC212" s="57">
        <v>0.62080000000000002</v>
      </c>
      <c r="AD212" s="57">
        <v>0.30969999999999998</v>
      </c>
      <c r="AE212" s="57">
        <v>0</v>
      </c>
      <c r="AF212" s="57">
        <v>2.59</v>
      </c>
      <c r="AG212" s="57">
        <v>0.22090000000000001</v>
      </c>
      <c r="AH212" s="57">
        <v>0.3276</v>
      </c>
      <c r="AI212" s="153">
        <v>8.7400000000000005E-2</v>
      </c>
      <c r="AJ212" s="153">
        <v>0</v>
      </c>
      <c r="AK212" s="153">
        <v>5.6399999999999999E-2</v>
      </c>
      <c r="AL212" s="57">
        <v>0.17199999999999999</v>
      </c>
      <c r="AM212" s="153">
        <v>3.3599999999999998E-2</v>
      </c>
      <c r="AN212" s="57">
        <v>0</v>
      </c>
      <c r="AO212" s="153">
        <v>2.3319999999999999</v>
      </c>
      <c r="AP212" s="57">
        <v>1.1476</v>
      </c>
      <c r="AQ212" s="57">
        <v>8.8599999999999998E-2</v>
      </c>
      <c r="AR212" s="153">
        <v>0.65569999999999995</v>
      </c>
      <c r="AS212" s="57">
        <v>5.2999999999999999E-2</v>
      </c>
      <c r="AT212" s="57">
        <v>8.6E-3</v>
      </c>
      <c r="AU212" s="153">
        <v>0.33029999999999998</v>
      </c>
      <c r="AV212" s="153">
        <v>0</v>
      </c>
      <c r="AW212" s="154">
        <v>10.143299999999998</v>
      </c>
      <c r="AX212" s="58">
        <v>0.50719999999999998</v>
      </c>
      <c r="AY212" s="155">
        <f t="shared" si="231"/>
        <v>0.50270000000000004</v>
      </c>
      <c r="AZ212" s="155">
        <f t="shared" si="232"/>
        <v>4.4999999999999485E-3</v>
      </c>
      <c r="BA212" s="14">
        <v>10.650499999999997</v>
      </c>
      <c r="BB212" s="59">
        <f>BA212-'[1]Тариф 26 свод без  ПДВ'!AU212</f>
        <v>3.0999999999981043E-3</v>
      </c>
      <c r="BC212" s="57">
        <v>0</v>
      </c>
      <c r="BD212" s="57">
        <v>0</v>
      </c>
      <c r="BE212" s="57">
        <v>0</v>
      </c>
      <c r="BF212" s="156">
        <v>10.143299999999998</v>
      </c>
      <c r="BG212" s="59">
        <v>0.50719999999999998</v>
      </c>
      <c r="BH212" s="59"/>
      <c r="BI212" s="59"/>
      <c r="BJ212" s="14">
        <v>10.650499999999997</v>
      </c>
      <c r="BK212" s="60"/>
      <c r="BL212" s="60">
        <v>5.6776999999999989</v>
      </c>
      <c r="BM212" s="60">
        <v>0.28389999999999999</v>
      </c>
      <c r="BN212" s="14">
        <v>5.9615999999999989</v>
      </c>
      <c r="BO212" s="14"/>
      <c r="BP212" s="157"/>
      <c r="BQ212" s="158">
        <f>BJ212-'[1]Тариф 26 свод без  ПДВ'!BG212</f>
        <v>3.0999999999981043E-3</v>
      </c>
      <c r="BR212" s="77">
        <f>'[1]Тариф 26 свод без  ПДВ'!BG212</f>
        <v>10.647399999999999</v>
      </c>
      <c r="BS212" s="159">
        <f t="shared" si="233"/>
        <v>3.0999999999981043E-3</v>
      </c>
      <c r="BU212" s="77">
        <f>'[1]Тариф 26 свод без  ПДВ'!AU212</f>
        <v>10.647399999999999</v>
      </c>
      <c r="BV212" s="159">
        <f t="shared" si="234"/>
        <v>3.0999999999981043E-3</v>
      </c>
      <c r="BX212" s="95">
        <v>4.2039999999999997</v>
      </c>
      <c r="BY212" s="95">
        <v>4.2039999999999997</v>
      </c>
      <c r="BZ212" s="95"/>
      <c r="CA212" s="62">
        <f t="shared" si="235"/>
        <v>2.5334205518553752</v>
      </c>
      <c r="CB212" s="62">
        <f t="shared" si="236"/>
        <v>2.5334205518553752</v>
      </c>
      <c r="CI212" s="160">
        <f>'[1]0 СВОД'!AYY227</f>
        <v>29368.974115687954</v>
      </c>
      <c r="CJ212" s="77">
        <f t="shared" si="237"/>
        <v>352427.68938825547</v>
      </c>
      <c r="CM212" s="161">
        <v>209</v>
      </c>
      <c r="CN212" s="183" t="s">
        <v>875</v>
      </c>
      <c r="CO212" s="163">
        <v>5</v>
      </c>
      <c r="CP212" s="163">
        <v>4</v>
      </c>
      <c r="CQ212" s="164" t="s">
        <v>151</v>
      </c>
      <c r="CR212" s="165" t="s">
        <v>49</v>
      </c>
      <c r="CS212" s="166">
        <v>2749.2</v>
      </c>
      <c r="CT212" s="166">
        <v>0</v>
      </c>
      <c r="CU212" s="167">
        <v>0</v>
      </c>
      <c r="CV212" s="168">
        <v>2749.2</v>
      </c>
      <c r="CW212" s="166">
        <v>2749.2</v>
      </c>
      <c r="CX212" s="167">
        <v>0</v>
      </c>
      <c r="CY212" s="166">
        <v>0</v>
      </c>
      <c r="CZ212" s="166"/>
      <c r="DA212" s="166">
        <v>2749.2</v>
      </c>
      <c r="DB212" s="166"/>
      <c r="DC212" s="166">
        <v>0</v>
      </c>
      <c r="DD212" s="59">
        <v>0.16400000000000001</v>
      </c>
      <c r="DE212" s="59">
        <v>0.15049999999999999</v>
      </c>
      <c r="DF212" s="59">
        <v>0.21249999999999999</v>
      </c>
      <c r="DG212" s="59">
        <v>0</v>
      </c>
      <c r="DH212" s="59">
        <v>1.09E-2</v>
      </c>
      <c r="DI212" s="59">
        <v>0.2177</v>
      </c>
      <c r="DJ212" s="59">
        <v>4.8099999999999997E-2</v>
      </c>
      <c r="DK212" s="59">
        <v>0.33839999999999998</v>
      </c>
      <c r="DL212" s="169">
        <v>0</v>
      </c>
      <c r="DM212" s="59">
        <v>0.16800000000000001</v>
      </c>
      <c r="DN212" s="169">
        <v>0</v>
      </c>
      <c r="DO212" s="184">
        <v>1.6128</v>
      </c>
      <c r="DP212" s="171">
        <f t="shared" si="238"/>
        <v>2.59</v>
      </c>
      <c r="DQ212" s="59">
        <v>0.1067</v>
      </c>
      <c r="DR212" s="59">
        <v>0.1966</v>
      </c>
      <c r="DS212" s="59">
        <v>2.2800000000000001E-2</v>
      </c>
      <c r="DT212" s="59">
        <v>0</v>
      </c>
      <c r="DU212" s="59">
        <v>2.3800000000000002E-2</v>
      </c>
      <c r="DV212" s="59">
        <v>6.0100000000000001E-2</v>
      </c>
      <c r="DW212" s="59">
        <v>9.1999999999999998E-3</v>
      </c>
      <c r="DX212" s="169">
        <v>0</v>
      </c>
      <c r="DY212" s="59">
        <v>1.224</v>
      </c>
      <c r="DZ212" s="171">
        <f t="shared" si="239"/>
        <v>1.9052287581699345</v>
      </c>
      <c r="EA212" s="59">
        <v>0.69259999999999999</v>
      </c>
      <c r="EB212" s="171">
        <f t="shared" si="240"/>
        <v>1.784868611030898</v>
      </c>
      <c r="EC212" s="59">
        <v>0.3901</v>
      </c>
      <c r="ED212" s="171">
        <f t="shared" si="241"/>
        <v>1.6808510638297871</v>
      </c>
      <c r="EE212" s="59">
        <v>4.07E-2</v>
      </c>
      <c r="EF212" s="59">
        <v>5.7000000000000002E-3</v>
      </c>
      <c r="EG212" s="59">
        <v>0.29480000000000001</v>
      </c>
      <c r="EH212" s="59">
        <v>0</v>
      </c>
      <c r="EI212" s="208">
        <v>0.14979999999999999</v>
      </c>
      <c r="EJ212" s="172">
        <v>6.139800000000001</v>
      </c>
      <c r="EK212" s="173"/>
      <c r="EL212" s="169">
        <v>0</v>
      </c>
      <c r="EM212" s="169">
        <v>0</v>
      </c>
      <c r="EN212" s="59"/>
      <c r="EO212" s="172"/>
      <c r="ES212" s="57">
        <f t="shared" si="251"/>
        <v>6.139800000000001</v>
      </c>
      <c r="ET212" s="57">
        <f t="shared" si="252"/>
        <v>0</v>
      </c>
      <c r="EU212" s="31"/>
      <c r="EV212" s="65">
        <f t="shared" si="242"/>
        <v>1.7346656242874354</v>
      </c>
      <c r="EW212" s="62"/>
      <c r="EX212" s="158">
        <f t="shared" si="277"/>
        <v>-2.6380609999999969</v>
      </c>
      <c r="EY212" s="77">
        <f t="shared" si="278"/>
        <v>8.2518912000000011</v>
      </c>
      <c r="EZ212" s="158">
        <f t="shared" si="243"/>
        <v>10.650499999999997</v>
      </c>
      <c r="FA212" s="158">
        <f t="shared" si="244"/>
        <v>10.650499999999997</v>
      </c>
      <c r="FH212" s="174">
        <f t="shared" si="274"/>
        <v>29369.605789999991</v>
      </c>
      <c r="FJ212" s="87">
        <v>1.2422391608847192</v>
      </c>
      <c r="FK212" s="176">
        <f t="shared" si="254"/>
        <v>1.3964023023167387</v>
      </c>
      <c r="FM212" s="87" t="e">
        <f t="shared" si="255"/>
        <v>#DIV/0!</v>
      </c>
      <c r="FO212" s="88">
        <f t="shared" si="245"/>
        <v>29369.605789999991</v>
      </c>
      <c r="FP212" s="79">
        <f t="shared" si="246"/>
        <v>0</v>
      </c>
      <c r="FS212" s="79">
        <f t="shared" si="247"/>
        <v>16930.989684000004</v>
      </c>
      <c r="FT212" s="79">
        <f t="shared" si="248"/>
        <v>0</v>
      </c>
      <c r="FU212" s="79">
        <f t="shared" si="256"/>
        <v>1.7346656242874352</v>
      </c>
      <c r="FV212" s="79" t="e">
        <f t="shared" si="256"/>
        <v>#DIV/0!</v>
      </c>
      <c r="FY212" s="79">
        <f t="shared" si="257"/>
        <v>29369.605789999991</v>
      </c>
      <c r="FZ212" s="79">
        <f t="shared" si="258"/>
        <v>0</v>
      </c>
      <c r="GB212" s="178">
        <f t="shared" si="259"/>
        <v>2757.58</v>
      </c>
      <c r="GC212" s="178">
        <f t="shared" si="260"/>
        <v>0</v>
      </c>
      <c r="GG212" s="14">
        <v>8.3867999999999991</v>
      </c>
      <c r="GH212" s="175">
        <f t="shared" si="261"/>
        <v>1.2699122430486001</v>
      </c>
      <c r="GI212" s="14">
        <v>8.3867999999999991</v>
      </c>
      <c r="GJ212" s="175">
        <f t="shared" si="262"/>
        <v>1.2699122430486001</v>
      </c>
      <c r="GK212" s="175">
        <f t="shared" si="263"/>
        <v>0</v>
      </c>
      <c r="GN212" s="14">
        <v>10.785199999999998</v>
      </c>
      <c r="GO212" s="175">
        <f t="shared" si="264"/>
        <v>1.2859731959746268</v>
      </c>
      <c r="GP212" s="179">
        <f t="shared" si="265"/>
        <v>0.98751066276007859</v>
      </c>
      <c r="GQ212" s="14">
        <v>10.785199999999998</v>
      </c>
      <c r="GR212" s="175">
        <f t="shared" si="266"/>
        <v>1.2859731959746268</v>
      </c>
      <c r="GS212" s="175">
        <f t="shared" si="267"/>
        <v>0.98751066276007859</v>
      </c>
      <c r="GV212" s="32">
        <f t="shared" si="268"/>
        <v>29369.605789999991</v>
      </c>
      <c r="GW212" s="32">
        <f t="shared" si="269"/>
        <v>0</v>
      </c>
      <c r="GX212" s="180">
        <f t="shared" si="270"/>
        <v>29369.605789999991</v>
      </c>
      <c r="GZ212" s="32">
        <f t="shared" si="271"/>
        <v>10.650499999999997</v>
      </c>
      <c r="HA212" s="32" t="e">
        <f t="shared" si="272"/>
        <v>#DIV/0!</v>
      </c>
      <c r="HB212" s="32">
        <f t="shared" si="273"/>
        <v>10.650499999999997</v>
      </c>
    </row>
    <row r="213" spans="1:210" ht="19.2" customHeight="1" x14ac:dyDescent="0.3">
      <c r="A213" s="50">
        <v>205</v>
      </c>
      <c r="B213" s="51" t="s">
        <v>876</v>
      </c>
      <c r="C213" s="51" t="s">
        <v>852</v>
      </c>
      <c r="D213" s="52">
        <v>5</v>
      </c>
      <c r="E213" s="52">
        <v>6</v>
      </c>
      <c r="F213" s="63">
        <v>90</v>
      </c>
      <c r="G213" s="54" t="s">
        <v>152</v>
      </c>
      <c r="H213" s="181" t="s">
        <v>49</v>
      </c>
      <c r="I213" s="55">
        <f t="shared" si="249"/>
        <v>4461.6000000000004</v>
      </c>
      <c r="J213" s="55">
        <f t="shared" si="229"/>
        <v>0</v>
      </c>
      <c r="K213" s="55">
        <f t="shared" si="230"/>
        <v>0</v>
      </c>
      <c r="L213" s="56">
        <v>4461.6000000000004</v>
      </c>
      <c r="M213" s="56">
        <v>4461.6000000000004</v>
      </c>
      <c r="N213" s="56">
        <f t="shared" si="250"/>
        <v>4461.6000000000004</v>
      </c>
      <c r="O213" s="56">
        <v>0</v>
      </c>
      <c r="P213" s="56">
        <v>0</v>
      </c>
      <c r="Q213" s="55"/>
      <c r="R213" s="55">
        <v>4461.6000000000004</v>
      </c>
      <c r="S213" s="55"/>
      <c r="T213" s="55">
        <v>0</v>
      </c>
      <c r="U213" s="152">
        <v>4461.6000000000004</v>
      </c>
      <c r="V213" s="57">
        <v>0.15590000000000001</v>
      </c>
      <c r="W213" s="153">
        <v>8.48E-2</v>
      </c>
      <c r="X213" s="57">
        <v>0.3322</v>
      </c>
      <c r="Y213" s="57">
        <v>0</v>
      </c>
      <c r="Z213" s="153">
        <v>3.1300000000000001E-2</v>
      </c>
      <c r="AA213" s="57">
        <v>0.57609999999999995</v>
      </c>
      <c r="AB213" s="153">
        <v>0</v>
      </c>
      <c r="AC213" s="57">
        <v>0.62080000000000002</v>
      </c>
      <c r="AD213" s="57">
        <v>0.28710000000000002</v>
      </c>
      <c r="AE213" s="57">
        <v>0</v>
      </c>
      <c r="AF213" s="57">
        <v>1.9842</v>
      </c>
      <c r="AG213" s="57">
        <v>0.20549999999999999</v>
      </c>
      <c r="AH213" s="57">
        <v>0.30080000000000001</v>
      </c>
      <c r="AI213" s="153">
        <v>9.06E-2</v>
      </c>
      <c r="AJ213" s="153">
        <v>0</v>
      </c>
      <c r="AK213" s="153">
        <v>6.0999999999999999E-2</v>
      </c>
      <c r="AL213" s="57">
        <v>0.22120000000000001</v>
      </c>
      <c r="AM213" s="153">
        <v>3.2199999999999999E-2</v>
      </c>
      <c r="AN213" s="57">
        <v>0</v>
      </c>
      <c r="AO213" s="153">
        <v>3.2688000000000001</v>
      </c>
      <c r="AP213" s="57">
        <v>1.0503</v>
      </c>
      <c r="AQ213" s="57">
        <v>8.8200000000000001E-2</v>
      </c>
      <c r="AR213" s="153">
        <v>0.47199999999999998</v>
      </c>
      <c r="AS213" s="57">
        <v>5.1299999999999998E-2</v>
      </c>
      <c r="AT213" s="57">
        <v>8.3000000000000001E-3</v>
      </c>
      <c r="AU213" s="153">
        <v>0.16239999999999999</v>
      </c>
      <c r="AV213" s="153">
        <v>0</v>
      </c>
      <c r="AW213" s="154">
        <v>10.084999999999999</v>
      </c>
      <c r="AX213" s="58">
        <v>0.50429999999999997</v>
      </c>
      <c r="AY213" s="155">
        <f t="shared" si="231"/>
        <v>0.49980000000000002</v>
      </c>
      <c r="AZ213" s="155">
        <f t="shared" si="232"/>
        <v>4.4999999999999485E-3</v>
      </c>
      <c r="BA213" s="14">
        <v>10.5893</v>
      </c>
      <c r="BB213" s="59">
        <f>BA213-'[1]Тариф 26 свод без  ПДВ'!AU213</f>
        <v>9.9999999999766942E-5</v>
      </c>
      <c r="BC213" s="57">
        <v>0</v>
      </c>
      <c r="BD213" s="57">
        <v>0</v>
      </c>
      <c r="BE213" s="57">
        <v>0</v>
      </c>
      <c r="BF213" s="156">
        <v>10.084999999999999</v>
      </c>
      <c r="BG213" s="59">
        <v>0.50429999999999997</v>
      </c>
      <c r="BH213" s="59"/>
      <c r="BI213" s="59"/>
      <c r="BJ213" s="14">
        <v>10.5893</v>
      </c>
      <c r="BK213" s="60"/>
      <c r="BL213" s="60">
        <v>5.1314999999999991</v>
      </c>
      <c r="BM213" s="60">
        <v>0.25659999999999999</v>
      </c>
      <c r="BN213" s="14">
        <v>5.3880999999999988</v>
      </c>
      <c r="BO213" s="14"/>
      <c r="BP213" s="157"/>
      <c r="BQ213" s="158">
        <f>BJ213-'[1]Тариф 26 свод без  ПДВ'!BG213</f>
        <v>9.9999999999766942E-5</v>
      </c>
      <c r="BR213" s="77">
        <f>'[1]Тариф 26 свод без  ПДВ'!BG213</f>
        <v>10.5892</v>
      </c>
      <c r="BS213" s="159">
        <f t="shared" si="233"/>
        <v>9.9999999999766942E-5</v>
      </c>
      <c r="BU213" s="77">
        <f>'[1]Тариф 26 свод без  ПДВ'!AU213</f>
        <v>10.5892</v>
      </c>
      <c r="BV213" s="159">
        <f t="shared" si="234"/>
        <v>9.9999999999766942E-5</v>
      </c>
      <c r="BX213" s="95">
        <v>4.3273000000000001</v>
      </c>
      <c r="BY213" s="95">
        <v>4.3273000000000001</v>
      </c>
      <c r="BZ213" s="95"/>
      <c r="CA213" s="62">
        <f t="shared" si="235"/>
        <v>2.4470917200101678</v>
      </c>
      <c r="CB213" s="62">
        <f t="shared" si="236"/>
        <v>2.4470917200101678</v>
      </c>
      <c r="CI213" s="160">
        <f>'[1]0 СВОД'!AYY228</f>
        <v>47245.242044103456</v>
      </c>
      <c r="CJ213" s="77">
        <f t="shared" si="237"/>
        <v>566942.9045292415</v>
      </c>
      <c r="CM213" s="161">
        <v>210</v>
      </c>
      <c r="CN213" s="183" t="s">
        <v>877</v>
      </c>
      <c r="CO213" s="163">
        <v>5</v>
      </c>
      <c r="CP213" s="163">
        <v>6</v>
      </c>
      <c r="CQ213" s="164" t="s">
        <v>152</v>
      </c>
      <c r="CR213" s="165" t="s">
        <v>49</v>
      </c>
      <c r="CS213" s="166">
        <v>4459.34</v>
      </c>
      <c r="CT213" s="166">
        <v>0</v>
      </c>
      <c r="CU213" s="167">
        <v>0</v>
      </c>
      <c r="CV213" s="168">
        <v>4459.34</v>
      </c>
      <c r="CW213" s="166">
        <v>4459.34</v>
      </c>
      <c r="CX213" s="167">
        <v>0</v>
      </c>
      <c r="CY213" s="166">
        <v>0</v>
      </c>
      <c r="CZ213" s="166"/>
      <c r="DA213" s="166">
        <v>4459.34</v>
      </c>
      <c r="DB213" s="166"/>
      <c r="DC213" s="166">
        <v>0</v>
      </c>
      <c r="DD213" s="59">
        <v>0.15310000000000001</v>
      </c>
      <c r="DE213" s="59">
        <v>0.13789999999999999</v>
      </c>
      <c r="DF213" s="59">
        <v>0.2185</v>
      </c>
      <c r="DG213" s="59">
        <v>0</v>
      </c>
      <c r="DH213" s="59">
        <v>1.18E-2</v>
      </c>
      <c r="DI213" s="59">
        <v>0.25309999999999999</v>
      </c>
      <c r="DJ213" s="59">
        <v>4.8099999999999997E-2</v>
      </c>
      <c r="DK213" s="59">
        <v>0.33839999999999998</v>
      </c>
      <c r="DL213" s="169">
        <v>0</v>
      </c>
      <c r="DM213" s="59">
        <v>0.15540000000000001</v>
      </c>
      <c r="DN213" s="169">
        <v>0</v>
      </c>
      <c r="DO213" s="184">
        <v>1.2961</v>
      </c>
      <c r="DP213" s="171">
        <f t="shared" si="238"/>
        <v>1.9842</v>
      </c>
      <c r="DQ213" s="59">
        <v>9.9000000000000005E-2</v>
      </c>
      <c r="DR213" s="59">
        <v>0.18</v>
      </c>
      <c r="DS213" s="59">
        <v>2.3699999999999999E-2</v>
      </c>
      <c r="DT213" s="59">
        <v>0</v>
      </c>
      <c r="DU213" s="59">
        <v>2.5700000000000001E-2</v>
      </c>
      <c r="DV213" s="59">
        <v>7.2099999999999997E-2</v>
      </c>
      <c r="DW213" s="59">
        <v>8.6E-3</v>
      </c>
      <c r="DX213" s="169">
        <v>0</v>
      </c>
      <c r="DY213" s="59">
        <v>1.7275</v>
      </c>
      <c r="DZ213" s="171">
        <f t="shared" si="239"/>
        <v>1.8922141823444285</v>
      </c>
      <c r="EA213" s="59">
        <v>0.63549999999999995</v>
      </c>
      <c r="EB213" s="171">
        <f t="shared" si="240"/>
        <v>1.791502753737215</v>
      </c>
      <c r="EC213" s="59">
        <v>0.29149999999999998</v>
      </c>
      <c r="ED213" s="171">
        <f t="shared" si="241"/>
        <v>1.6192109777015438</v>
      </c>
      <c r="EE213" s="59">
        <v>3.9300000000000002E-2</v>
      </c>
      <c r="EF213" s="59">
        <v>5.4999999999999997E-3</v>
      </c>
      <c r="EG213" s="59">
        <v>0.13639999999999999</v>
      </c>
      <c r="EH213" s="59">
        <v>0</v>
      </c>
      <c r="EI213" s="208">
        <v>0.1464</v>
      </c>
      <c r="EJ213" s="172">
        <v>6.0036000000000005</v>
      </c>
      <c r="EK213" s="173"/>
      <c r="EL213" s="169">
        <v>0</v>
      </c>
      <c r="EM213" s="169">
        <v>0</v>
      </c>
      <c r="EN213" s="59"/>
      <c r="EO213" s="172"/>
      <c r="ES213" s="57">
        <f t="shared" si="251"/>
        <v>6.0036000000000005</v>
      </c>
      <c r="ET213" s="57">
        <f t="shared" si="252"/>
        <v>0</v>
      </c>
      <c r="EU213" s="31"/>
      <c r="EV213" s="61">
        <f t="shared" si="242"/>
        <v>1.7638250383103469</v>
      </c>
      <c r="EW213" s="62"/>
      <c r="EX213" s="158">
        <f t="shared" si="277"/>
        <v>-2.7546019999999993</v>
      </c>
      <c r="EY213" s="77">
        <f t="shared" si="278"/>
        <v>8.0688384000000006</v>
      </c>
      <c r="EZ213" s="158">
        <f t="shared" si="243"/>
        <v>10.5893</v>
      </c>
      <c r="FA213" s="158">
        <f t="shared" si="244"/>
        <v>10.5893</v>
      </c>
      <c r="FH213" s="174">
        <f t="shared" si="274"/>
        <v>47245.220880000001</v>
      </c>
      <c r="FJ213" s="87">
        <v>1.265257512159371</v>
      </c>
      <c r="FK213" s="176">
        <f t="shared" si="254"/>
        <v>1.3940443122128459</v>
      </c>
      <c r="FM213" s="87" t="e">
        <f t="shared" si="255"/>
        <v>#DIV/0!</v>
      </c>
      <c r="FO213" s="88">
        <f t="shared" si="245"/>
        <v>47245.220880000001</v>
      </c>
      <c r="FP213" s="79">
        <f t="shared" si="246"/>
        <v>0</v>
      </c>
      <c r="FS213" s="79">
        <f t="shared" si="247"/>
        <v>26785.661760000003</v>
      </c>
      <c r="FT213" s="79">
        <f t="shared" si="248"/>
        <v>0</v>
      </c>
      <c r="FU213" s="79">
        <f t="shared" si="256"/>
        <v>1.7638250383103469</v>
      </c>
      <c r="FV213" s="79" t="e">
        <f t="shared" si="256"/>
        <v>#DIV/0!</v>
      </c>
      <c r="FY213" s="79">
        <f t="shared" si="257"/>
        <v>47245.220880000001</v>
      </c>
      <c r="FZ213" s="79">
        <f t="shared" si="258"/>
        <v>0</v>
      </c>
      <c r="GB213" s="178">
        <f t="shared" si="259"/>
        <v>4461.6000000000004</v>
      </c>
      <c r="GC213" s="178">
        <f t="shared" si="260"/>
        <v>0</v>
      </c>
      <c r="GG213" s="14">
        <v>8.3384</v>
      </c>
      <c r="GH213" s="175">
        <f t="shared" si="261"/>
        <v>1.2699438741245321</v>
      </c>
      <c r="GI213" s="14">
        <v>8.3384</v>
      </c>
      <c r="GJ213" s="175">
        <f t="shared" si="262"/>
        <v>1.2699438741245321</v>
      </c>
      <c r="GK213" s="175">
        <f t="shared" si="263"/>
        <v>0</v>
      </c>
      <c r="GN213" s="14">
        <v>11.088200000000002</v>
      </c>
      <c r="GO213" s="175">
        <f t="shared" si="264"/>
        <v>1.3297754964981294</v>
      </c>
      <c r="GP213" s="179">
        <f t="shared" si="265"/>
        <v>0.95500622283147829</v>
      </c>
      <c r="GQ213" s="14">
        <v>11.088200000000002</v>
      </c>
      <c r="GR213" s="175">
        <f t="shared" si="266"/>
        <v>1.3297754964981294</v>
      </c>
      <c r="GS213" s="175">
        <f t="shared" si="267"/>
        <v>0.95500622283147829</v>
      </c>
      <c r="GV213" s="32">
        <f t="shared" si="268"/>
        <v>47245.220880000001</v>
      </c>
      <c r="GW213" s="32">
        <f t="shared" si="269"/>
        <v>0</v>
      </c>
      <c r="GX213" s="180">
        <f t="shared" si="270"/>
        <v>47245.220880000001</v>
      </c>
      <c r="GZ213" s="32">
        <f t="shared" si="271"/>
        <v>10.5893</v>
      </c>
      <c r="HA213" s="32" t="e">
        <f t="shared" si="272"/>
        <v>#DIV/0!</v>
      </c>
      <c r="HB213" s="32">
        <f t="shared" si="273"/>
        <v>10.5893</v>
      </c>
    </row>
    <row r="214" spans="1:210" ht="19.2" customHeight="1" x14ac:dyDescent="0.3">
      <c r="A214" s="50">
        <v>206</v>
      </c>
      <c r="B214" s="51" t="s">
        <v>878</v>
      </c>
      <c r="C214" s="51" t="s">
        <v>852</v>
      </c>
      <c r="D214" s="52">
        <v>14</v>
      </c>
      <c r="E214" s="52">
        <v>1</v>
      </c>
      <c r="F214" s="63">
        <v>84</v>
      </c>
      <c r="G214" s="54" t="s">
        <v>251</v>
      </c>
      <c r="H214" s="181" t="s">
        <v>249</v>
      </c>
      <c r="I214" s="55">
        <f t="shared" si="249"/>
        <v>188.99999999999991</v>
      </c>
      <c r="J214" s="55">
        <f t="shared" si="229"/>
        <v>3946.82</v>
      </c>
      <c r="K214" s="55">
        <f t="shared" si="230"/>
        <v>117.6</v>
      </c>
      <c r="L214" s="56">
        <v>4253.42</v>
      </c>
      <c r="M214" s="56">
        <v>4135.82</v>
      </c>
      <c r="N214" s="56">
        <f t="shared" si="250"/>
        <v>188.99999999999955</v>
      </c>
      <c r="O214" s="56">
        <v>117.6</v>
      </c>
      <c r="P214" s="56">
        <v>0</v>
      </c>
      <c r="Q214" s="55"/>
      <c r="R214" s="55">
        <v>4253.42</v>
      </c>
      <c r="S214" s="55"/>
      <c r="T214" s="55">
        <v>3946.82</v>
      </c>
      <c r="U214" s="152">
        <v>306.59999999999991</v>
      </c>
      <c r="V214" s="57">
        <v>0.16550000000000001</v>
      </c>
      <c r="W214" s="57">
        <v>0.1048</v>
      </c>
      <c r="X214" s="153">
        <v>0.28870000000000001</v>
      </c>
      <c r="Y214" s="153">
        <v>7.0499999999999993E-2</v>
      </c>
      <c r="Z214" s="57">
        <v>2.1100000000000001E-2</v>
      </c>
      <c r="AA214" s="57">
        <v>0.29470000000000002</v>
      </c>
      <c r="AB214" s="57">
        <v>0</v>
      </c>
      <c r="AC214" s="153">
        <v>0.63149999999999995</v>
      </c>
      <c r="AD214" s="57">
        <v>0.15620000000000001</v>
      </c>
      <c r="AE214" s="57">
        <v>0</v>
      </c>
      <c r="AF214" s="57">
        <v>1.8505</v>
      </c>
      <c r="AG214" s="57">
        <v>0.21110000000000001</v>
      </c>
      <c r="AH214" s="57">
        <v>0.3679</v>
      </c>
      <c r="AI214" s="57">
        <v>0.1231</v>
      </c>
      <c r="AJ214" s="57">
        <v>0.1234</v>
      </c>
      <c r="AK214" s="57">
        <v>4.1099999999999998E-2</v>
      </c>
      <c r="AL214" s="57">
        <v>9.98E-2</v>
      </c>
      <c r="AM214" s="57">
        <v>0</v>
      </c>
      <c r="AN214" s="57">
        <v>0</v>
      </c>
      <c r="AO214" s="57">
        <v>1.8748</v>
      </c>
      <c r="AP214" s="153">
        <v>1.8872</v>
      </c>
      <c r="AQ214" s="153">
        <v>5.7099999999999998E-2</v>
      </c>
      <c r="AR214" s="57">
        <v>0.35630000000000001</v>
      </c>
      <c r="AS214" s="57">
        <v>2.69E-2</v>
      </c>
      <c r="AT214" s="153">
        <v>4.4000000000000003E-3</v>
      </c>
      <c r="AU214" s="153">
        <v>0.67579999999999996</v>
      </c>
      <c r="AV214" s="153">
        <v>0</v>
      </c>
      <c r="AW214" s="154">
        <v>9.4323999999999995</v>
      </c>
      <c r="AX214" s="58">
        <v>0.47160000000000002</v>
      </c>
      <c r="AY214" s="155">
        <f t="shared" si="231"/>
        <v>0.46879999999999999</v>
      </c>
      <c r="AZ214" s="155">
        <f t="shared" si="232"/>
        <v>2.8000000000000247E-3</v>
      </c>
      <c r="BA214" s="14">
        <v>9.9039999999999999</v>
      </c>
      <c r="BB214" s="59">
        <f>BA214-'[1]Тариф 26 свод без  ПДВ'!AU214</f>
        <v>3.5000000000007248E-3</v>
      </c>
      <c r="BC214" s="57">
        <v>2.0802</v>
      </c>
      <c r="BD214" s="57">
        <v>0</v>
      </c>
      <c r="BE214" s="57">
        <v>0.78680000000000005</v>
      </c>
      <c r="BF214" s="156">
        <v>12.299399999999999</v>
      </c>
      <c r="BG214" s="59">
        <v>0.61499999999999999</v>
      </c>
      <c r="BH214" s="59"/>
      <c r="BI214" s="59"/>
      <c r="BJ214" s="14">
        <v>12.914399999999999</v>
      </c>
      <c r="BK214" s="60"/>
      <c r="BL214" s="60">
        <v>4.6382999999999992</v>
      </c>
      <c r="BM214" s="60">
        <v>0.2319</v>
      </c>
      <c r="BN214" s="14">
        <v>4.8701999999999988</v>
      </c>
      <c r="BO214" s="14"/>
      <c r="BP214" s="157"/>
      <c r="BQ214" s="158">
        <f>BJ214-'[1]Тариф 26 свод без  ПДВ'!BG214</f>
        <v>2.8999999999985704E-3</v>
      </c>
      <c r="BR214" s="77">
        <f>'[1]Тариф 26 свод без  ПДВ'!BG214</f>
        <v>12.9115</v>
      </c>
      <c r="BS214" s="159">
        <f t="shared" si="233"/>
        <v>2.8999999999985704E-3</v>
      </c>
      <c r="BU214" s="77">
        <f>'[1]Тариф 26 свод без  ПДВ'!AU214</f>
        <v>9.9004999999999992</v>
      </c>
      <c r="BV214" s="159">
        <f t="shared" si="234"/>
        <v>3.5000000000007248E-3</v>
      </c>
      <c r="BX214" s="95">
        <v>4.0518000000000001</v>
      </c>
      <c r="BY214" s="95">
        <v>4.0518000000000001</v>
      </c>
      <c r="BZ214" s="95"/>
      <c r="CA214" s="62">
        <f t="shared" si="235"/>
        <v>2.4443457228885928</v>
      </c>
      <c r="CB214" s="62">
        <f t="shared" si="236"/>
        <v>3.1873241522286389</v>
      </c>
      <c r="CI214" s="160">
        <f>'[1]0 СВОД'!AYY229</f>
        <v>53415.650457045573</v>
      </c>
      <c r="CJ214" s="77">
        <f t="shared" si="237"/>
        <v>640987.80548454681</v>
      </c>
      <c r="CM214" s="161">
        <v>211</v>
      </c>
      <c r="CN214" s="183" t="s">
        <v>879</v>
      </c>
      <c r="CO214" s="163">
        <v>14</v>
      </c>
      <c r="CP214" s="163">
        <v>1</v>
      </c>
      <c r="CQ214" s="164" t="s">
        <v>251</v>
      </c>
      <c r="CR214" s="165" t="s">
        <v>249</v>
      </c>
      <c r="CS214" s="166">
        <v>184.51000000000013</v>
      </c>
      <c r="CT214" s="166">
        <v>3949.9100000000003</v>
      </c>
      <c r="CU214" s="167">
        <v>117.6</v>
      </c>
      <c r="CV214" s="168">
        <v>4252.0200000000004</v>
      </c>
      <c r="CW214" s="166">
        <v>4134.42</v>
      </c>
      <c r="CX214" s="167">
        <v>117.6</v>
      </c>
      <c r="CY214" s="166">
        <v>3.694822225952521E-13</v>
      </c>
      <c r="CZ214" s="166"/>
      <c r="DA214" s="166">
        <v>4252.0200000000004</v>
      </c>
      <c r="DB214" s="166"/>
      <c r="DC214" s="166">
        <v>3949.9100000000003</v>
      </c>
      <c r="DD214" s="59">
        <v>0.16289999999999999</v>
      </c>
      <c r="DE214" s="59">
        <v>0.16869999999999999</v>
      </c>
      <c r="DF214" s="59">
        <v>0.1898</v>
      </c>
      <c r="DG214" s="59">
        <v>4.1500000000000002E-2</v>
      </c>
      <c r="DH214" s="59">
        <v>7.9000000000000008E-3</v>
      </c>
      <c r="DI214" s="59">
        <v>0.1222</v>
      </c>
      <c r="DJ214" s="59">
        <v>0</v>
      </c>
      <c r="DK214" s="59">
        <v>0.3458</v>
      </c>
      <c r="DL214" s="59">
        <v>3.8199999999999998E-2</v>
      </c>
      <c r="DM214" s="59">
        <v>9.5100000000000004E-2</v>
      </c>
      <c r="DN214" s="169">
        <v>0</v>
      </c>
      <c r="DO214" s="184">
        <v>1.2963</v>
      </c>
      <c r="DP214" s="171">
        <f t="shared" si="238"/>
        <v>1.8505</v>
      </c>
      <c r="DQ214" s="59">
        <v>0.1014</v>
      </c>
      <c r="DR214" s="59">
        <v>0.22040000000000001</v>
      </c>
      <c r="DS214" s="59">
        <v>3.2500000000000001E-2</v>
      </c>
      <c r="DT214" s="59">
        <v>5.8400000000000001E-2</v>
      </c>
      <c r="DU214" s="59">
        <v>1.7299999999999999E-2</v>
      </c>
      <c r="DV214" s="59">
        <v>3.4299999999999997E-2</v>
      </c>
      <c r="DW214" s="59">
        <v>0</v>
      </c>
      <c r="DX214" s="169">
        <v>0</v>
      </c>
      <c r="DY214" s="59">
        <v>0.91820000000000002</v>
      </c>
      <c r="DZ214" s="171">
        <f t="shared" si="239"/>
        <v>2.0418209540405141</v>
      </c>
      <c r="EA214" s="59">
        <v>1.0940000000000001</v>
      </c>
      <c r="EB214" s="171">
        <f t="shared" si="240"/>
        <v>1.7772394881170017</v>
      </c>
      <c r="EC214" s="59">
        <v>0.17280000000000001</v>
      </c>
      <c r="ED214" s="171">
        <f t="shared" si="241"/>
        <v>2.0619212962962963</v>
      </c>
      <c r="EE214" s="59">
        <v>2.06E-2</v>
      </c>
      <c r="EF214" s="59">
        <v>2.8999999999999998E-3</v>
      </c>
      <c r="EG214" s="59">
        <v>0.74490000000000001</v>
      </c>
      <c r="EH214" s="59">
        <v>0</v>
      </c>
      <c r="EI214" s="155">
        <v>0.1472</v>
      </c>
      <c r="EJ214" s="172">
        <v>6.0333000000000006</v>
      </c>
      <c r="EK214" s="173"/>
      <c r="EL214" s="59">
        <v>1.5246999999999999</v>
      </c>
      <c r="EM214" s="59">
        <v>0.47270000000000001</v>
      </c>
      <c r="EN214" s="59">
        <v>0.1971</v>
      </c>
      <c r="EO214" s="172">
        <v>8.0806000000000004</v>
      </c>
      <c r="ES214" s="57">
        <f t="shared" si="251"/>
        <v>6.0333000000000006</v>
      </c>
      <c r="ET214" s="57">
        <f t="shared" si="252"/>
        <v>8.0806000000000004</v>
      </c>
      <c r="EU214" s="31"/>
      <c r="EV214" s="61">
        <f t="shared" si="242"/>
        <v>1.641556030696302</v>
      </c>
      <c r="EW214" s="61">
        <f>BJ214/ET214</f>
        <v>1.598198153602455</v>
      </c>
      <c r="EX214" s="185">
        <v>7.8455000000000004</v>
      </c>
      <c r="EY214" s="174">
        <v>11.167299999999999</v>
      </c>
      <c r="EZ214" s="32">
        <f t="shared" si="243"/>
        <v>9.9039999999999999</v>
      </c>
      <c r="FA214" s="214">
        <f t="shared" si="244"/>
        <v>12.914399999999999</v>
      </c>
      <c r="FH214" s="174">
        <f t="shared" si="274"/>
        <v>42125.871680000004</v>
      </c>
      <c r="FJ214" s="87">
        <v>1.3409</v>
      </c>
      <c r="FK214" s="176">
        <f t="shared" si="254"/>
        <v>1.2242195769231874</v>
      </c>
      <c r="FL214" s="87">
        <v>1.4123000000000001</v>
      </c>
      <c r="FM214" s="87">
        <f t="shared" si="255"/>
        <v>1.1316279498707462</v>
      </c>
      <c r="FO214" s="88">
        <f t="shared" si="245"/>
        <v>42125.871680000004</v>
      </c>
      <c r="FP214" s="79">
        <f t="shared" si="246"/>
        <v>50970.812207999996</v>
      </c>
      <c r="FS214" s="79">
        <f t="shared" si="247"/>
        <v>25662.158886000001</v>
      </c>
      <c r="FT214" s="79">
        <f t="shared" si="248"/>
        <v>31892.673692000004</v>
      </c>
      <c r="FU214" s="79">
        <f t="shared" si="256"/>
        <v>1.6415560306963022</v>
      </c>
      <c r="FV214" s="79">
        <f t="shared" si="256"/>
        <v>1.598198153602455</v>
      </c>
      <c r="FY214" s="79">
        <f t="shared" si="257"/>
        <v>3036.5663999999992</v>
      </c>
      <c r="FZ214" s="79">
        <f t="shared" si="258"/>
        <v>50970.812207999996</v>
      </c>
      <c r="GB214" s="178">
        <f t="shared" si="259"/>
        <v>306.59999999999991</v>
      </c>
      <c r="GC214" s="178">
        <f t="shared" si="260"/>
        <v>3946.82</v>
      </c>
      <c r="GG214" s="14">
        <v>7.9176999999999991</v>
      </c>
      <c r="GH214" s="175">
        <f t="shared" si="261"/>
        <v>1.2508683077156246</v>
      </c>
      <c r="GI214" s="14">
        <v>11.346599999999999</v>
      </c>
      <c r="GJ214" s="175">
        <f t="shared" si="262"/>
        <v>1.138173549785839</v>
      </c>
      <c r="GK214" s="175">
        <f t="shared" si="263"/>
        <v>0.11269475792978567</v>
      </c>
      <c r="GN214" s="14">
        <v>9.5765000000000011</v>
      </c>
      <c r="GO214" s="175">
        <f t="shared" si="264"/>
        <v>1.2095052856258766</v>
      </c>
      <c r="GP214" s="179">
        <f t="shared" si="265"/>
        <v>1.0341982979167752</v>
      </c>
      <c r="GQ214" s="14">
        <v>12.322100000000002</v>
      </c>
      <c r="GR214" s="175">
        <f t="shared" si="266"/>
        <v>1.0859728905575241</v>
      </c>
      <c r="GS214" s="175">
        <f t="shared" si="267"/>
        <v>1.0480681052742631</v>
      </c>
      <c r="GV214" s="32">
        <f t="shared" si="268"/>
        <v>3036.5663999999992</v>
      </c>
      <c r="GW214" s="32">
        <f t="shared" si="269"/>
        <v>50970.812207999996</v>
      </c>
      <c r="GX214" s="180">
        <f t="shared" si="270"/>
        <v>54007.378607999992</v>
      </c>
      <c r="GZ214" s="32">
        <f t="shared" si="271"/>
        <v>9.9039999999999999</v>
      </c>
      <c r="HA214" s="32">
        <f t="shared" si="272"/>
        <v>12.914399999999999</v>
      </c>
      <c r="HB214" s="32">
        <f t="shared" si="273"/>
        <v>12.697400822867243</v>
      </c>
    </row>
    <row r="215" spans="1:210" ht="19.2" customHeight="1" x14ac:dyDescent="0.3">
      <c r="A215" s="50">
        <v>207</v>
      </c>
      <c r="B215" s="51" t="s">
        <v>880</v>
      </c>
      <c r="C215" s="51" t="s">
        <v>852</v>
      </c>
      <c r="D215" s="52">
        <v>9</v>
      </c>
      <c r="E215" s="52">
        <v>4</v>
      </c>
      <c r="F215" s="63">
        <v>132</v>
      </c>
      <c r="G215" s="54" t="s">
        <v>232</v>
      </c>
      <c r="H215" s="181" t="s">
        <v>179</v>
      </c>
      <c r="I215" s="55">
        <f t="shared" si="249"/>
        <v>885.63000000000011</v>
      </c>
      <c r="J215" s="55">
        <f t="shared" si="229"/>
        <v>6517.39</v>
      </c>
      <c r="K215" s="55">
        <f t="shared" si="230"/>
        <v>0</v>
      </c>
      <c r="L215" s="56">
        <v>7403.02</v>
      </c>
      <c r="M215" s="56">
        <v>7403.02</v>
      </c>
      <c r="N215" s="56">
        <f t="shared" si="250"/>
        <v>885.63000000000011</v>
      </c>
      <c r="O215" s="56">
        <v>0</v>
      </c>
      <c r="P215" s="56">
        <v>0</v>
      </c>
      <c r="Q215" s="55"/>
      <c r="R215" s="55">
        <v>7403.02</v>
      </c>
      <c r="S215" s="55"/>
      <c r="T215" s="55">
        <v>6517.39</v>
      </c>
      <c r="U215" s="152">
        <v>885.63000000000011</v>
      </c>
      <c r="V215" s="57">
        <v>0.13730000000000001</v>
      </c>
      <c r="W215" s="57">
        <v>6.9500000000000006E-2</v>
      </c>
      <c r="X215" s="153">
        <v>0.2601</v>
      </c>
      <c r="Y215" s="153">
        <v>6.9000000000000006E-2</v>
      </c>
      <c r="Z215" s="57">
        <v>2.3800000000000002E-2</v>
      </c>
      <c r="AA215" s="57">
        <v>0.23719999999999999</v>
      </c>
      <c r="AB215" s="57">
        <v>0</v>
      </c>
      <c r="AC215" s="153">
        <v>0.63149999999999995</v>
      </c>
      <c r="AD215" s="57">
        <v>0.14099999999999999</v>
      </c>
      <c r="AE215" s="57">
        <v>0</v>
      </c>
      <c r="AF215" s="57">
        <v>2.1898</v>
      </c>
      <c r="AG215" s="57">
        <v>0.18099999999999999</v>
      </c>
      <c r="AH215" s="57">
        <v>0.25080000000000002</v>
      </c>
      <c r="AI215" s="57">
        <v>0.1234</v>
      </c>
      <c r="AJ215" s="57">
        <v>9.69E-2</v>
      </c>
      <c r="AK215" s="57">
        <v>4.6199999999999998E-2</v>
      </c>
      <c r="AL215" s="57">
        <v>6.13E-2</v>
      </c>
      <c r="AM215" s="57">
        <v>2.3099999999999999E-2</v>
      </c>
      <c r="AN215" s="57">
        <v>0</v>
      </c>
      <c r="AO215" s="57">
        <v>1.6015999999999999</v>
      </c>
      <c r="AP215" s="153">
        <v>1.5770999999999999</v>
      </c>
      <c r="AQ215" s="153">
        <v>0.14779999999999999</v>
      </c>
      <c r="AR215" s="57">
        <v>0.42</v>
      </c>
      <c r="AS215" s="57">
        <v>5.5599999999999997E-2</v>
      </c>
      <c r="AT215" s="153">
        <v>8.9999999999999993E-3</v>
      </c>
      <c r="AU215" s="153">
        <v>0.22370000000000001</v>
      </c>
      <c r="AV215" s="153">
        <v>0</v>
      </c>
      <c r="AW215" s="154">
        <v>8.5766999999999989</v>
      </c>
      <c r="AX215" s="58">
        <v>0.42880000000000001</v>
      </c>
      <c r="AY215" s="155">
        <f t="shared" si="231"/>
        <v>0.4214</v>
      </c>
      <c r="AZ215" s="155">
        <f t="shared" si="232"/>
        <v>7.4000000000000177E-3</v>
      </c>
      <c r="BA215" s="14">
        <v>9.0054999999999996</v>
      </c>
      <c r="BB215" s="59">
        <f>BA215-'[1]Тариф 26 свод без  ПДВ'!AU215</f>
        <v>-3.3000000000011909E-3</v>
      </c>
      <c r="BC215" s="57">
        <v>2.1034000000000002</v>
      </c>
      <c r="BD215" s="57">
        <v>0</v>
      </c>
      <c r="BE215" s="57">
        <v>0.63529999999999998</v>
      </c>
      <c r="BF215" s="156">
        <v>11.3154</v>
      </c>
      <c r="BG215" s="59">
        <v>0.56579999999999997</v>
      </c>
      <c r="BH215" s="59"/>
      <c r="BI215" s="59"/>
      <c r="BJ215" s="14">
        <v>11.8812</v>
      </c>
      <c r="BK215" s="60"/>
      <c r="BL215" s="60">
        <v>4.7542999999999989</v>
      </c>
      <c r="BM215" s="60">
        <v>0.23769999999999999</v>
      </c>
      <c r="BN215" s="14">
        <v>4.9919999999999991</v>
      </c>
      <c r="BO215" s="14"/>
      <c r="BP215" s="157"/>
      <c r="BQ215" s="158">
        <f>BJ215-'[1]Тариф 26 свод без  ПДВ'!BG215</f>
        <v>1.7999999999993577E-3</v>
      </c>
      <c r="BR215" s="77">
        <f>'[1]Тариф 26 свод без  ПДВ'!BG215</f>
        <v>11.8794</v>
      </c>
      <c r="BS215" s="159">
        <f t="shared" si="233"/>
        <v>1.7999999999993577E-3</v>
      </c>
      <c r="BU215" s="77">
        <f>'[1]Тариф 26 свод без  ПДВ'!AU215</f>
        <v>9.0088000000000008</v>
      </c>
      <c r="BV215" s="159">
        <f t="shared" si="234"/>
        <v>-3.3000000000011909E-3</v>
      </c>
      <c r="BX215" s="95">
        <v>4.6195999999999993</v>
      </c>
      <c r="BY215" s="95">
        <v>4.6195999999999993</v>
      </c>
      <c r="BZ215" s="95"/>
      <c r="CA215" s="62">
        <f t="shared" si="235"/>
        <v>1.9494112044332845</v>
      </c>
      <c r="CB215" s="62">
        <f t="shared" si="236"/>
        <v>2.5719109879643263</v>
      </c>
      <c r="CI215" s="160">
        <f>'[1]0 СВОД'!AYY230</f>
        <v>85408.829610736182</v>
      </c>
      <c r="CJ215" s="77">
        <f t="shared" si="237"/>
        <v>1024905.9553288342</v>
      </c>
      <c r="CM215" s="161">
        <v>212</v>
      </c>
      <c r="CN215" s="183" t="s">
        <v>881</v>
      </c>
      <c r="CO215" s="163">
        <v>9</v>
      </c>
      <c r="CP215" s="163">
        <v>4</v>
      </c>
      <c r="CQ215" s="164" t="s">
        <v>232</v>
      </c>
      <c r="CR215" s="165" t="s">
        <v>179</v>
      </c>
      <c r="CS215" s="166">
        <v>886.05000000000018</v>
      </c>
      <c r="CT215" s="166">
        <v>6515.09</v>
      </c>
      <c r="CU215" s="167">
        <v>0</v>
      </c>
      <c r="CV215" s="168">
        <v>7401.14</v>
      </c>
      <c r="CW215" s="166">
        <v>7401.14</v>
      </c>
      <c r="CX215" s="167">
        <v>0</v>
      </c>
      <c r="CY215" s="166">
        <v>0</v>
      </c>
      <c r="CZ215" s="166"/>
      <c r="DA215" s="166">
        <v>7401.14</v>
      </c>
      <c r="DB215" s="166"/>
      <c r="DC215" s="166">
        <v>6515.09</v>
      </c>
      <c r="DD215" s="59">
        <v>0.13500000000000001</v>
      </c>
      <c r="DE215" s="59">
        <v>0.113</v>
      </c>
      <c r="DF215" s="59">
        <v>0.1711</v>
      </c>
      <c r="DG215" s="59">
        <v>4.07E-2</v>
      </c>
      <c r="DH215" s="59">
        <v>8.8999999999999999E-3</v>
      </c>
      <c r="DI215" s="59">
        <v>0.1017</v>
      </c>
      <c r="DJ215" s="59">
        <v>4.8099999999999997E-2</v>
      </c>
      <c r="DK215" s="59">
        <v>0.3458</v>
      </c>
      <c r="DL215" s="59">
        <v>2.1899999999999999E-2</v>
      </c>
      <c r="DM215" s="59">
        <v>8.5800000000000001E-2</v>
      </c>
      <c r="DN215" s="169">
        <v>0</v>
      </c>
      <c r="DO215" s="184">
        <v>1.54</v>
      </c>
      <c r="DP215" s="171">
        <f t="shared" si="238"/>
        <v>2.1898</v>
      </c>
      <c r="DQ215" s="59">
        <v>8.72E-2</v>
      </c>
      <c r="DR215" s="59">
        <v>0.15049999999999999</v>
      </c>
      <c r="DS215" s="59">
        <v>3.1600000000000003E-2</v>
      </c>
      <c r="DT215" s="59">
        <v>4.5600000000000002E-2</v>
      </c>
      <c r="DU215" s="59">
        <v>1.95E-2</v>
      </c>
      <c r="DV215" s="59">
        <v>2.1399999999999999E-2</v>
      </c>
      <c r="DW215" s="59">
        <v>4.1999999999999997E-3</v>
      </c>
      <c r="DX215" s="169">
        <v>0</v>
      </c>
      <c r="DY215" s="59">
        <v>0.83009999999999995</v>
      </c>
      <c r="DZ215" s="171">
        <f t="shared" si="239"/>
        <v>1.9294060956511263</v>
      </c>
      <c r="EA215" s="59">
        <v>0.93589999999999995</v>
      </c>
      <c r="EB215" s="171">
        <f t="shared" si="240"/>
        <v>1.8430387861951063</v>
      </c>
      <c r="EC215" s="59">
        <v>0.21299999999999999</v>
      </c>
      <c r="ED215" s="171">
        <f t="shared" si="241"/>
        <v>1.971830985915493</v>
      </c>
      <c r="EE215" s="59">
        <v>4.2500000000000003E-2</v>
      </c>
      <c r="EF215" s="59">
        <v>5.8999999999999999E-3</v>
      </c>
      <c r="EG215" s="59">
        <v>0.14949999999999999</v>
      </c>
      <c r="EH215" s="59">
        <v>0</v>
      </c>
      <c r="EI215" s="155">
        <v>0.12870000000000001</v>
      </c>
      <c r="EJ215" s="172">
        <v>5.2775999999999996</v>
      </c>
      <c r="EK215" s="173"/>
      <c r="EL215" s="59">
        <v>1.6733</v>
      </c>
      <c r="EM215" s="59">
        <v>0.28010000000000002</v>
      </c>
      <c r="EN215" s="59">
        <v>0.17760000000000001</v>
      </c>
      <c r="EO215" s="172">
        <v>7.2798999999999996</v>
      </c>
      <c r="ES215" s="57">
        <f t="shared" si="251"/>
        <v>5.2775999999999996</v>
      </c>
      <c r="ET215" s="57">
        <f t="shared" si="252"/>
        <v>7.2798999999999996</v>
      </c>
      <c r="EU215" s="31"/>
      <c r="EV215" s="61">
        <f t="shared" si="242"/>
        <v>1.7063627406396848</v>
      </c>
      <c r="EW215" s="61">
        <f>BJ215/ET215</f>
        <v>1.6320553853761728</v>
      </c>
      <c r="EX215" s="185">
        <v>7.0235000000000003</v>
      </c>
      <c r="EY215" s="174">
        <v>10.0283</v>
      </c>
      <c r="EZ215" s="158">
        <f t="shared" si="243"/>
        <v>9.0054999999999996</v>
      </c>
      <c r="FA215" s="158">
        <f t="shared" si="244"/>
        <v>11.8812</v>
      </c>
      <c r="FB215" s="158">
        <f>BA215-EX215</f>
        <v>1.9819999999999993</v>
      </c>
      <c r="FC215" s="158">
        <f>BJ215-EY215</f>
        <v>1.8529</v>
      </c>
      <c r="FD215" s="175">
        <f>FB215/EX215</f>
        <v>0.28219548658076449</v>
      </c>
      <c r="FE215" s="175">
        <f>FC215/FA215</f>
        <v>0.15595226071440596</v>
      </c>
      <c r="FH215" s="174">
        <f t="shared" si="274"/>
        <v>66667.896609999996</v>
      </c>
      <c r="FJ215" s="176">
        <v>1.3170999999999999</v>
      </c>
      <c r="FK215" s="176">
        <f t="shared" si="254"/>
        <v>1.2955453197476918</v>
      </c>
      <c r="FL215" s="87">
        <v>1.3675999999999999</v>
      </c>
      <c r="FM215" s="177">
        <f t="shared" si="255"/>
        <v>1.1933718816731302</v>
      </c>
      <c r="FO215" s="88">
        <f t="shared" si="245"/>
        <v>66667.896609999996</v>
      </c>
      <c r="FP215" s="79">
        <f t="shared" si="246"/>
        <v>77434.414067999998</v>
      </c>
      <c r="FS215" s="79">
        <f t="shared" si="247"/>
        <v>39070.178352000003</v>
      </c>
      <c r="FT215" s="79">
        <f t="shared" si="248"/>
        <v>47445.947460999996</v>
      </c>
      <c r="FU215" s="79">
        <f t="shared" si="256"/>
        <v>1.7063627406396844</v>
      </c>
      <c r="FV215" s="79">
        <f t="shared" si="256"/>
        <v>1.6320553853761728</v>
      </c>
      <c r="FY215" s="79">
        <f t="shared" si="257"/>
        <v>7975.5409650000011</v>
      </c>
      <c r="FZ215" s="79">
        <f t="shared" si="258"/>
        <v>77434.414067999998</v>
      </c>
      <c r="GB215" s="178">
        <f t="shared" si="259"/>
        <v>885.63000000000011</v>
      </c>
      <c r="GC215" s="178">
        <f t="shared" si="260"/>
        <v>6517.39</v>
      </c>
      <c r="GG215" s="14">
        <v>7.0913000000000004</v>
      </c>
      <c r="GH215" s="175">
        <f t="shared" si="261"/>
        <v>1.2699364009419993</v>
      </c>
      <c r="GI215" s="14">
        <v>10.305600000000002</v>
      </c>
      <c r="GJ215" s="175">
        <f t="shared" si="262"/>
        <v>1.1528877503493244</v>
      </c>
      <c r="GK215" s="175">
        <f t="shared" si="263"/>
        <v>0.11704865059267489</v>
      </c>
      <c r="GN215" s="14">
        <v>9.0555000000000003</v>
      </c>
      <c r="GO215" s="175">
        <f t="shared" si="264"/>
        <v>1.2769872942901865</v>
      </c>
      <c r="GP215" s="179">
        <f t="shared" si="265"/>
        <v>0.99447849373309027</v>
      </c>
      <c r="GQ215" s="14">
        <v>11.6214</v>
      </c>
      <c r="GR215" s="175">
        <f t="shared" si="266"/>
        <v>1.1276781555659057</v>
      </c>
      <c r="GS215" s="175">
        <f t="shared" si="267"/>
        <v>1.0223553100314937</v>
      </c>
      <c r="GV215" s="32">
        <f t="shared" si="268"/>
        <v>7975.5409650000011</v>
      </c>
      <c r="GW215" s="32">
        <f t="shared" si="269"/>
        <v>77434.414067999998</v>
      </c>
      <c r="GX215" s="180">
        <f t="shared" si="270"/>
        <v>85409.955033000006</v>
      </c>
      <c r="GZ215" s="32">
        <f t="shared" si="271"/>
        <v>9.0054999999999996</v>
      </c>
      <c r="HA215" s="32">
        <f t="shared" si="272"/>
        <v>11.8812</v>
      </c>
      <c r="HB215" s="32">
        <f t="shared" si="273"/>
        <v>11.537177399628801</v>
      </c>
    </row>
    <row r="216" spans="1:210" ht="19.2" customHeight="1" x14ac:dyDescent="0.3">
      <c r="A216" s="50">
        <v>208</v>
      </c>
      <c r="B216" s="51" t="s">
        <v>882</v>
      </c>
      <c r="C216" s="51" t="s">
        <v>852</v>
      </c>
      <c r="D216" s="52">
        <v>5</v>
      </c>
      <c r="E216" s="52">
        <v>4</v>
      </c>
      <c r="F216" s="63">
        <v>60</v>
      </c>
      <c r="G216" s="54" t="s">
        <v>153</v>
      </c>
      <c r="H216" s="181" t="s">
        <v>49</v>
      </c>
      <c r="I216" s="55">
        <f t="shared" si="249"/>
        <v>2762.19</v>
      </c>
      <c r="J216" s="55">
        <f t="shared" si="229"/>
        <v>0</v>
      </c>
      <c r="K216" s="55">
        <f t="shared" si="230"/>
        <v>0</v>
      </c>
      <c r="L216" s="56">
        <v>2762.19</v>
      </c>
      <c r="M216" s="56">
        <v>2762.19</v>
      </c>
      <c r="N216" s="56">
        <f t="shared" si="250"/>
        <v>2762.19</v>
      </c>
      <c r="O216" s="56">
        <v>0</v>
      </c>
      <c r="P216" s="56">
        <v>0</v>
      </c>
      <c r="Q216" s="55"/>
      <c r="R216" s="55">
        <v>2762.19</v>
      </c>
      <c r="S216" s="55"/>
      <c r="T216" s="55">
        <v>0</v>
      </c>
      <c r="U216" s="152">
        <v>2762.19</v>
      </c>
      <c r="V216" s="57">
        <v>0.1663</v>
      </c>
      <c r="W216" s="153">
        <v>9.2200000000000004E-2</v>
      </c>
      <c r="X216" s="57">
        <v>0.32429999999999998</v>
      </c>
      <c r="Y216" s="57">
        <v>7.4399999999999994E-2</v>
      </c>
      <c r="Z216" s="153">
        <v>2.8899999999999999E-2</v>
      </c>
      <c r="AA216" s="57">
        <v>0.498</v>
      </c>
      <c r="AB216" s="153">
        <v>0</v>
      </c>
      <c r="AC216" s="57">
        <v>0.63149999999999995</v>
      </c>
      <c r="AD216" s="57">
        <v>0.17180000000000001</v>
      </c>
      <c r="AE216" s="57">
        <v>0</v>
      </c>
      <c r="AF216" s="57">
        <v>1.7285999999999999</v>
      </c>
      <c r="AG216" s="57">
        <v>0.2205</v>
      </c>
      <c r="AH216" s="57">
        <v>0.32700000000000001</v>
      </c>
      <c r="AI216" s="153">
        <v>8.7999999999999995E-2</v>
      </c>
      <c r="AJ216" s="153">
        <v>0.1041</v>
      </c>
      <c r="AK216" s="153">
        <v>5.6300000000000003E-2</v>
      </c>
      <c r="AL216" s="57">
        <v>0.17169999999999999</v>
      </c>
      <c r="AM216" s="153">
        <v>3.3500000000000002E-2</v>
      </c>
      <c r="AN216" s="57">
        <v>0</v>
      </c>
      <c r="AO216" s="153">
        <v>3.1970999999999998</v>
      </c>
      <c r="AP216" s="57">
        <v>1.1102000000000001</v>
      </c>
      <c r="AQ216" s="57">
        <v>9.1700000000000004E-2</v>
      </c>
      <c r="AR216" s="153">
        <v>0.45810000000000001</v>
      </c>
      <c r="AS216" s="57">
        <v>6.1199999999999997E-2</v>
      </c>
      <c r="AT216" s="57">
        <v>9.9000000000000008E-3</v>
      </c>
      <c r="AU216" s="153">
        <v>0.2848</v>
      </c>
      <c r="AV216" s="153">
        <v>0</v>
      </c>
      <c r="AW216" s="154">
        <v>9.9300999999999995</v>
      </c>
      <c r="AX216" s="58">
        <v>0.4965</v>
      </c>
      <c r="AY216" s="155">
        <f t="shared" si="231"/>
        <v>0.4919</v>
      </c>
      <c r="AZ216" s="155">
        <f t="shared" si="232"/>
        <v>4.599999999999993E-3</v>
      </c>
      <c r="BA216" s="14">
        <v>10.426599999999999</v>
      </c>
      <c r="BB216" s="59">
        <f>BA216-'[1]Тариф 26 свод без  ПДВ'!AU216</f>
        <v>4.1999999999990933E-3</v>
      </c>
      <c r="BC216" s="57">
        <v>0</v>
      </c>
      <c r="BD216" s="57">
        <v>0</v>
      </c>
      <c r="BE216" s="57">
        <v>0</v>
      </c>
      <c r="BF216" s="156">
        <v>9.9300999999999995</v>
      </c>
      <c r="BG216" s="59">
        <v>0.4965</v>
      </c>
      <c r="BH216" s="59"/>
      <c r="BI216" s="59"/>
      <c r="BJ216" s="14">
        <v>10.426599999999999</v>
      </c>
      <c r="BK216" s="60"/>
      <c r="BL216" s="60">
        <v>4.8798999999999984</v>
      </c>
      <c r="BM216" s="60">
        <v>0.24399999999999999</v>
      </c>
      <c r="BN216" s="14">
        <v>5.1238999999999981</v>
      </c>
      <c r="BO216" s="14"/>
      <c r="BP216" s="157"/>
      <c r="BQ216" s="158">
        <f>BJ216-'[1]Тариф 26 свод без  ПДВ'!BG216</f>
        <v>4.1999999999990933E-3</v>
      </c>
      <c r="BR216" s="77">
        <f>'[1]Тариф 26 свод без  ПДВ'!BG216</f>
        <v>10.4224</v>
      </c>
      <c r="BS216" s="159">
        <f t="shared" si="233"/>
        <v>4.1999999999990933E-3</v>
      </c>
      <c r="BU216" s="77">
        <f>'[1]Тариф 26 свод без  ПДВ'!AU216</f>
        <v>10.4224</v>
      </c>
      <c r="BV216" s="159">
        <f t="shared" si="234"/>
        <v>4.1999999999990933E-3</v>
      </c>
      <c r="BX216" s="95">
        <v>4.8467000000000002</v>
      </c>
      <c r="BY216" s="95">
        <v>4.8467000000000002</v>
      </c>
      <c r="BZ216" s="95"/>
      <c r="CA216" s="182">
        <f t="shared" si="235"/>
        <v>2.1512781892834294</v>
      </c>
      <c r="CB216" s="182">
        <f t="shared" si="236"/>
        <v>2.1512781892834294</v>
      </c>
      <c r="CI216" s="160">
        <f>'[1]0 СВОД'!AYY231</f>
        <v>28800.414116543481</v>
      </c>
      <c r="CJ216" s="77">
        <f t="shared" si="237"/>
        <v>345604.96939852176</v>
      </c>
      <c r="CM216" s="161">
        <v>213</v>
      </c>
      <c r="CN216" s="162" t="s">
        <v>883</v>
      </c>
      <c r="CO216" s="163">
        <v>5</v>
      </c>
      <c r="CP216" s="163">
        <v>4</v>
      </c>
      <c r="CQ216" s="164" t="s">
        <v>153</v>
      </c>
      <c r="CR216" s="165" t="s">
        <v>49</v>
      </c>
      <c r="CS216" s="166">
        <v>2760.69</v>
      </c>
      <c r="CT216" s="166">
        <v>0</v>
      </c>
      <c r="CU216" s="167">
        <v>0</v>
      </c>
      <c r="CV216" s="168">
        <v>2760.69</v>
      </c>
      <c r="CW216" s="166">
        <v>2760.69</v>
      </c>
      <c r="CX216" s="167">
        <v>0</v>
      </c>
      <c r="CY216" s="166">
        <v>0</v>
      </c>
      <c r="CZ216" s="166"/>
      <c r="DA216" s="166">
        <v>2760.69</v>
      </c>
      <c r="DB216" s="166"/>
      <c r="DC216" s="166">
        <v>0</v>
      </c>
      <c r="DD216" s="59">
        <v>0.1633</v>
      </c>
      <c r="DE216" s="59">
        <v>0.14990000000000001</v>
      </c>
      <c r="DF216" s="59">
        <v>0.21329999999999999</v>
      </c>
      <c r="DG216" s="59">
        <v>4.3799999999999999E-2</v>
      </c>
      <c r="DH216" s="59">
        <v>1.09E-2</v>
      </c>
      <c r="DI216" s="59">
        <v>0.21679999999999999</v>
      </c>
      <c r="DJ216" s="59">
        <v>4.8099999999999997E-2</v>
      </c>
      <c r="DK216" s="59">
        <v>0.3458</v>
      </c>
      <c r="DL216" s="169">
        <v>0</v>
      </c>
      <c r="DM216" s="59">
        <v>0.1046</v>
      </c>
      <c r="DN216" s="169">
        <v>0</v>
      </c>
      <c r="DO216" s="170">
        <v>1.0003</v>
      </c>
      <c r="DP216" s="171">
        <f t="shared" si="238"/>
        <v>1.7285999999999999</v>
      </c>
      <c r="DQ216" s="59">
        <v>0.1062</v>
      </c>
      <c r="DR216" s="59">
        <v>0.1958</v>
      </c>
      <c r="DS216" s="59">
        <v>2.29E-2</v>
      </c>
      <c r="DT216" s="59">
        <v>4.9000000000000002E-2</v>
      </c>
      <c r="DU216" s="59">
        <v>2.3699999999999999E-2</v>
      </c>
      <c r="DV216" s="59">
        <v>5.9799999999999999E-2</v>
      </c>
      <c r="DW216" s="59">
        <v>9.1999999999999998E-3</v>
      </c>
      <c r="DX216" s="169">
        <v>0</v>
      </c>
      <c r="DY216" s="170">
        <v>1.6303999999999998</v>
      </c>
      <c r="DZ216" s="171">
        <f t="shared" si="239"/>
        <v>1.9609298331697744</v>
      </c>
      <c r="EA216" s="59">
        <v>0.67200000000000004</v>
      </c>
      <c r="EB216" s="171">
        <f t="shared" si="240"/>
        <v>1.7885416666666669</v>
      </c>
      <c r="EC216" s="59">
        <v>0.30549999999999999</v>
      </c>
      <c r="ED216" s="171">
        <f t="shared" si="241"/>
        <v>1.4995090016366612</v>
      </c>
      <c r="EE216" s="59">
        <v>4.6800000000000001E-2</v>
      </c>
      <c r="EF216" s="59">
        <v>6.4999999999999997E-3</v>
      </c>
      <c r="EG216" s="59">
        <v>0.25309999999999999</v>
      </c>
      <c r="EH216" s="59">
        <v>0</v>
      </c>
      <c r="EI216" s="208">
        <v>0.1419</v>
      </c>
      <c r="EJ216" s="172">
        <v>5.8195999999999994</v>
      </c>
      <c r="EK216" s="173"/>
      <c r="EL216" s="169">
        <v>0</v>
      </c>
      <c r="EM216" s="169">
        <v>0</v>
      </c>
      <c r="EN216" s="59"/>
      <c r="EO216" s="172"/>
      <c r="ES216" s="57">
        <f t="shared" si="251"/>
        <v>5.8195999999999994</v>
      </c>
      <c r="ET216" s="57">
        <f t="shared" si="252"/>
        <v>0</v>
      </c>
      <c r="EU216" s="31"/>
      <c r="EV216" s="61">
        <f t="shared" si="242"/>
        <v>1.7916351639287924</v>
      </c>
      <c r="EW216" s="62"/>
      <c r="EX216" s="158">
        <f>ES216*1.305-BA216</f>
        <v>-2.8320220000000003</v>
      </c>
      <c r="EY216" s="77">
        <f t="shared" ref="EY216:EY219" si="279">ES216*1.344</f>
        <v>7.8215423999999993</v>
      </c>
      <c r="EZ216" s="158">
        <f t="shared" si="243"/>
        <v>10.426599999999999</v>
      </c>
      <c r="FA216" s="158">
        <f t="shared" si="244"/>
        <v>10.426599999999999</v>
      </c>
      <c r="FH216" s="174">
        <f t="shared" si="274"/>
        <v>28800.250253999999</v>
      </c>
      <c r="FJ216" s="87">
        <v>1.349663207093271</v>
      </c>
      <c r="FK216" s="176">
        <f t="shared" si="254"/>
        <v>1.3274683302565409</v>
      </c>
      <c r="FM216" s="87" t="e">
        <f t="shared" si="255"/>
        <v>#DIV/0!</v>
      </c>
      <c r="FO216" s="88">
        <f t="shared" si="245"/>
        <v>28800.250253999999</v>
      </c>
      <c r="FP216" s="79">
        <f t="shared" si="246"/>
        <v>0</v>
      </c>
      <c r="FS216" s="79">
        <f t="shared" si="247"/>
        <v>16074.840923999998</v>
      </c>
      <c r="FT216" s="79">
        <f t="shared" si="248"/>
        <v>0</v>
      </c>
      <c r="FU216" s="79">
        <f t="shared" si="256"/>
        <v>1.7916351639287924</v>
      </c>
      <c r="FV216" s="79" t="e">
        <f t="shared" si="256"/>
        <v>#DIV/0!</v>
      </c>
      <c r="FY216" s="79">
        <f t="shared" si="257"/>
        <v>28800.250253999999</v>
      </c>
      <c r="FZ216" s="79">
        <f t="shared" si="258"/>
        <v>0</v>
      </c>
      <c r="GB216" s="178">
        <f t="shared" si="259"/>
        <v>2762.19</v>
      </c>
      <c r="GC216" s="178">
        <f t="shared" si="260"/>
        <v>0</v>
      </c>
      <c r="GG216" s="14">
        <v>8.2104999999999997</v>
      </c>
      <c r="GH216" s="175">
        <f t="shared" si="261"/>
        <v>1.2699104804823091</v>
      </c>
      <c r="GI216" s="14">
        <v>8.2104999999999997</v>
      </c>
      <c r="GJ216" s="175">
        <f t="shared" si="262"/>
        <v>1.2699104804823091</v>
      </c>
      <c r="GK216" s="175">
        <f t="shared" si="263"/>
        <v>0</v>
      </c>
      <c r="GN216" s="14">
        <v>10.6187</v>
      </c>
      <c r="GO216" s="175">
        <f t="shared" si="264"/>
        <v>1.2933073503440717</v>
      </c>
      <c r="GP216" s="179">
        <f t="shared" si="265"/>
        <v>0.98190927326320532</v>
      </c>
      <c r="GQ216" s="14">
        <v>10.6187</v>
      </c>
      <c r="GR216" s="175">
        <f t="shared" si="266"/>
        <v>1.2933073503440717</v>
      </c>
      <c r="GS216" s="175">
        <f t="shared" si="267"/>
        <v>0.98190927326320532</v>
      </c>
      <c r="GV216" s="32">
        <f t="shared" si="268"/>
        <v>28800.250253999999</v>
      </c>
      <c r="GW216" s="32">
        <f t="shared" si="269"/>
        <v>0</v>
      </c>
      <c r="GX216" s="180">
        <f t="shared" si="270"/>
        <v>28800.250253999999</v>
      </c>
      <c r="GZ216" s="32">
        <f t="shared" si="271"/>
        <v>10.426599999999999</v>
      </c>
      <c r="HA216" s="32" t="e">
        <f t="shared" si="272"/>
        <v>#DIV/0!</v>
      </c>
      <c r="HB216" s="32">
        <f t="shared" si="273"/>
        <v>10.426599999999999</v>
      </c>
    </row>
    <row r="217" spans="1:210" ht="19.2" customHeight="1" x14ac:dyDescent="0.3">
      <c r="A217" s="50">
        <v>209</v>
      </c>
      <c r="B217" s="51" t="s">
        <v>884</v>
      </c>
      <c r="C217" s="51" t="s">
        <v>852</v>
      </c>
      <c r="D217" s="52">
        <v>5</v>
      </c>
      <c r="E217" s="52">
        <v>4</v>
      </c>
      <c r="F217" s="63">
        <v>60</v>
      </c>
      <c r="G217" s="54" t="s">
        <v>154</v>
      </c>
      <c r="H217" s="181" t="s">
        <v>49</v>
      </c>
      <c r="I217" s="55">
        <f t="shared" si="249"/>
        <v>2749.02</v>
      </c>
      <c r="J217" s="55">
        <f t="shared" si="229"/>
        <v>0</v>
      </c>
      <c r="K217" s="55">
        <f t="shared" si="230"/>
        <v>0</v>
      </c>
      <c r="L217" s="56">
        <v>2749.02</v>
      </c>
      <c r="M217" s="56">
        <v>2749.02</v>
      </c>
      <c r="N217" s="56">
        <f t="shared" si="250"/>
        <v>2749.02</v>
      </c>
      <c r="O217" s="56">
        <v>0</v>
      </c>
      <c r="P217" s="56">
        <v>0</v>
      </c>
      <c r="Q217" s="55"/>
      <c r="R217" s="55">
        <v>2749.02</v>
      </c>
      <c r="S217" s="55"/>
      <c r="T217" s="55">
        <v>0</v>
      </c>
      <c r="U217" s="152">
        <v>2749.02</v>
      </c>
      <c r="V217" s="57">
        <v>0.16689999999999999</v>
      </c>
      <c r="W217" s="153">
        <v>9.2700000000000005E-2</v>
      </c>
      <c r="X217" s="57">
        <v>0.3246</v>
      </c>
      <c r="Y217" s="57">
        <v>7.4200000000000002E-2</v>
      </c>
      <c r="Z217" s="153">
        <v>2.9100000000000001E-2</v>
      </c>
      <c r="AA217" s="57">
        <v>0.50039999999999996</v>
      </c>
      <c r="AB217" s="153">
        <v>0</v>
      </c>
      <c r="AC217" s="57">
        <v>0.63149999999999995</v>
      </c>
      <c r="AD217" s="57">
        <v>0.16969999999999999</v>
      </c>
      <c r="AE217" s="57">
        <v>0</v>
      </c>
      <c r="AF217" s="57">
        <v>2.0424000000000002</v>
      </c>
      <c r="AG217" s="57">
        <v>0.22109999999999999</v>
      </c>
      <c r="AH217" s="57">
        <v>0.3286</v>
      </c>
      <c r="AI217" s="153">
        <v>8.7800000000000003E-2</v>
      </c>
      <c r="AJ217" s="153">
        <v>0.1023</v>
      </c>
      <c r="AK217" s="153">
        <v>5.6500000000000002E-2</v>
      </c>
      <c r="AL217" s="57">
        <v>0.17249999999999999</v>
      </c>
      <c r="AM217" s="153">
        <v>3.3599999999999998E-2</v>
      </c>
      <c r="AN217" s="57">
        <v>0</v>
      </c>
      <c r="AO217" s="153">
        <v>3.1661999999999999</v>
      </c>
      <c r="AP217" s="57">
        <v>1.1232</v>
      </c>
      <c r="AQ217" s="57">
        <v>8.2199999999999995E-2</v>
      </c>
      <c r="AR217" s="153">
        <v>0.44779999999999998</v>
      </c>
      <c r="AS217" s="57">
        <v>6.1199999999999997E-2</v>
      </c>
      <c r="AT217" s="57">
        <v>9.9000000000000008E-3</v>
      </c>
      <c r="AU217" s="153">
        <v>0.1318</v>
      </c>
      <c r="AV217" s="153">
        <v>0</v>
      </c>
      <c r="AW217" s="154">
        <v>10.0562</v>
      </c>
      <c r="AX217" s="58">
        <v>0.50280000000000002</v>
      </c>
      <c r="AY217" s="155">
        <f t="shared" si="231"/>
        <v>0.49869999999999998</v>
      </c>
      <c r="AZ217" s="155">
        <f t="shared" si="232"/>
        <v>4.1000000000000481E-3</v>
      </c>
      <c r="BA217" s="14">
        <v>10.559000000000001</v>
      </c>
      <c r="BB217" s="59">
        <f>BA217-'[1]Тариф 26 свод без  ПДВ'!AU217</f>
        <v>-1.0999999999992127E-3</v>
      </c>
      <c r="BC217" s="57">
        <v>0</v>
      </c>
      <c r="BD217" s="57">
        <v>0</v>
      </c>
      <c r="BE217" s="57">
        <v>0</v>
      </c>
      <c r="BF217" s="156">
        <v>10.0562</v>
      </c>
      <c r="BG217" s="59">
        <v>0.50280000000000002</v>
      </c>
      <c r="BH217" s="59"/>
      <c r="BI217" s="59"/>
      <c r="BJ217" s="14">
        <v>10.559000000000001</v>
      </c>
      <c r="BK217" s="60"/>
      <c r="BL217" s="60">
        <v>5.1872000000000007</v>
      </c>
      <c r="BM217" s="60">
        <v>0.25940000000000002</v>
      </c>
      <c r="BN217" s="14">
        <v>5.446600000000001</v>
      </c>
      <c r="BO217" s="14"/>
      <c r="BP217" s="157"/>
      <c r="BQ217" s="158">
        <f>BJ217-'[1]Тариф 26 свод без  ПДВ'!BG217</f>
        <v>-1.0999999999992127E-3</v>
      </c>
      <c r="BR217" s="77">
        <f>'[1]Тариф 26 свод без  ПДВ'!BG217</f>
        <v>10.5601</v>
      </c>
      <c r="BS217" s="159">
        <f t="shared" si="233"/>
        <v>-1.0999999999992127E-3</v>
      </c>
      <c r="BU217" s="77">
        <f>'[1]Тариф 26 свод без  ПДВ'!AU217</f>
        <v>10.5601</v>
      </c>
      <c r="BV217" s="159">
        <f t="shared" si="234"/>
        <v>-1.0999999999992127E-3</v>
      </c>
      <c r="BX217" s="95">
        <v>4.9117000000000006</v>
      </c>
      <c r="BY217" s="95">
        <v>4.9117000000000006</v>
      </c>
      <c r="BZ217" s="95"/>
      <c r="CA217" s="182">
        <f t="shared" si="235"/>
        <v>2.1497648472015798</v>
      </c>
      <c r="CB217" s="182">
        <f t="shared" si="236"/>
        <v>2.1497648472015798</v>
      </c>
      <c r="CI217" s="160">
        <f>'[1]0 СВОД'!AYY232</f>
        <v>29027.485992695412</v>
      </c>
      <c r="CJ217" s="77">
        <f t="shared" si="237"/>
        <v>348329.83191234496</v>
      </c>
      <c r="CM217" s="161">
        <v>214</v>
      </c>
      <c r="CN217" s="162" t="s">
        <v>885</v>
      </c>
      <c r="CO217" s="163">
        <v>5</v>
      </c>
      <c r="CP217" s="163">
        <v>4</v>
      </c>
      <c r="CQ217" s="164" t="s">
        <v>154</v>
      </c>
      <c r="CR217" s="165" t="s">
        <v>49</v>
      </c>
      <c r="CS217" s="166">
        <v>2749.06</v>
      </c>
      <c r="CT217" s="166">
        <v>0</v>
      </c>
      <c r="CU217" s="167">
        <v>0</v>
      </c>
      <c r="CV217" s="168">
        <v>2749.06</v>
      </c>
      <c r="CW217" s="166">
        <v>2749.06</v>
      </c>
      <c r="CX217" s="167">
        <v>0</v>
      </c>
      <c r="CY217" s="166">
        <v>0</v>
      </c>
      <c r="CZ217" s="166"/>
      <c r="DA217" s="166">
        <v>2749.06</v>
      </c>
      <c r="DB217" s="166"/>
      <c r="DC217" s="166">
        <v>0</v>
      </c>
      <c r="DD217" s="59">
        <v>0.1638</v>
      </c>
      <c r="DE217" s="59">
        <v>0.15049999999999999</v>
      </c>
      <c r="DF217" s="59">
        <v>0.21340000000000001</v>
      </c>
      <c r="DG217" s="59">
        <v>4.36E-2</v>
      </c>
      <c r="DH217" s="59">
        <v>1.09E-2</v>
      </c>
      <c r="DI217" s="59">
        <v>0.2177</v>
      </c>
      <c r="DJ217" s="59">
        <v>4.8099999999999997E-2</v>
      </c>
      <c r="DK217" s="59">
        <v>0.3458</v>
      </c>
      <c r="DL217" s="169">
        <v>0</v>
      </c>
      <c r="DM217" s="59">
        <v>0.1033</v>
      </c>
      <c r="DN217" s="169">
        <v>0</v>
      </c>
      <c r="DO217" s="170">
        <v>1.1213</v>
      </c>
      <c r="DP217" s="171">
        <f t="shared" si="238"/>
        <v>2.0424000000000002</v>
      </c>
      <c r="DQ217" s="59">
        <v>0.1065</v>
      </c>
      <c r="DR217" s="59">
        <v>0.1966</v>
      </c>
      <c r="DS217" s="59">
        <v>2.2800000000000001E-2</v>
      </c>
      <c r="DT217" s="59">
        <v>4.8099999999999997E-2</v>
      </c>
      <c r="DU217" s="59">
        <v>2.3800000000000002E-2</v>
      </c>
      <c r="DV217" s="59">
        <v>6.0100000000000001E-2</v>
      </c>
      <c r="DW217" s="59">
        <v>9.1999999999999998E-3</v>
      </c>
      <c r="DX217" s="169">
        <v>0</v>
      </c>
      <c r="DY217" s="170">
        <v>1.6102999999999998</v>
      </c>
      <c r="DZ217" s="171">
        <f t="shared" si="239"/>
        <v>1.9662174750046577</v>
      </c>
      <c r="EA217" s="59">
        <v>0.67920000000000003</v>
      </c>
      <c r="EB217" s="171">
        <f t="shared" si="240"/>
        <v>1.7747349823321554</v>
      </c>
      <c r="EC217" s="59">
        <v>0.30170000000000002</v>
      </c>
      <c r="ED217" s="171">
        <f t="shared" si="241"/>
        <v>1.4842558833278088</v>
      </c>
      <c r="EE217" s="59">
        <v>4.6800000000000001E-2</v>
      </c>
      <c r="EF217" s="59">
        <v>6.4999999999999997E-3</v>
      </c>
      <c r="EG217" s="59">
        <v>0.29970000000000002</v>
      </c>
      <c r="EH217" s="59">
        <v>0</v>
      </c>
      <c r="EI217" s="208">
        <v>0.1457</v>
      </c>
      <c r="EJ217" s="172">
        <v>5.9753999999999996</v>
      </c>
      <c r="EK217" s="173"/>
      <c r="EL217" s="169">
        <v>0</v>
      </c>
      <c r="EM217" s="169">
        <v>0</v>
      </c>
      <c r="EN217" s="59"/>
      <c r="EO217" s="172"/>
      <c r="ES217" s="57">
        <f t="shared" si="251"/>
        <v>5.9753999999999996</v>
      </c>
      <c r="ET217" s="57">
        <f t="shared" si="252"/>
        <v>0</v>
      </c>
      <c r="EU217" s="31"/>
      <c r="EV217" s="61">
        <f t="shared" si="242"/>
        <v>1.7670783545871409</v>
      </c>
      <c r="EW217" s="62"/>
      <c r="EX217" s="158">
        <f>ES217*1.305-BA217</f>
        <v>-2.7611030000000021</v>
      </c>
      <c r="EY217" s="77">
        <f t="shared" si="279"/>
        <v>8.0309375999999997</v>
      </c>
      <c r="EZ217" s="158">
        <f t="shared" si="243"/>
        <v>10.559000000000001</v>
      </c>
      <c r="FA217" s="158">
        <f t="shared" si="244"/>
        <v>10.559000000000001</v>
      </c>
      <c r="FH217" s="174">
        <f t="shared" si="274"/>
        <v>29026.902180000001</v>
      </c>
      <c r="FJ217" s="87">
        <v>1.3657663085316465</v>
      </c>
      <c r="FK217" s="176">
        <f t="shared" si="254"/>
        <v>1.2938365396397502</v>
      </c>
      <c r="FM217" s="87" t="e">
        <f t="shared" si="255"/>
        <v>#DIV/0!</v>
      </c>
      <c r="FO217" s="88">
        <f t="shared" si="245"/>
        <v>29026.902180000001</v>
      </c>
      <c r="FP217" s="79">
        <f t="shared" si="246"/>
        <v>0</v>
      </c>
      <c r="FS217" s="79">
        <f t="shared" si="247"/>
        <v>16426.494107999999</v>
      </c>
      <c r="FT217" s="79">
        <f t="shared" si="248"/>
        <v>0</v>
      </c>
      <c r="FU217" s="79">
        <f t="shared" si="256"/>
        <v>1.7670783545871407</v>
      </c>
      <c r="FV217" s="79" t="e">
        <f t="shared" si="256"/>
        <v>#DIV/0!</v>
      </c>
      <c r="FY217" s="79">
        <f t="shared" si="257"/>
        <v>29026.902180000001</v>
      </c>
      <c r="FZ217" s="79">
        <f t="shared" si="258"/>
        <v>0</v>
      </c>
      <c r="GB217" s="178">
        <f t="shared" si="259"/>
        <v>2749.02</v>
      </c>
      <c r="GC217" s="178">
        <f t="shared" si="260"/>
        <v>0</v>
      </c>
      <c r="GG217" s="14">
        <v>8.3148</v>
      </c>
      <c r="GH217" s="175">
        <f t="shared" si="261"/>
        <v>1.2699042670900083</v>
      </c>
      <c r="GI217" s="14">
        <v>8.3148</v>
      </c>
      <c r="GJ217" s="175">
        <f t="shared" si="262"/>
        <v>1.2699042670900083</v>
      </c>
      <c r="GK217" s="175">
        <f t="shared" si="263"/>
        <v>0</v>
      </c>
      <c r="GN217" s="14">
        <v>10.819799999999999</v>
      </c>
      <c r="GO217" s="175">
        <f t="shared" si="264"/>
        <v>1.3012700245345648</v>
      </c>
      <c r="GP217" s="179">
        <f t="shared" si="265"/>
        <v>0.97589604244071071</v>
      </c>
      <c r="GQ217" s="14">
        <v>10.819799999999999</v>
      </c>
      <c r="GR217" s="175">
        <f t="shared" si="266"/>
        <v>1.3012700245345648</v>
      </c>
      <c r="GS217" s="175">
        <f t="shared" si="267"/>
        <v>0.97589604244071071</v>
      </c>
      <c r="GV217" s="32">
        <f t="shared" si="268"/>
        <v>29026.902180000001</v>
      </c>
      <c r="GW217" s="32">
        <f t="shared" si="269"/>
        <v>0</v>
      </c>
      <c r="GX217" s="180">
        <f t="shared" si="270"/>
        <v>29026.902180000001</v>
      </c>
      <c r="GZ217" s="32">
        <f t="shared" si="271"/>
        <v>10.559000000000001</v>
      </c>
      <c r="HA217" s="32" t="e">
        <f t="shared" si="272"/>
        <v>#DIV/0!</v>
      </c>
      <c r="HB217" s="32">
        <f t="shared" si="273"/>
        <v>10.559000000000001</v>
      </c>
    </row>
    <row r="218" spans="1:210" ht="19.2" customHeight="1" x14ac:dyDescent="0.3">
      <c r="A218" s="50">
        <v>210</v>
      </c>
      <c r="B218" s="51" t="s">
        <v>886</v>
      </c>
      <c r="C218" s="51" t="s">
        <v>852</v>
      </c>
      <c r="D218" s="52">
        <v>5</v>
      </c>
      <c r="E218" s="52">
        <v>8</v>
      </c>
      <c r="F218" s="63">
        <v>125</v>
      </c>
      <c r="G218" s="54" t="s">
        <v>155</v>
      </c>
      <c r="H218" s="181" t="s">
        <v>49</v>
      </c>
      <c r="I218" s="55">
        <f t="shared" si="249"/>
        <v>5834.66</v>
      </c>
      <c r="J218" s="55">
        <f t="shared" si="229"/>
        <v>0</v>
      </c>
      <c r="K218" s="55">
        <f t="shared" si="230"/>
        <v>0</v>
      </c>
      <c r="L218" s="56">
        <v>5834.66</v>
      </c>
      <c r="M218" s="56">
        <v>5834.66</v>
      </c>
      <c r="N218" s="56">
        <f t="shared" si="250"/>
        <v>5834.66</v>
      </c>
      <c r="O218" s="56">
        <v>0</v>
      </c>
      <c r="P218" s="56">
        <v>0</v>
      </c>
      <c r="Q218" s="55"/>
      <c r="R218" s="55">
        <v>5834.66</v>
      </c>
      <c r="S218" s="55"/>
      <c r="T218" s="55">
        <v>0</v>
      </c>
      <c r="U218" s="152">
        <v>5834.66</v>
      </c>
      <c r="V218" s="57">
        <v>0.1537</v>
      </c>
      <c r="W218" s="153">
        <v>9.3299999999999994E-2</v>
      </c>
      <c r="X218" s="57">
        <v>0.33289999999999997</v>
      </c>
      <c r="Y218" s="57">
        <v>7.2300000000000003E-2</v>
      </c>
      <c r="Z218" s="153">
        <v>4.4499999999999998E-2</v>
      </c>
      <c r="AA218" s="57">
        <v>0.71540000000000004</v>
      </c>
      <c r="AB218" s="153">
        <v>0</v>
      </c>
      <c r="AC218" s="57">
        <v>0.63149999999999995</v>
      </c>
      <c r="AD218" s="57">
        <v>0.1613</v>
      </c>
      <c r="AE218" s="57">
        <v>0</v>
      </c>
      <c r="AF218" s="57">
        <v>2.0259</v>
      </c>
      <c r="AG218" s="57">
        <v>0.2026</v>
      </c>
      <c r="AH218" s="57">
        <v>0.30509999999999998</v>
      </c>
      <c r="AI218" s="153">
        <v>9.1499999999999998E-2</v>
      </c>
      <c r="AJ218" s="153">
        <v>9.8100000000000007E-2</v>
      </c>
      <c r="AK218" s="153">
        <v>8.6599999999999996E-2</v>
      </c>
      <c r="AL218" s="57">
        <v>0.27500000000000002</v>
      </c>
      <c r="AM218" s="153">
        <v>3.27E-2</v>
      </c>
      <c r="AN218" s="57">
        <v>0</v>
      </c>
      <c r="AO218" s="153">
        <v>2.4125000000000001</v>
      </c>
      <c r="AP218" s="57">
        <v>1.0525</v>
      </c>
      <c r="AQ218" s="57">
        <v>8.6300000000000002E-2</v>
      </c>
      <c r="AR218" s="153">
        <v>0.43049999999999999</v>
      </c>
      <c r="AS218" s="57">
        <v>5.7799999999999997E-2</v>
      </c>
      <c r="AT218" s="57">
        <v>9.4000000000000004E-3</v>
      </c>
      <c r="AU218" s="153">
        <v>0.20230000000000001</v>
      </c>
      <c r="AV218" s="153">
        <v>0</v>
      </c>
      <c r="AW218" s="154">
        <v>9.5737000000000005</v>
      </c>
      <c r="AX218" s="58">
        <v>0.47870000000000001</v>
      </c>
      <c r="AY218" s="155">
        <f t="shared" si="231"/>
        <v>0.47439999999999999</v>
      </c>
      <c r="AZ218" s="155">
        <f t="shared" si="232"/>
        <v>4.300000000000026E-3</v>
      </c>
      <c r="BA218" s="14">
        <v>10.0524</v>
      </c>
      <c r="BB218" s="59">
        <f>BA218-'[1]Тариф 26 свод без  ПДВ'!AU218</f>
        <v>-1.1999999999989797E-3</v>
      </c>
      <c r="BC218" s="57">
        <v>0</v>
      </c>
      <c r="BD218" s="57">
        <v>0</v>
      </c>
      <c r="BE218" s="57">
        <v>0</v>
      </c>
      <c r="BF218" s="156">
        <v>9.5737000000000005</v>
      </c>
      <c r="BG218" s="59">
        <v>0.47870000000000001</v>
      </c>
      <c r="BH218" s="59"/>
      <c r="BI218" s="59"/>
      <c r="BJ218" s="14">
        <v>10.0524</v>
      </c>
      <c r="BK218" s="60"/>
      <c r="BL218" s="60">
        <v>5.4759000000000011</v>
      </c>
      <c r="BM218" s="60">
        <v>0.27379999999999999</v>
      </c>
      <c r="BN218" s="14">
        <v>5.7497000000000007</v>
      </c>
      <c r="BO218" s="14"/>
      <c r="BP218" s="157"/>
      <c r="BQ218" s="158">
        <f>BJ218-'[1]Тариф 26 свод без  ПДВ'!BG218</f>
        <v>-1.1999999999989797E-3</v>
      </c>
      <c r="BR218" s="77">
        <f>'[1]Тариф 26 свод без  ПДВ'!BG218</f>
        <v>10.053599999999999</v>
      </c>
      <c r="BS218" s="159">
        <f t="shared" si="233"/>
        <v>-1.1999999999989797E-3</v>
      </c>
      <c r="BU218" s="77">
        <f>'[1]Тариф 26 свод без  ПДВ'!AU218</f>
        <v>10.053599999999999</v>
      </c>
      <c r="BV218" s="159">
        <f t="shared" si="234"/>
        <v>-1.1999999999989797E-3</v>
      </c>
      <c r="BX218" s="95">
        <v>4.8022999999999998</v>
      </c>
      <c r="BY218" s="95">
        <v>4.8022999999999998</v>
      </c>
      <c r="BZ218" s="95"/>
      <c r="CA218" s="182">
        <f t="shared" si="235"/>
        <v>2.0932469858192952</v>
      </c>
      <c r="CB218" s="182">
        <f t="shared" si="236"/>
        <v>2.0932469858192952</v>
      </c>
      <c r="CI218" s="160">
        <f>'[1]0 СВОД'!AYY233</f>
        <v>58651.941116611604</v>
      </c>
      <c r="CJ218" s="77">
        <f t="shared" si="237"/>
        <v>703823.29339933931</v>
      </c>
      <c r="CM218" s="161">
        <v>215</v>
      </c>
      <c r="CN218" s="183" t="s">
        <v>887</v>
      </c>
      <c r="CO218" s="163">
        <v>5</v>
      </c>
      <c r="CP218" s="163">
        <v>8</v>
      </c>
      <c r="CQ218" s="164" t="s">
        <v>155</v>
      </c>
      <c r="CR218" s="165" t="s">
        <v>49</v>
      </c>
      <c r="CS218" s="166">
        <v>5834.6</v>
      </c>
      <c r="CT218" s="166">
        <v>0</v>
      </c>
      <c r="CU218" s="167">
        <v>0</v>
      </c>
      <c r="CV218" s="168">
        <v>5834.6</v>
      </c>
      <c r="CW218" s="166">
        <v>5834.6</v>
      </c>
      <c r="CX218" s="167">
        <v>0</v>
      </c>
      <c r="CY218" s="166">
        <v>0</v>
      </c>
      <c r="CZ218" s="166"/>
      <c r="DA218" s="166">
        <v>5834.6</v>
      </c>
      <c r="DB218" s="166"/>
      <c r="DC218" s="166">
        <v>0</v>
      </c>
      <c r="DD218" s="59">
        <v>0.151</v>
      </c>
      <c r="DE218" s="59">
        <v>0.13980000000000001</v>
      </c>
      <c r="DF218" s="59">
        <v>0.21890000000000001</v>
      </c>
      <c r="DG218" s="59">
        <v>4.2599999999999999E-2</v>
      </c>
      <c r="DH218" s="59">
        <v>1.67E-2</v>
      </c>
      <c r="DI218" s="59">
        <v>0.3145</v>
      </c>
      <c r="DJ218" s="59">
        <v>4.8099999999999997E-2</v>
      </c>
      <c r="DK218" s="59">
        <v>0.3458</v>
      </c>
      <c r="DL218" s="169">
        <v>0</v>
      </c>
      <c r="DM218" s="59">
        <v>9.8100000000000007E-2</v>
      </c>
      <c r="DN218" s="169">
        <v>0</v>
      </c>
      <c r="DO218" s="184">
        <v>1.3277999999999999</v>
      </c>
      <c r="DP218" s="171">
        <f t="shared" si="238"/>
        <v>2.0259</v>
      </c>
      <c r="DQ218" s="59">
        <v>9.7600000000000006E-2</v>
      </c>
      <c r="DR218" s="59">
        <v>0.1825</v>
      </c>
      <c r="DS218" s="59">
        <v>2.3900000000000001E-2</v>
      </c>
      <c r="DT218" s="59">
        <v>4.6199999999999998E-2</v>
      </c>
      <c r="DU218" s="59">
        <v>3.6499999999999998E-2</v>
      </c>
      <c r="DV218" s="59">
        <v>9.6000000000000002E-2</v>
      </c>
      <c r="DW218" s="59">
        <v>8.6999999999999994E-3</v>
      </c>
      <c r="DX218" s="169">
        <v>0</v>
      </c>
      <c r="DY218" s="59">
        <v>1.2525999999999999</v>
      </c>
      <c r="DZ218" s="171">
        <f t="shared" si="239"/>
        <v>1.9259939326201503</v>
      </c>
      <c r="EA218" s="59">
        <v>0.63900000000000001</v>
      </c>
      <c r="EB218" s="171">
        <f t="shared" si="240"/>
        <v>1.7821596244131455</v>
      </c>
      <c r="EC218" s="59">
        <v>0.24260000000000001</v>
      </c>
      <c r="ED218" s="171">
        <f t="shared" si="241"/>
        <v>1.7745259686727122</v>
      </c>
      <c r="EE218" s="59">
        <v>4.4200000000000003E-2</v>
      </c>
      <c r="EF218" s="59">
        <v>6.1000000000000004E-3</v>
      </c>
      <c r="EG218" s="59">
        <v>0.20649999999999999</v>
      </c>
      <c r="EH218" s="59">
        <v>0</v>
      </c>
      <c r="EI218" s="208">
        <v>0.1396</v>
      </c>
      <c r="EJ218" s="172">
        <v>5.7253000000000007</v>
      </c>
      <c r="EK218" s="173"/>
      <c r="EL218" s="169">
        <v>0</v>
      </c>
      <c r="EM218" s="169">
        <v>0</v>
      </c>
      <c r="EN218" s="59"/>
      <c r="EO218" s="172"/>
      <c r="ES218" s="57">
        <f t="shared" si="251"/>
        <v>5.7253000000000007</v>
      </c>
      <c r="ET218" s="57">
        <f t="shared" si="252"/>
        <v>0</v>
      </c>
      <c r="EU218" s="31"/>
      <c r="EV218" s="61">
        <f t="shared" si="242"/>
        <v>1.7557857230188809</v>
      </c>
      <c r="EW218" s="62"/>
      <c r="EX218" s="158">
        <f>ES218*1.305-BA218</f>
        <v>-2.5808834999999997</v>
      </c>
      <c r="EY218" s="77">
        <f t="shared" si="279"/>
        <v>7.6948032000000017</v>
      </c>
      <c r="EZ218" s="158">
        <f t="shared" si="243"/>
        <v>10.0524</v>
      </c>
      <c r="FA218" s="158">
        <f t="shared" si="244"/>
        <v>10.0524</v>
      </c>
      <c r="FH218" s="174">
        <f t="shared" si="274"/>
        <v>58652.336184</v>
      </c>
      <c r="FJ218" s="87">
        <v>1.3455190121041691</v>
      </c>
      <c r="FK218" s="176">
        <f t="shared" si="254"/>
        <v>1.304913351074187</v>
      </c>
      <c r="FM218" s="87" t="e">
        <f t="shared" si="255"/>
        <v>#DIV/0!</v>
      </c>
      <c r="FO218" s="88">
        <f t="shared" si="245"/>
        <v>58652.336184</v>
      </c>
      <c r="FP218" s="79">
        <f t="shared" si="246"/>
        <v>0</v>
      </c>
      <c r="FS218" s="79">
        <f t="shared" si="247"/>
        <v>33405.178898000006</v>
      </c>
      <c r="FT218" s="79">
        <f t="shared" si="248"/>
        <v>0</v>
      </c>
      <c r="FU218" s="79">
        <f t="shared" si="256"/>
        <v>1.7557857230188809</v>
      </c>
      <c r="FV218" s="79" t="e">
        <f t="shared" si="256"/>
        <v>#DIV/0!</v>
      </c>
      <c r="FY218" s="79">
        <f t="shared" si="257"/>
        <v>58652.336184</v>
      </c>
      <c r="FZ218" s="79">
        <f t="shared" si="258"/>
        <v>0</v>
      </c>
      <c r="GB218" s="178">
        <f t="shared" si="259"/>
        <v>5834.66</v>
      </c>
      <c r="GC218" s="178">
        <f t="shared" si="260"/>
        <v>0</v>
      </c>
      <c r="GG218" s="14">
        <v>7.9155999999999995</v>
      </c>
      <c r="GH218" s="175">
        <f t="shared" si="261"/>
        <v>1.2699479508818032</v>
      </c>
      <c r="GI218" s="14">
        <v>7.9155999999999995</v>
      </c>
      <c r="GJ218" s="175">
        <f t="shared" si="262"/>
        <v>1.2699479508818032</v>
      </c>
      <c r="GK218" s="175">
        <f t="shared" si="263"/>
        <v>0</v>
      </c>
      <c r="GN218" s="14">
        <v>10.463499999999998</v>
      </c>
      <c r="GO218" s="175">
        <f t="shared" si="264"/>
        <v>1.3218833695487391</v>
      </c>
      <c r="GP218" s="179">
        <f t="shared" si="265"/>
        <v>0.96071104314999789</v>
      </c>
      <c r="GQ218" s="14">
        <v>10.463499999999998</v>
      </c>
      <c r="GR218" s="175">
        <f t="shared" si="266"/>
        <v>1.3218833695487391</v>
      </c>
      <c r="GS218" s="175">
        <f t="shared" si="267"/>
        <v>0.96071104314999789</v>
      </c>
      <c r="GV218" s="32">
        <f t="shared" si="268"/>
        <v>58652.336184</v>
      </c>
      <c r="GW218" s="32">
        <f t="shared" si="269"/>
        <v>0</v>
      </c>
      <c r="GX218" s="180">
        <f t="shared" si="270"/>
        <v>58652.336184</v>
      </c>
      <c r="GZ218" s="32">
        <f t="shared" si="271"/>
        <v>10.0524</v>
      </c>
      <c r="HA218" s="32" t="e">
        <f t="shared" si="272"/>
        <v>#DIV/0!</v>
      </c>
      <c r="HB218" s="32">
        <f t="shared" si="273"/>
        <v>10.0524</v>
      </c>
    </row>
    <row r="219" spans="1:210" ht="19.2" customHeight="1" x14ac:dyDescent="0.3">
      <c r="A219" s="50">
        <v>211</v>
      </c>
      <c r="B219" s="51" t="s">
        <v>888</v>
      </c>
      <c r="C219" s="51" t="s">
        <v>852</v>
      </c>
      <c r="D219" s="52">
        <v>5</v>
      </c>
      <c r="E219" s="52">
        <v>4</v>
      </c>
      <c r="F219" s="63">
        <v>60</v>
      </c>
      <c r="G219" s="54" t="s">
        <v>156</v>
      </c>
      <c r="H219" s="181" t="s">
        <v>49</v>
      </c>
      <c r="I219" s="55">
        <f t="shared" si="249"/>
        <v>2790.82</v>
      </c>
      <c r="J219" s="55">
        <f t="shared" si="229"/>
        <v>0</v>
      </c>
      <c r="K219" s="55">
        <f t="shared" si="230"/>
        <v>0</v>
      </c>
      <c r="L219" s="56">
        <v>2790.82</v>
      </c>
      <c r="M219" s="56">
        <v>2790.82</v>
      </c>
      <c r="N219" s="56">
        <f t="shared" si="250"/>
        <v>2790.82</v>
      </c>
      <c r="O219" s="56">
        <v>0</v>
      </c>
      <c r="P219" s="56">
        <v>0</v>
      </c>
      <c r="Q219" s="55"/>
      <c r="R219" s="55">
        <v>2790.82</v>
      </c>
      <c r="S219" s="55"/>
      <c r="T219" s="55">
        <v>0</v>
      </c>
      <c r="U219" s="152">
        <v>2790.82</v>
      </c>
      <c r="V219" s="57">
        <v>0.16470000000000001</v>
      </c>
      <c r="W219" s="153">
        <v>9.1300000000000006E-2</v>
      </c>
      <c r="X219" s="57">
        <v>0.32529999999999998</v>
      </c>
      <c r="Y219" s="57">
        <v>7.1400000000000005E-2</v>
      </c>
      <c r="Z219" s="153">
        <v>3.2199999999999999E-2</v>
      </c>
      <c r="AA219" s="57">
        <v>0.4929</v>
      </c>
      <c r="AB219" s="153">
        <v>0</v>
      </c>
      <c r="AC219" s="57">
        <v>0.63149999999999995</v>
      </c>
      <c r="AD219" s="57">
        <v>0.17</v>
      </c>
      <c r="AE219" s="57">
        <v>0</v>
      </c>
      <c r="AF219" s="57">
        <v>2.5939000000000001</v>
      </c>
      <c r="AG219" s="57">
        <v>0.22090000000000001</v>
      </c>
      <c r="AH219" s="57">
        <v>0.33279999999999998</v>
      </c>
      <c r="AI219" s="153">
        <v>8.8499999999999995E-2</v>
      </c>
      <c r="AJ219" s="153">
        <v>0.1212</v>
      </c>
      <c r="AK219" s="153">
        <v>6.2700000000000006E-2</v>
      </c>
      <c r="AL219" s="57">
        <v>0.1699</v>
      </c>
      <c r="AM219" s="153">
        <v>3.3300000000000003E-2</v>
      </c>
      <c r="AN219" s="57">
        <v>0</v>
      </c>
      <c r="AO219" s="153">
        <v>1.4924999999999999</v>
      </c>
      <c r="AP219" s="57">
        <v>1.1157999999999999</v>
      </c>
      <c r="AQ219" s="57">
        <v>8.6499999999999994E-2</v>
      </c>
      <c r="AR219" s="153">
        <v>0.53049999999999997</v>
      </c>
      <c r="AS219" s="57">
        <v>5.7500000000000002E-2</v>
      </c>
      <c r="AT219" s="57">
        <v>9.2999999999999992E-3</v>
      </c>
      <c r="AU219" s="153">
        <v>0.24110000000000001</v>
      </c>
      <c r="AV219" s="153">
        <v>0</v>
      </c>
      <c r="AW219" s="154">
        <v>9.1356999999999964</v>
      </c>
      <c r="AX219" s="58">
        <v>0.45679999999999998</v>
      </c>
      <c r="AY219" s="155">
        <f t="shared" si="231"/>
        <v>0.45250000000000001</v>
      </c>
      <c r="AZ219" s="155">
        <f t="shared" si="232"/>
        <v>4.2999999999999705E-3</v>
      </c>
      <c r="BA219" s="14">
        <v>9.5924999999999958</v>
      </c>
      <c r="BB219" s="59">
        <f>BA219-'[1]Тариф 26 свод без  ПДВ'!AU219</f>
        <v>6.9999999999659224E-4</v>
      </c>
      <c r="BC219" s="57">
        <v>0</v>
      </c>
      <c r="BD219" s="57">
        <v>0</v>
      </c>
      <c r="BE219" s="57">
        <v>0</v>
      </c>
      <c r="BF219" s="156">
        <v>9.1356999999999964</v>
      </c>
      <c r="BG219" s="59">
        <v>0.45679999999999998</v>
      </c>
      <c r="BH219" s="59"/>
      <c r="BI219" s="59"/>
      <c r="BJ219" s="14">
        <v>9.5924999999999958</v>
      </c>
      <c r="BK219" s="60"/>
      <c r="BL219" s="60">
        <v>5.7557999999999971</v>
      </c>
      <c r="BM219" s="60">
        <v>0.2878</v>
      </c>
      <c r="BN219" s="14">
        <v>6.043599999999997</v>
      </c>
      <c r="BO219" s="14"/>
      <c r="BP219" s="157"/>
      <c r="BQ219" s="158">
        <f>BJ219-'[1]Тариф 26 свод без  ПДВ'!BG219</f>
        <v>6.9999999999659224E-4</v>
      </c>
      <c r="BR219" s="77">
        <f>'[1]Тариф 26 свод без  ПДВ'!BG219</f>
        <v>9.5917999999999992</v>
      </c>
      <c r="BS219" s="159">
        <f t="shared" si="233"/>
        <v>6.9999999999659224E-4</v>
      </c>
      <c r="BU219" s="77">
        <f>'[1]Тариф 26 свод без  ПДВ'!AU219</f>
        <v>9.5917999999999992</v>
      </c>
      <c r="BV219" s="159">
        <f t="shared" si="234"/>
        <v>6.9999999999659224E-4</v>
      </c>
      <c r="BX219" s="95">
        <v>4.8266</v>
      </c>
      <c r="BY219" s="95">
        <v>6.4553000000000003</v>
      </c>
      <c r="BZ219" s="95"/>
      <c r="CA219" s="186">
        <f t="shared" si="235"/>
        <v>1.9874238594455715</v>
      </c>
      <c r="CB219" s="186">
        <f t="shared" si="236"/>
        <v>1.4859882577107175</v>
      </c>
      <c r="CD219" s="160">
        <f>L219-CE219</f>
        <v>2790.82</v>
      </c>
      <c r="CE219" s="160">
        <f>T219</f>
        <v>0</v>
      </c>
      <c r="CF219" s="77">
        <f>CD219*BA219</f>
        <v>26770.940849999988</v>
      </c>
      <c r="CG219" s="77">
        <f>BJ219*CE219</f>
        <v>0</v>
      </c>
      <c r="CI219" s="160">
        <f>'[1]0 СВОД'!AYY234</f>
        <v>26770.867191631161</v>
      </c>
      <c r="CJ219" s="77">
        <f t="shared" si="237"/>
        <v>321250.40629957395</v>
      </c>
      <c r="CM219" s="161">
        <v>216</v>
      </c>
      <c r="CN219" s="162" t="s">
        <v>889</v>
      </c>
      <c r="CO219" s="163">
        <v>5</v>
      </c>
      <c r="CP219" s="163">
        <v>4</v>
      </c>
      <c r="CQ219" s="164" t="s">
        <v>156</v>
      </c>
      <c r="CR219" s="165" t="s">
        <v>49</v>
      </c>
      <c r="CS219" s="166">
        <v>2790.48</v>
      </c>
      <c r="CT219" s="166">
        <v>0</v>
      </c>
      <c r="CU219" s="167">
        <v>0</v>
      </c>
      <c r="CV219" s="168">
        <v>2790.48</v>
      </c>
      <c r="CW219" s="166">
        <v>2790.48</v>
      </c>
      <c r="CX219" s="167">
        <v>0</v>
      </c>
      <c r="CY219" s="166">
        <v>0</v>
      </c>
      <c r="CZ219" s="166"/>
      <c r="DA219" s="166">
        <v>2790.48</v>
      </c>
      <c r="DB219" s="166"/>
      <c r="DC219" s="166">
        <v>0</v>
      </c>
      <c r="DD219" s="59">
        <v>0.16159999999999999</v>
      </c>
      <c r="DE219" s="59">
        <v>0.16669999999999999</v>
      </c>
      <c r="DF219" s="59">
        <v>0.21379999999999999</v>
      </c>
      <c r="DG219" s="59">
        <v>4.2000000000000003E-2</v>
      </c>
      <c r="DH219" s="59">
        <v>1.21E-2</v>
      </c>
      <c r="DI219" s="59">
        <v>0.2145</v>
      </c>
      <c r="DJ219" s="59">
        <v>4.8099999999999997E-2</v>
      </c>
      <c r="DK219" s="59">
        <v>0.3458</v>
      </c>
      <c r="DL219" s="169">
        <v>0</v>
      </c>
      <c r="DM219" s="59">
        <v>0.10349999999999999</v>
      </c>
      <c r="DN219" s="169">
        <v>0</v>
      </c>
      <c r="DO219" s="170">
        <v>1.4104000000000001</v>
      </c>
      <c r="DP219" s="171">
        <f t="shared" si="238"/>
        <v>2.5939000000000001</v>
      </c>
      <c r="DQ219" s="59">
        <v>0.1065</v>
      </c>
      <c r="DR219" s="59">
        <v>0.2177</v>
      </c>
      <c r="DS219" s="59">
        <v>2.3E-2</v>
      </c>
      <c r="DT219" s="59">
        <v>5.7299999999999997E-2</v>
      </c>
      <c r="DU219" s="59">
        <v>2.64E-2</v>
      </c>
      <c r="DV219" s="59">
        <v>5.9200000000000003E-2</v>
      </c>
      <c r="DW219" s="59">
        <v>9.1000000000000004E-3</v>
      </c>
      <c r="DX219" s="169">
        <v>0</v>
      </c>
      <c r="DY219" s="59">
        <v>0.76970000000000005</v>
      </c>
      <c r="DZ219" s="171">
        <f t="shared" si="239"/>
        <v>1.9390671690268935</v>
      </c>
      <c r="EA219" s="59">
        <v>0.67430000000000001</v>
      </c>
      <c r="EB219" s="171">
        <f t="shared" si="240"/>
        <v>1.7830342577487763</v>
      </c>
      <c r="EC219" s="59">
        <v>0.29570000000000002</v>
      </c>
      <c r="ED219" s="171">
        <f t="shared" si="241"/>
        <v>1.7940480216435575</v>
      </c>
      <c r="EE219" s="59">
        <v>4.3999999999999997E-2</v>
      </c>
      <c r="EF219" s="59">
        <v>6.1000000000000004E-3</v>
      </c>
      <c r="EG219" s="59">
        <v>0.23039999999999999</v>
      </c>
      <c r="EH219" s="59">
        <v>0</v>
      </c>
      <c r="EI219" s="208">
        <v>0.13089999999999999</v>
      </c>
      <c r="EJ219" s="172">
        <v>5.3688000000000002</v>
      </c>
      <c r="EK219" s="173"/>
      <c r="EL219" s="169">
        <v>0</v>
      </c>
      <c r="EM219" s="169">
        <v>0</v>
      </c>
      <c r="EN219" s="59"/>
      <c r="EO219" s="172"/>
      <c r="ES219" s="57">
        <f t="shared" si="251"/>
        <v>5.3688000000000002</v>
      </c>
      <c r="ET219" s="57">
        <f t="shared" si="252"/>
        <v>0</v>
      </c>
      <c r="EU219" s="31"/>
      <c r="EV219" s="61">
        <f t="shared" si="242"/>
        <v>1.7867121144389799</v>
      </c>
      <c r="EW219" s="62"/>
      <c r="EX219" s="158">
        <f>ES219*1.305-BA219</f>
        <v>-2.5862159999999959</v>
      </c>
      <c r="EY219" s="77">
        <f t="shared" si="279"/>
        <v>7.2156672000000004</v>
      </c>
      <c r="EZ219" s="158">
        <f t="shared" si="243"/>
        <v>9.5924999999999958</v>
      </c>
      <c r="FA219" s="158">
        <f t="shared" si="244"/>
        <v>9.5924999999999958</v>
      </c>
      <c r="FH219" s="174">
        <f t="shared" si="274"/>
        <v>26770.940849999988</v>
      </c>
      <c r="FJ219" s="87">
        <v>1.3683132171062438</v>
      </c>
      <c r="FK219" s="176">
        <f t="shared" si="254"/>
        <v>1.3057771364787227</v>
      </c>
      <c r="FM219" s="87" t="e">
        <f t="shared" si="255"/>
        <v>#DIV/0!</v>
      </c>
      <c r="FO219" s="88">
        <f t="shared" si="245"/>
        <v>26770.940849999988</v>
      </c>
      <c r="FP219" s="79">
        <f t="shared" si="246"/>
        <v>0</v>
      </c>
      <c r="FS219" s="79">
        <f t="shared" si="247"/>
        <v>14983.354416000002</v>
      </c>
      <c r="FT219" s="79">
        <f t="shared" si="248"/>
        <v>0</v>
      </c>
      <c r="FU219" s="79">
        <f t="shared" si="256"/>
        <v>1.7867121144389797</v>
      </c>
      <c r="FV219" s="79" t="e">
        <f t="shared" si="256"/>
        <v>#DIV/0!</v>
      </c>
      <c r="FY219" s="79">
        <f t="shared" si="257"/>
        <v>26770.940849999988</v>
      </c>
      <c r="FZ219" s="79">
        <f t="shared" si="258"/>
        <v>0</v>
      </c>
      <c r="GB219" s="178">
        <f t="shared" si="259"/>
        <v>2790.82</v>
      </c>
      <c r="GC219" s="178">
        <f t="shared" si="260"/>
        <v>0</v>
      </c>
      <c r="GG219" s="14">
        <v>7.5535999999999994</v>
      </c>
      <c r="GH219" s="175">
        <f t="shared" si="261"/>
        <v>1.2699242745181101</v>
      </c>
      <c r="GI219" s="14">
        <v>7.5535999999999994</v>
      </c>
      <c r="GJ219" s="175">
        <f t="shared" si="262"/>
        <v>1.2699242745181101</v>
      </c>
      <c r="GK219" s="175">
        <f t="shared" si="263"/>
        <v>0</v>
      </c>
      <c r="GN219" s="14">
        <v>9.6821999999999999</v>
      </c>
      <c r="GO219" s="175">
        <f t="shared" si="264"/>
        <v>1.2817994069053167</v>
      </c>
      <c r="GP219" s="179">
        <f t="shared" si="265"/>
        <v>0.99073557662514677</v>
      </c>
      <c r="GQ219" s="14">
        <v>9.6821999999999999</v>
      </c>
      <c r="GR219" s="175">
        <f t="shared" si="266"/>
        <v>1.2817994069053167</v>
      </c>
      <c r="GS219" s="175">
        <f t="shared" si="267"/>
        <v>0.99073557662514677</v>
      </c>
      <c r="GV219" s="32">
        <f t="shared" si="268"/>
        <v>26770.940849999988</v>
      </c>
      <c r="GW219" s="32">
        <f t="shared" si="269"/>
        <v>0</v>
      </c>
      <c r="GX219" s="180">
        <f t="shared" si="270"/>
        <v>26770.940849999988</v>
      </c>
      <c r="GZ219" s="32">
        <f t="shared" si="271"/>
        <v>9.5924999999999958</v>
      </c>
      <c r="HA219" s="32" t="e">
        <f t="shared" si="272"/>
        <v>#DIV/0!</v>
      </c>
      <c r="HB219" s="32">
        <f t="shared" si="273"/>
        <v>9.5924999999999958</v>
      </c>
    </row>
    <row r="220" spans="1:210" ht="19.2" customHeight="1" x14ac:dyDescent="0.3">
      <c r="A220" s="50">
        <v>212</v>
      </c>
      <c r="B220" s="51" t="s">
        <v>890</v>
      </c>
      <c r="C220" s="51" t="s">
        <v>852</v>
      </c>
      <c r="D220" s="52">
        <v>5</v>
      </c>
      <c r="E220" s="52">
        <v>2</v>
      </c>
      <c r="F220" s="63">
        <v>157</v>
      </c>
      <c r="G220" s="54" t="s">
        <v>157</v>
      </c>
      <c r="H220" s="181" t="s">
        <v>65</v>
      </c>
      <c r="I220" s="55">
        <f t="shared" si="249"/>
        <v>4322.1400000000003</v>
      </c>
      <c r="J220" s="55">
        <f t="shared" si="229"/>
        <v>0</v>
      </c>
      <c r="K220" s="55">
        <f t="shared" si="230"/>
        <v>0</v>
      </c>
      <c r="L220" s="56">
        <v>4322.1400000000003</v>
      </c>
      <c r="M220" s="56">
        <v>4322.1400000000003</v>
      </c>
      <c r="N220" s="56">
        <f t="shared" si="250"/>
        <v>4322.1400000000003</v>
      </c>
      <c r="O220" s="56">
        <v>0</v>
      </c>
      <c r="P220" s="56">
        <v>0</v>
      </c>
      <c r="Q220" s="55"/>
      <c r="R220" s="55">
        <v>4322.1400000000003</v>
      </c>
      <c r="S220" s="55"/>
      <c r="T220" s="55">
        <v>0</v>
      </c>
      <c r="U220" s="152">
        <v>4322.1400000000003</v>
      </c>
      <c r="V220" s="57">
        <v>0.1593</v>
      </c>
      <c r="W220" s="153">
        <v>8.9700000000000002E-2</v>
      </c>
      <c r="X220" s="57">
        <v>0.32490000000000002</v>
      </c>
      <c r="Y220" s="57">
        <v>7.5600000000000001E-2</v>
      </c>
      <c r="Z220" s="153">
        <v>0</v>
      </c>
      <c r="AA220" s="57">
        <v>0.28710000000000002</v>
      </c>
      <c r="AB220" s="153">
        <v>0</v>
      </c>
      <c r="AC220" s="57">
        <v>0.63149999999999995</v>
      </c>
      <c r="AD220" s="57">
        <v>0.28720000000000001</v>
      </c>
      <c r="AE220" s="57">
        <v>0</v>
      </c>
      <c r="AF220" s="57">
        <v>0.94669999999999999</v>
      </c>
      <c r="AG220" s="57">
        <v>0.22259999999999999</v>
      </c>
      <c r="AH220" s="57">
        <v>0.30890000000000001</v>
      </c>
      <c r="AI220" s="153">
        <v>8.5199999999999998E-2</v>
      </c>
      <c r="AJ220" s="153">
        <v>0.1105</v>
      </c>
      <c r="AK220" s="153">
        <v>0</v>
      </c>
      <c r="AL220" s="57">
        <v>0.1145</v>
      </c>
      <c r="AM220" s="153">
        <v>3.44E-2</v>
      </c>
      <c r="AN220" s="57">
        <v>0</v>
      </c>
      <c r="AO220" s="153">
        <v>3.6955</v>
      </c>
      <c r="AP220" s="57">
        <v>1.9261999999999999</v>
      </c>
      <c r="AQ220" s="57">
        <v>0.1042</v>
      </c>
      <c r="AR220" s="153">
        <v>0.43690000000000001</v>
      </c>
      <c r="AS220" s="57">
        <v>5.79E-2</v>
      </c>
      <c r="AT220" s="57">
        <v>9.4000000000000004E-3</v>
      </c>
      <c r="AU220" s="153">
        <v>0.4</v>
      </c>
      <c r="AV220" s="153">
        <v>0</v>
      </c>
      <c r="AW220" s="154">
        <v>10.308199999999999</v>
      </c>
      <c r="AX220" s="58">
        <v>0.51539999999999997</v>
      </c>
      <c r="AY220" s="155">
        <f t="shared" si="231"/>
        <v>0.51019999999999999</v>
      </c>
      <c r="AZ220" s="155">
        <f t="shared" si="232"/>
        <v>5.1999999999999824E-3</v>
      </c>
      <c r="BA220" s="14">
        <v>10.823599999999999</v>
      </c>
      <c r="BB220" s="59">
        <f>BA220-'[1]Тариф 26 свод без  ПДВ'!AU220</f>
        <v>-6.0000000000037801E-4</v>
      </c>
      <c r="BC220" s="57">
        <v>0</v>
      </c>
      <c r="BD220" s="57">
        <v>0</v>
      </c>
      <c r="BE220" s="57">
        <v>0</v>
      </c>
      <c r="BF220" s="156">
        <v>10.308199999999999</v>
      </c>
      <c r="BG220" s="59">
        <v>0.51539999999999997</v>
      </c>
      <c r="BH220" s="59"/>
      <c r="BI220" s="59"/>
      <c r="BJ220" s="14">
        <v>10.823599999999999</v>
      </c>
      <c r="BK220" s="60"/>
      <c r="BL220" s="60">
        <v>3.8495999999999997</v>
      </c>
      <c r="BM220" s="60">
        <v>0.1925</v>
      </c>
      <c r="BN220" s="14">
        <v>4.0420999999999996</v>
      </c>
      <c r="BO220" s="14"/>
      <c r="BP220" s="157"/>
      <c r="BQ220" s="158">
        <f>BJ220-'[1]Тариф 26 свод без  ПДВ'!BG220</f>
        <v>-6.0000000000037801E-4</v>
      </c>
      <c r="BR220" s="77">
        <f>'[1]Тариф 26 свод без  ПДВ'!BG220</f>
        <v>10.824199999999999</v>
      </c>
      <c r="BS220" s="159">
        <f t="shared" si="233"/>
        <v>-6.0000000000037801E-4</v>
      </c>
      <c r="BU220" s="77">
        <f>'[1]Тариф 26 свод без  ПДВ'!AU220</f>
        <v>10.824199999999999</v>
      </c>
      <c r="BV220" s="159">
        <f t="shared" si="234"/>
        <v>-6.0000000000037801E-4</v>
      </c>
      <c r="BX220" s="95">
        <v>4.2155000000000005</v>
      </c>
      <c r="BY220" s="95">
        <v>5.8975</v>
      </c>
      <c r="BZ220" s="95"/>
      <c r="CA220" s="182">
        <f t="shared" si="235"/>
        <v>2.5675720555094288</v>
      </c>
      <c r="CB220" s="182">
        <f t="shared" si="236"/>
        <v>1.8352861381941499</v>
      </c>
      <c r="CD220" s="160">
        <f>L220-CE220</f>
        <v>4322.1400000000003</v>
      </c>
      <c r="CE220" s="160">
        <f>T220</f>
        <v>0</v>
      </c>
      <c r="CF220" s="77">
        <f>CD220*BA220</f>
        <v>46781.114503999997</v>
      </c>
      <c r="CG220" s="77">
        <f>BJ220*CE220</f>
        <v>0</v>
      </c>
      <c r="CI220" s="160">
        <f>'[1]0 СВОД'!AYY235</f>
        <v>46780.844041800017</v>
      </c>
      <c r="CJ220" s="77">
        <f t="shared" si="237"/>
        <v>561370.12850160024</v>
      </c>
      <c r="CM220" s="161">
        <v>217</v>
      </c>
      <c r="CN220" s="162" t="s">
        <v>891</v>
      </c>
      <c r="CO220" s="163">
        <v>5</v>
      </c>
      <c r="CP220" s="163">
        <v>2</v>
      </c>
      <c r="CQ220" s="164" t="s">
        <v>157</v>
      </c>
      <c r="CR220" s="165" t="s">
        <v>65</v>
      </c>
      <c r="CS220" s="166">
        <v>4318.4399999999996</v>
      </c>
      <c r="CT220" s="166">
        <v>0</v>
      </c>
      <c r="CU220" s="167">
        <v>0</v>
      </c>
      <c r="CV220" s="168">
        <v>4318.4399999999996</v>
      </c>
      <c r="CW220" s="166">
        <v>4318.4399999999996</v>
      </c>
      <c r="CX220" s="167">
        <v>0</v>
      </c>
      <c r="CY220" s="166">
        <v>0</v>
      </c>
      <c r="CZ220" s="166"/>
      <c r="DA220" s="166">
        <v>4318.4399999999996</v>
      </c>
      <c r="DB220" s="166"/>
      <c r="DC220" s="166">
        <v>0</v>
      </c>
      <c r="DD220" s="59">
        <v>0.1593</v>
      </c>
      <c r="DE220" s="59">
        <v>0.12690000000000001</v>
      </c>
      <c r="DF220" s="59">
        <v>0.21379999999999999</v>
      </c>
      <c r="DG220" s="59">
        <v>4.4299999999999999E-2</v>
      </c>
      <c r="DH220" s="59">
        <v>0</v>
      </c>
      <c r="DI220" s="59">
        <v>0.1197</v>
      </c>
      <c r="DJ220" s="59">
        <v>4.8099999999999997E-2</v>
      </c>
      <c r="DK220" s="59">
        <v>0.3458</v>
      </c>
      <c r="DL220" s="169">
        <v>0</v>
      </c>
      <c r="DM220" s="59">
        <v>0.1749</v>
      </c>
      <c r="DN220" s="169">
        <v>0</v>
      </c>
      <c r="DO220" s="59">
        <v>0.71560000000000001</v>
      </c>
      <c r="DP220" s="171">
        <f t="shared" si="238"/>
        <v>0.94669999999999999</v>
      </c>
      <c r="DQ220" s="59">
        <v>0.1075</v>
      </c>
      <c r="DR220" s="59">
        <v>0.16569999999999999</v>
      </c>
      <c r="DS220" s="59">
        <v>2.2100000000000002E-2</v>
      </c>
      <c r="DT220" s="59">
        <v>5.2200000000000003E-2</v>
      </c>
      <c r="DU220" s="59">
        <v>0</v>
      </c>
      <c r="DV220" s="59">
        <v>2.93E-2</v>
      </c>
      <c r="DW220" s="59">
        <v>9.5999999999999992E-3</v>
      </c>
      <c r="DX220" s="169">
        <v>0</v>
      </c>
      <c r="DY220" s="170">
        <v>1.9323000000000001</v>
      </c>
      <c r="DZ220" s="171">
        <f t="shared" si="239"/>
        <v>1.9124877089478858</v>
      </c>
      <c r="EA220" s="59">
        <v>1.1031</v>
      </c>
      <c r="EB220" s="171">
        <f t="shared" si="240"/>
        <v>1.8406309491433233</v>
      </c>
      <c r="EC220" s="59">
        <v>0.27350000000000002</v>
      </c>
      <c r="ED220" s="171">
        <f t="shared" si="241"/>
        <v>1.5974405850091407</v>
      </c>
      <c r="EE220" s="59">
        <v>4.4299999999999999E-2</v>
      </c>
      <c r="EF220" s="59">
        <v>6.1999999999999998E-3</v>
      </c>
      <c r="EG220" s="59">
        <v>0.21709999999999999</v>
      </c>
      <c r="EH220" s="59">
        <v>0</v>
      </c>
      <c r="EI220" s="208">
        <v>0.14779999999999999</v>
      </c>
      <c r="EJ220" s="172">
        <v>6.0591000000000008</v>
      </c>
      <c r="EK220" s="173"/>
      <c r="EL220" s="169">
        <v>0</v>
      </c>
      <c r="EM220" s="169">
        <v>0</v>
      </c>
      <c r="EN220" s="59"/>
      <c r="EO220" s="172"/>
      <c r="ES220" s="57">
        <f t="shared" si="251"/>
        <v>6.0591000000000008</v>
      </c>
      <c r="ET220" s="57">
        <f t="shared" si="252"/>
        <v>0</v>
      </c>
      <c r="EU220" s="31"/>
      <c r="EV220" s="61">
        <f t="shared" si="242"/>
        <v>1.7863379049693844</v>
      </c>
      <c r="EW220" s="62"/>
      <c r="EX220" s="158">
        <f>ES220*1.305-BA220</f>
        <v>-2.9164744999999987</v>
      </c>
      <c r="EY220" s="77">
        <f>ES220*1.344</f>
        <v>8.1434304000000015</v>
      </c>
      <c r="EZ220" s="158">
        <f t="shared" si="243"/>
        <v>10.823599999999999</v>
      </c>
      <c r="FA220" s="158">
        <f t="shared" si="244"/>
        <v>10.823599999999999</v>
      </c>
      <c r="FH220" s="174">
        <f t="shared" si="274"/>
        <v>46781.114503999997</v>
      </c>
      <c r="FJ220" s="87">
        <v>1.4094667524879931</v>
      </c>
      <c r="FK220" s="176">
        <f t="shared" si="254"/>
        <v>1.2673856278029529</v>
      </c>
      <c r="FM220" s="87" t="e">
        <f t="shared" si="255"/>
        <v>#DIV/0!</v>
      </c>
      <c r="FO220" s="88">
        <f t="shared" si="245"/>
        <v>46781.114503999997</v>
      </c>
      <c r="FP220" s="79">
        <f t="shared" si="246"/>
        <v>0</v>
      </c>
      <c r="FS220" s="79">
        <f t="shared" si="247"/>
        <v>26188.278474000006</v>
      </c>
      <c r="FT220" s="79">
        <f t="shared" si="248"/>
        <v>0</v>
      </c>
      <c r="FU220" s="79">
        <f t="shared" si="256"/>
        <v>1.7863379049693844</v>
      </c>
      <c r="FV220" s="79" t="e">
        <f t="shared" si="256"/>
        <v>#DIV/0!</v>
      </c>
      <c r="FY220" s="79">
        <f t="shared" si="257"/>
        <v>46781.114503999997</v>
      </c>
      <c r="FZ220" s="79">
        <f t="shared" si="258"/>
        <v>0</v>
      </c>
      <c r="GB220" s="178">
        <f t="shared" si="259"/>
        <v>4322.1400000000003</v>
      </c>
      <c r="GC220" s="178">
        <f t="shared" si="260"/>
        <v>0</v>
      </c>
      <c r="GG220" s="14">
        <v>8.5230000000000015</v>
      </c>
      <c r="GH220" s="175">
        <f t="shared" si="261"/>
        <v>1.2699284289569397</v>
      </c>
      <c r="GI220" s="14">
        <v>8.5230000000000015</v>
      </c>
      <c r="GJ220" s="175">
        <f t="shared" si="262"/>
        <v>1.2699284289569397</v>
      </c>
      <c r="GK220" s="175">
        <f t="shared" si="263"/>
        <v>0</v>
      </c>
      <c r="GN220" s="14">
        <v>11.1234</v>
      </c>
      <c r="GO220" s="175">
        <f t="shared" si="264"/>
        <v>1.3051038366772261</v>
      </c>
      <c r="GP220" s="179">
        <f t="shared" si="265"/>
        <v>0.97304780912310973</v>
      </c>
      <c r="GQ220" s="14">
        <v>11.1234</v>
      </c>
      <c r="GR220" s="175">
        <f t="shared" si="266"/>
        <v>1.3051038366772261</v>
      </c>
      <c r="GS220" s="175">
        <f t="shared" si="267"/>
        <v>0.97304780912310973</v>
      </c>
      <c r="GV220" s="32">
        <f t="shared" si="268"/>
        <v>46781.114503999997</v>
      </c>
      <c r="GW220" s="32">
        <f t="shared" si="269"/>
        <v>0</v>
      </c>
      <c r="GX220" s="180">
        <f t="shared" si="270"/>
        <v>46781.114503999997</v>
      </c>
      <c r="GZ220" s="32">
        <f t="shared" si="271"/>
        <v>10.823599999999999</v>
      </c>
      <c r="HA220" s="32" t="e">
        <f t="shared" si="272"/>
        <v>#DIV/0!</v>
      </c>
      <c r="HB220" s="32">
        <f t="shared" si="273"/>
        <v>10.823599999999999</v>
      </c>
    </row>
    <row r="221" spans="1:210" ht="19.2" customHeight="1" x14ac:dyDescent="0.3">
      <c r="A221" s="50">
        <v>213</v>
      </c>
      <c r="B221" s="51" t="s">
        <v>892</v>
      </c>
      <c r="C221" s="51" t="s">
        <v>852</v>
      </c>
      <c r="D221" s="52">
        <v>9</v>
      </c>
      <c r="E221" s="52">
        <v>1</v>
      </c>
      <c r="F221" s="63">
        <v>44</v>
      </c>
      <c r="G221" s="54" t="s">
        <v>233</v>
      </c>
      <c r="H221" s="181" t="s">
        <v>179</v>
      </c>
      <c r="I221" s="55">
        <f t="shared" si="249"/>
        <v>433.69000000000005</v>
      </c>
      <c r="J221" s="55">
        <f t="shared" si="229"/>
        <v>2981.94</v>
      </c>
      <c r="K221" s="55">
        <f t="shared" si="230"/>
        <v>0</v>
      </c>
      <c r="L221" s="56">
        <v>3415.63</v>
      </c>
      <c r="M221" s="56">
        <v>3415.63</v>
      </c>
      <c r="N221" s="56">
        <f t="shared" si="250"/>
        <v>433.69000000000005</v>
      </c>
      <c r="O221" s="56">
        <v>0</v>
      </c>
      <c r="P221" s="56">
        <v>0</v>
      </c>
      <c r="Q221" s="55"/>
      <c r="R221" s="55">
        <v>3415.63</v>
      </c>
      <c r="S221" s="55"/>
      <c r="T221" s="55">
        <v>2981.94</v>
      </c>
      <c r="U221" s="152">
        <v>433.69000000000005</v>
      </c>
      <c r="V221" s="57">
        <v>0.19189999999999999</v>
      </c>
      <c r="W221" s="57">
        <v>7.3499999999999996E-2</v>
      </c>
      <c r="X221" s="153">
        <v>0.26090000000000002</v>
      </c>
      <c r="Y221" s="153">
        <v>6.4699999999999994E-2</v>
      </c>
      <c r="Z221" s="57">
        <v>3.2199999999999999E-2</v>
      </c>
      <c r="AA221" s="57">
        <v>0.1384</v>
      </c>
      <c r="AB221" s="57">
        <v>0</v>
      </c>
      <c r="AC221" s="153">
        <v>0.63149999999999995</v>
      </c>
      <c r="AD221" s="57">
        <v>0.1019</v>
      </c>
      <c r="AE221" s="57">
        <v>0</v>
      </c>
      <c r="AF221" s="57">
        <v>1.3118000000000001</v>
      </c>
      <c r="AG221" s="57">
        <v>0.2631</v>
      </c>
      <c r="AH221" s="57">
        <v>0.26300000000000001</v>
      </c>
      <c r="AI221" s="57">
        <v>0.12039999999999999</v>
      </c>
      <c r="AJ221" s="57">
        <v>0.1124</v>
      </c>
      <c r="AK221" s="57">
        <v>6.2600000000000003E-2</v>
      </c>
      <c r="AL221" s="57">
        <v>3.9199999999999999E-2</v>
      </c>
      <c r="AM221" s="57">
        <v>2.41E-2</v>
      </c>
      <c r="AN221" s="57">
        <v>0</v>
      </c>
      <c r="AO221" s="57">
        <v>2.1362000000000001</v>
      </c>
      <c r="AP221" s="153">
        <v>1.4784999999999999</v>
      </c>
      <c r="AQ221" s="153">
        <v>0.109</v>
      </c>
      <c r="AR221" s="57">
        <v>0.46160000000000001</v>
      </c>
      <c r="AS221" s="57">
        <v>4.7399999999999998E-2</v>
      </c>
      <c r="AT221" s="153">
        <v>7.7000000000000002E-3</v>
      </c>
      <c r="AU221" s="153">
        <v>0.35460000000000003</v>
      </c>
      <c r="AV221" s="153">
        <v>0</v>
      </c>
      <c r="AW221" s="154">
        <v>8.2866</v>
      </c>
      <c r="AX221" s="58">
        <v>0.4143</v>
      </c>
      <c r="AY221" s="155">
        <f t="shared" si="231"/>
        <v>0.40889999999999999</v>
      </c>
      <c r="AZ221" s="155">
        <f t="shared" si="232"/>
        <v>5.4000000000000159E-3</v>
      </c>
      <c r="BA221" s="14">
        <v>8.7009000000000007</v>
      </c>
      <c r="BB221" s="59">
        <f>BA221-'[1]Тариф 26 свод без  ПДВ'!AU221</f>
        <v>-5.6999999999991502E-3</v>
      </c>
      <c r="BC221" s="57">
        <v>1.1493</v>
      </c>
      <c r="BD221" s="57">
        <v>0</v>
      </c>
      <c r="BE221" s="57">
        <v>0.19089999999999999</v>
      </c>
      <c r="BF221" s="156">
        <v>9.6267999999999994</v>
      </c>
      <c r="BG221" s="59">
        <v>0.48130000000000001</v>
      </c>
      <c r="BH221" s="59"/>
      <c r="BI221" s="59"/>
      <c r="BJ221" s="14">
        <v>10.108099999999999</v>
      </c>
      <c r="BK221" s="60"/>
      <c r="BL221" s="60">
        <v>3.855700000000001</v>
      </c>
      <c r="BM221" s="60">
        <v>0.1928</v>
      </c>
      <c r="BN221" s="14">
        <v>4.0485000000000007</v>
      </c>
      <c r="BO221" s="14"/>
      <c r="BP221" s="157"/>
      <c r="BQ221" s="158">
        <f>BJ221-'[1]Тариф 26 свод без  ПДВ'!BG221</f>
        <v>1.2999999999987466E-3</v>
      </c>
      <c r="BR221" s="77">
        <f>'[1]Тариф 26 свод без  ПДВ'!BG221</f>
        <v>10.1068</v>
      </c>
      <c r="BS221" s="159">
        <f t="shared" si="233"/>
        <v>1.2999999999987466E-3</v>
      </c>
      <c r="BU221" s="77">
        <f>'[1]Тариф 26 свод без  ПДВ'!AU221</f>
        <v>8.7065999999999999</v>
      </c>
      <c r="BV221" s="159">
        <f t="shared" si="234"/>
        <v>-5.6999999999991502E-3</v>
      </c>
      <c r="BX221" s="95">
        <v>4.6547000000000001</v>
      </c>
      <c r="BY221" s="95">
        <v>4.6547000000000001</v>
      </c>
      <c r="BZ221" s="95"/>
      <c r="CA221" s="62">
        <f t="shared" si="235"/>
        <v>1.8692719187058244</v>
      </c>
      <c r="CB221" s="62">
        <f t="shared" si="236"/>
        <v>2.1715900058005881</v>
      </c>
      <c r="CI221" s="160">
        <f>'[1]0 СВОД'!AYY236</f>
        <v>33914.937149578851</v>
      </c>
      <c r="CJ221" s="77">
        <f t="shared" si="237"/>
        <v>406979.24579494621</v>
      </c>
      <c r="CM221" s="161">
        <v>218</v>
      </c>
      <c r="CN221" s="183" t="s">
        <v>893</v>
      </c>
      <c r="CO221" s="163">
        <v>9</v>
      </c>
      <c r="CP221" s="163">
        <v>1</v>
      </c>
      <c r="CQ221" s="164" t="s">
        <v>233</v>
      </c>
      <c r="CR221" s="165" t="s">
        <v>179</v>
      </c>
      <c r="CS221" s="166">
        <v>439.57999999999993</v>
      </c>
      <c r="CT221" s="166">
        <v>2971.96</v>
      </c>
      <c r="CU221" s="167">
        <v>0</v>
      </c>
      <c r="CV221" s="168">
        <v>3411.54</v>
      </c>
      <c r="CW221" s="166">
        <v>3411.54</v>
      </c>
      <c r="CX221" s="167">
        <v>0</v>
      </c>
      <c r="CY221" s="166">
        <v>0</v>
      </c>
      <c r="CZ221" s="166"/>
      <c r="DA221" s="166">
        <v>3411.54</v>
      </c>
      <c r="DB221" s="166"/>
      <c r="DC221" s="166">
        <v>2971.96</v>
      </c>
      <c r="DD221" s="59">
        <v>0.18379999999999999</v>
      </c>
      <c r="DE221" s="59">
        <v>0.1196</v>
      </c>
      <c r="DF221" s="59">
        <v>0.17169999999999999</v>
      </c>
      <c r="DG221" s="59">
        <v>3.8199999999999998E-2</v>
      </c>
      <c r="DH221" s="59">
        <v>1.21E-2</v>
      </c>
      <c r="DI221" s="59">
        <v>6.0199999999999997E-2</v>
      </c>
      <c r="DJ221" s="59">
        <v>4.8099999999999997E-2</v>
      </c>
      <c r="DK221" s="59">
        <v>0.3458</v>
      </c>
      <c r="DL221" s="169">
        <v>0</v>
      </c>
      <c r="DM221" s="59">
        <v>6.2100000000000002E-2</v>
      </c>
      <c r="DN221" s="169">
        <v>0</v>
      </c>
      <c r="DO221" s="184">
        <v>1.0372999999999999</v>
      </c>
      <c r="DP221" s="171">
        <f t="shared" si="238"/>
        <v>1.3118000000000001</v>
      </c>
      <c r="DQ221" s="59">
        <v>0.12659999999999999</v>
      </c>
      <c r="DR221" s="59">
        <v>0.15770000000000001</v>
      </c>
      <c r="DS221" s="59">
        <v>3.09E-2</v>
      </c>
      <c r="DT221" s="59">
        <v>5.3400000000000003E-2</v>
      </c>
      <c r="DU221" s="59">
        <v>2.64E-2</v>
      </c>
      <c r="DV221" s="59">
        <v>1.37E-2</v>
      </c>
      <c r="DW221" s="59">
        <v>4.7000000000000002E-3</v>
      </c>
      <c r="DX221" s="169">
        <v>0</v>
      </c>
      <c r="DY221" s="59">
        <v>1.093</v>
      </c>
      <c r="DZ221" s="171">
        <f t="shared" si="239"/>
        <v>1.954437328453797</v>
      </c>
      <c r="EA221" s="59">
        <v>0.89080000000000004</v>
      </c>
      <c r="EB221" s="171">
        <f t="shared" si="240"/>
        <v>1.7821059721598562</v>
      </c>
      <c r="EC221" s="59">
        <v>0.24859999999999999</v>
      </c>
      <c r="ED221" s="171">
        <f t="shared" si="241"/>
        <v>1.8567980691874499</v>
      </c>
      <c r="EE221" s="59">
        <v>3.6299999999999999E-2</v>
      </c>
      <c r="EF221" s="59">
        <v>5.0000000000000001E-3</v>
      </c>
      <c r="EG221" s="59">
        <v>0.1636</v>
      </c>
      <c r="EH221" s="59">
        <v>0</v>
      </c>
      <c r="EI221" s="155">
        <v>0.1232</v>
      </c>
      <c r="EJ221" s="172">
        <v>5.0527999999999995</v>
      </c>
      <c r="EK221" s="173"/>
      <c r="EL221" s="59">
        <v>0.99670000000000003</v>
      </c>
      <c r="EM221" s="59">
        <v>0.15479999999999999</v>
      </c>
      <c r="EN221" s="59">
        <v>0.152</v>
      </c>
      <c r="EO221" s="172">
        <v>6.2330999999999994</v>
      </c>
      <c r="ES221" s="57">
        <f t="shared" si="251"/>
        <v>5.0527999999999995</v>
      </c>
      <c r="ET221" s="57">
        <f t="shared" si="252"/>
        <v>6.2330999999999994</v>
      </c>
      <c r="EU221" s="31"/>
      <c r="EV221" s="61">
        <f t="shared" si="242"/>
        <v>1.7219957251424955</v>
      </c>
      <c r="EW221" s="61">
        <f>BJ221/ET221</f>
        <v>1.6216810254929328</v>
      </c>
      <c r="EX221" s="185">
        <v>6.5898000000000003</v>
      </c>
      <c r="EY221" s="174">
        <v>8.2364999999999995</v>
      </c>
      <c r="EZ221" s="158">
        <f t="shared" si="243"/>
        <v>8.7009000000000007</v>
      </c>
      <c r="FA221" s="158">
        <f t="shared" si="244"/>
        <v>10.108099999999999</v>
      </c>
      <c r="FB221" s="158">
        <f>BA221-EX221</f>
        <v>2.1111000000000004</v>
      </c>
      <c r="FC221" s="158">
        <f>BJ221-EY221</f>
        <v>1.871599999999999</v>
      </c>
      <c r="FD221" s="175">
        <f>FB221/EX221</f>
        <v>0.32035873622871713</v>
      </c>
      <c r="FE221" s="175">
        <f>FC221/FA221</f>
        <v>0.18515843729286408</v>
      </c>
      <c r="FH221" s="174">
        <f t="shared" si="274"/>
        <v>29719.055067000005</v>
      </c>
      <c r="FJ221" s="176">
        <v>1.2861</v>
      </c>
      <c r="FK221" s="176">
        <f t="shared" si="254"/>
        <v>1.3389283299451795</v>
      </c>
      <c r="FL221" s="87">
        <v>1.3067</v>
      </c>
      <c r="FM221" s="177">
        <f t="shared" si="255"/>
        <v>1.2410507580109686</v>
      </c>
      <c r="FO221" s="88">
        <f t="shared" si="245"/>
        <v>29719.055067000005</v>
      </c>
      <c r="FP221" s="79">
        <f t="shared" si="246"/>
        <v>30141.747713999997</v>
      </c>
      <c r="FS221" s="79">
        <f t="shared" si="247"/>
        <v>17258.495263999997</v>
      </c>
      <c r="FT221" s="79">
        <f t="shared" si="248"/>
        <v>18586.730213999999</v>
      </c>
      <c r="FU221" s="79">
        <f t="shared" si="256"/>
        <v>1.7219957251424958</v>
      </c>
      <c r="FV221" s="79">
        <f t="shared" si="256"/>
        <v>1.6216810254929328</v>
      </c>
      <c r="FY221" s="79">
        <f t="shared" si="257"/>
        <v>3773.4933210000008</v>
      </c>
      <c r="FZ221" s="79">
        <f t="shared" si="258"/>
        <v>30141.747713999997</v>
      </c>
      <c r="GB221" s="178">
        <f t="shared" si="259"/>
        <v>433.69000000000005</v>
      </c>
      <c r="GC221" s="178">
        <f t="shared" si="260"/>
        <v>2981.94</v>
      </c>
      <c r="GG221" s="14">
        <v>6.8514000000000008</v>
      </c>
      <c r="GH221" s="175">
        <f t="shared" si="261"/>
        <v>1.2699448287941151</v>
      </c>
      <c r="GI221" s="14">
        <v>8.654300000000001</v>
      </c>
      <c r="GJ221" s="175">
        <f t="shared" si="262"/>
        <v>1.1679858567417349</v>
      </c>
      <c r="GK221" s="175">
        <f>GH221-GJ221</f>
        <v>0.10195897205238014</v>
      </c>
      <c r="GN221" s="14">
        <v>8.7460999999999984</v>
      </c>
      <c r="GO221" s="175">
        <f t="shared" si="264"/>
        <v>1.2765420206089262</v>
      </c>
      <c r="GP221" s="179">
        <f t="shared" si="265"/>
        <v>0.99483198225494818</v>
      </c>
      <c r="GQ221" s="14">
        <v>10.182299999999998</v>
      </c>
      <c r="GR221" s="175">
        <f t="shared" si="266"/>
        <v>1.1765596293172176</v>
      </c>
      <c r="GS221" s="175">
        <f t="shared" si="267"/>
        <v>0.99271284483859257</v>
      </c>
      <c r="GV221" s="32">
        <f t="shared" si="268"/>
        <v>3773.4933210000008</v>
      </c>
      <c r="GW221" s="32">
        <f t="shared" si="269"/>
        <v>30141.747713999997</v>
      </c>
      <c r="GX221" s="180">
        <f t="shared" si="270"/>
        <v>33915.241034999999</v>
      </c>
      <c r="GZ221" s="32">
        <f t="shared" si="271"/>
        <v>8.7009000000000007</v>
      </c>
      <c r="HA221" s="32">
        <f t="shared" si="272"/>
        <v>10.108099999999999</v>
      </c>
      <c r="HB221" s="32">
        <f t="shared" si="273"/>
        <v>9.9294247430195881</v>
      </c>
    </row>
    <row r="222" spans="1:210" ht="19.2" customHeight="1" x14ac:dyDescent="0.3">
      <c r="A222" s="50">
        <v>214</v>
      </c>
      <c r="B222" s="51" t="s">
        <v>894</v>
      </c>
      <c r="C222" s="51" t="s">
        <v>852</v>
      </c>
      <c r="D222" s="52">
        <v>5</v>
      </c>
      <c r="E222" s="52">
        <v>4</v>
      </c>
      <c r="F222" s="63">
        <v>59</v>
      </c>
      <c r="G222" s="54" t="s">
        <v>158</v>
      </c>
      <c r="H222" s="181" t="s">
        <v>49</v>
      </c>
      <c r="I222" s="55">
        <f t="shared" si="249"/>
        <v>2663.32</v>
      </c>
      <c r="J222" s="55">
        <f t="shared" si="229"/>
        <v>0</v>
      </c>
      <c r="K222" s="55">
        <f t="shared" si="230"/>
        <v>94.5</v>
      </c>
      <c r="L222" s="56">
        <v>2757.82</v>
      </c>
      <c r="M222" s="56">
        <v>2663.32</v>
      </c>
      <c r="N222" s="56">
        <f t="shared" si="250"/>
        <v>2663.32</v>
      </c>
      <c r="O222" s="56">
        <v>94.5</v>
      </c>
      <c r="P222" s="56">
        <v>0</v>
      </c>
      <c r="Q222" s="55"/>
      <c r="R222" s="55">
        <v>2757.82</v>
      </c>
      <c r="S222" s="55"/>
      <c r="T222" s="55">
        <v>0</v>
      </c>
      <c r="U222" s="152">
        <v>2757.82</v>
      </c>
      <c r="V222" s="57">
        <v>0.1641</v>
      </c>
      <c r="W222" s="153">
        <v>9.2399999999999996E-2</v>
      </c>
      <c r="X222" s="57">
        <v>0.32400000000000001</v>
      </c>
      <c r="Y222" s="57">
        <v>7.3899999999999993E-2</v>
      </c>
      <c r="Z222" s="153">
        <v>3.2599999999999997E-2</v>
      </c>
      <c r="AA222" s="57">
        <v>0.49880000000000002</v>
      </c>
      <c r="AB222" s="153">
        <v>0</v>
      </c>
      <c r="AC222" s="57">
        <v>0.63149999999999995</v>
      </c>
      <c r="AD222" s="57">
        <v>0.16919999999999999</v>
      </c>
      <c r="AE222" s="57">
        <v>0</v>
      </c>
      <c r="AF222" s="57">
        <v>2.2696999999999998</v>
      </c>
      <c r="AG222" s="57">
        <v>0.21940000000000001</v>
      </c>
      <c r="AH222" s="57">
        <v>0.3276</v>
      </c>
      <c r="AI222" s="153">
        <v>8.7800000000000003E-2</v>
      </c>
      <c r="AJ222" s="153">
        <v>0.10199999999999999</v>
      </c>
      <c r="AK222" s="153">
        <v>6.3399999999999998E-2</v>
      </c>
      <c r="AL222" s="57">
        <v>0.1719</v>
      </c>
      <c r="AM222" s="153">
        <v>3.2199999999999999E-2</v>
      </c>
      <c r="AN222" s="57">
        <v>0</v>
      </c>
      <c r="AO222" s="153">
        <v>2.2970000000000002</v>
      </c>
      <c r="AP222" s="57">
        <v>1.2364999999999999</v>
      </c>
      <c r="AQ222" s="57">
        <v>9.2299999999999993E-2</v>
      </c>
      <c r="AR222" s="153">
        <v>0.44219999999999998</v>
      </c>
      <c r="AS222" s="57">
        <v>5.8299999999999998E-2</v>
      </c>
      <c r="AT222" s="57">
        <v>9.4999999999999998E-3</v>
      </c>
      <c r="AU222" s="153">
        <v>0.38279999999999997</v>
      </c>
      <c r="AV222" s="153">
        <v>0</v>
      </c>
      <c r="AW222" s="154">
        <v>9.7790999999999961</v>
      </c>
      <c r="AX222" s="58">
        <v>0.48899999999999999</v>
      </c>
      <c r="AY222" s="155">
        <f t="shared" si="231"/>
        <v>0.48430000000000001</v>
      </c>
      <c r="AZ222" s="155">
        <f t="shared" si="232"/>
        <v>4.699999999999982E-3</v>
      </c>
      <c r="BA222" s="14">
        <v>10.268099999999997</v>
      </c>
      <c r="BB222" s="59">
        <f>BA222-'[1]Тариф 26 свод без  ПДВ'!AU222</f>
        <v>-2.9000000000038995E-3</v>
      </c>
      <c r="BC222" s="57">
        <v>0</v>
      </c>
      <c r="BD222" s="57">
        <v>0</v>
      </c>
      <c r="BE222" s="57">
        <v>0</v>
      </c>
      <c r="BF222" s="156">
        <v>9.7790999999999961</v>
      </c>
      <c r="BG222" s="59">
        <v>0.48899999999999999</v>
      </c>
      <c r="BH222" s="59"/>
      <c r="BI222" s="59"/>
      <c r="BJ222" s="14">
        <v>10.268099999999997</v>
      </c>
      <c r="BK222" s="60"/>
      <c r="BL222" s="60">
        <v>5.4205999999999968</v>
      </c>
      <c r="BM222" s="60">
        <v>0.27100000000000002</v>
      </c>
      <c r="BN222" s="14">
        <v>5.6915999999999967</v>
      </c>
      <c r="BO222" s="14"/>
      <c r="BP222" s="157"/>
      <c r="BQ222" s="158">
        <f>BJ222-'[1]Тариф 26 свод без  ПДВ'!BG222</f>
        <v>-2.9000000000038995E-3</v>
      </c>
      <c r="BR222" s="77">
        <f>'[1]Тариф 26 свод без  ПДВ'!BG222</f>
        <v>10.271000000000001</v>
      </c>
      <c r="BS222" s="159">
        <f t="shared" si="233"/>
        <v>-2.9000000000038995E-3</v>
      </c>
      <c r="BU222" s="77">
        <f>'[1]Тариф 26 свод без  ПДВ'!AU222</f>
        <v>10.271000000000001</v>
      </c>
      <c r="BV222" s="159">
        <f t="shared" si="234"/>
        <v>-2.9000000000038995E-3</v>
      </c>
      <c r="BX222" s="95">
        <v>4.7789999999999999</v>
      </c>
      <c r="BY222" s="95">
        <v>4.7789999999999999</v>
      </c>
      <c r="BZ222" s="95"/>
      <c r="CA222" s="62">
        <f t="shared" si="235"/>
        <v>2.1485875706214683</v>
      </c>
      <c r="CB222" s="62">
        <f t="shared" si="236"/>
        <v>2.1485875706214683</v>
      </c>
      <c r="CI222" s="160">
        <f>'[1]0 СВОД'!AYY237</f>
        <v>27884.472665016594</v>
      </c>
      <c r="CJ222" s="77">
        <f t="shared" si="237"/>
        <v>334613.67198019911</v>
      </c>
      <c r="CM222" s="161">
        <v>219</v>
      </c>
      <c r="CN222" s="162" t="s">
        <v>895</v>
      </c>
      <c r="CO222" s="163">
        <v>5</v>
      </c>
      <c r="CP222" s="163">
        <v>4</v>
      </c>
      <c r="CQ222" s="164" t="s">
        <v>158</v>
      </c>
      <c r="CR222" s="165" t="s">
        <v>49</v>
      </c>
      <c r="CS222" s="166">
        <v>2657.64</v>
      </c>
      <c r="CT222" s="166">
        <v>0</v>
      </c>
      <c r="CU222" s="167">
        <v>94.5</v>
      </c>
      <c r="CV222" s="168">
        <v>2752.14</v>
      </c>
      <c r="CW222" s="166">
        <v>2657.64</v>
      </c>
      <c r="CX222" s="167">
        <v>94.5</v>
      </c>
      <c r="CY222" s="166">
        <v>0</v>
      </c>
      <c r="CZ222" s="166"/>
      <c r="DA222" s="166">
        <v>2752.14</v>
      </c>
      <c r="DB222" s="166"/>
      <c r="DC222" s="166">
        <v>0</v>
      </c>
      <c r="DD222" s="59">
        <v>0.16320000000000001</v>
      </c>
      <c r="DE222" s="59">
        <v>0.15040000000000001</v>
      </c>
      <c r="DF222" s="59">
        <v>0.21340000000000001</v>
      </c>
      <c r="DG222" s="59">
        <v>4.36E-2</v>
      </c>
      <c r="DH222" s="59">
        <v>1.23E-2</v>
      </c>
      <c r="DI222" s="59">
        <v>0.21740000000000001</v>
      </c>
      <c r="DJ222" s="59">
        <v>4.8099999999999997E-2</v>
      </c>
      <c r="DK222" s="59">
        <v>0.3458</v>
      </c>
      <c r="DL222" s="169">
        <v>0</v>
      </c>
      <c r="DM222" s="59">
        <v>0.1032</v>
      </c>
      <c r="DN222" s="169">
        <v>0</v>
      </c>
      <c r="DO222" s="170">
        <v>1.3043</v>
      </c>
      <c r="DP222" s="171">
        <f t="shared" si="238"/>
        <v>2.2696999999999998</v>
      </c>
      <c r="DQ222" s="59">
        <v>0.10589999999999999</v>
      </c>
      <c r="DR222" s="59">
        <v>0.19639999999999999</v>
      </c>
      <c r="DS222" s="59">
        <v>2.29E-2</v>
      </c>
      <c r="DT222" s="59">
        <v>4.8099999999999997E-2</v>
      </c>
      <c r="DU222" s="59">
        <v>2.6800000000000001E-2</v>
      </c>
      <c r="DV222" s="59">
        <v>0.06</v>
      </c>
      <c r="DW222" s="59">
        <v>8.6E-3</v>
      </c>
      <c r="DX222" s="169">
        <v>0</v>
      </c>
      <c r="DY222" s="59">
        <v>1.1918</v>
      </c>
      <c r="DZ222" s="171">
        <f t="shared" si="239"/>
        <v>1.927336801476758</v>
      </c>
      <c r="EA222" s="59">
        <v>0.74590000000000001</v>
      </c>
      <c r="EB222" s="171">
        <f t="shared" si="240"/>
        <v>1.7814720471913124</v>
      </c>
      <c r="EC222" s="59">
        <v>0.24809999999999999</v>
      </c>
      <c r="ED222" s="171">
        <f t="shared" si="241"/>
        <v>1.7823458282950424</v>
      </c>
      <c r="EE222" s="59">
        <v>4.4699999999999997E-2</v>
      </c>
      <c r="EF222" s="59">
        <v>6.1999999999999998E-3</v>
      </c>
      <c r="EG222" s="59">
        <v>0.28320000000000001</v>
      </c>
      <c r="EH222" s="59">
        <v>0</v>
      </c>
      <c r="EI222" s="208">
        <v>0.13980000000000001</v>
      </c>
      <c r="EJ222" s="172">
        <v>5.7300999999999993</v>
      </c>
      <c r="EK222" s="173"/>
      <c r="EL222" s="169">
        <v>0</v>
      </c>
      <c r="EM222" s="169">
        <v>0</v>
      </c>
      <c r="EN222" s="59"/>
      <c r="EO222" s="172"/>
      <c r="ES222" s="57">
        <f t="shared" si="251"/>
        <v>5.7300999999999993</v>
      </c>
      <c r="ET222" s="57">
        <f t="shared" si="252"/>
        <v>0</v>
      </c>
      <c r="EU222" s="31"/>
      <c r="EV222" s="61">
        <f t="shared" si="242"/>
        <v>1.7919582555278264</v>
      </c>
      <c r="EW222" s="62"/>
      <c r="EX222" s="158">
        <f>ES222*1.305-BA222</f>
        <v>-2.7903194999999981</v>
      </c>
      <c r="EY222" s="77">
        <f>ES222*1.344</f>
        <v>7.7012543999999998</v>
      </c>
      <c r="EZ222" s="158">
        <f t="shared" si="243"/>
        <v>10.268099999999997</v>
      </c>
      <c r="FA222" s="158">
        <f t="shared" si="244"/>
        <v>10.268099999999997</v>
      </c>
      <c r="FH222" s="174">
        <f t="shared" si="274"/>
        <v>28317.571541999994</v>
      </c>
      <c r="FJ222" s="87">
        <v>1.3831521264899393</v>
      </c>
      <c r="FK222" s="176">
        <f t="shared" si="254"/>
        <v>1.2955612193398602</v>
      </c>
      <c r="FM222" s="87" t="e">
        <f t="shared" si="255"/>
        <v>#DIV/0!</v>
      </c>
      <c r="FO222" s="88">
        <f t="shared" si="245"/>
        <v>28317.571541999994</v>
      </c>
      <c r="FP222" s="79">
        <f t="shared" si="246"/>
        <v>0</v>
      </c>
      <c r="FS222" s="79">
        <f t="shared" si="247"/>
        <v>15802.584381999999</v>
      </c>
      <c r="FT222" s="79">
        <f t="shared" si="248"/>
        <v>0</v>
      </c>
      <c r="FU222" s="79">
        <f t="shared" si="256"/>
        <v>1.7919582555278264</v>
      </c>
      <c r="FV222" s="79" t="e">
        <f t="shared" si="256"/>
        <v>#DIV/0!</v>
      </c>
      <c r="FY222" s="79">
        <f t="shared" si="257"/>
        <v>28317.571541999994</v>
      </c>
      <c r="FZ222" s="79">
        <f t="shared" si="258"/>
        <v>0</v>
      </c>
      <c r="GB222" s="178">
        <f t="shared" si="259"/>
        <v>2757.82</v>
      </c>
      <c r="GC222" s="178">
        <f t="shared" si="260"/>
        <v>0</v>
      </c>
      <c r="GG222" s="14">
        <v>8.0854999999999997</v>
      </c>
      <c r="GH222" s="175">
        <f t="shared" si="261"/>
        <v>1.2699400160781642</v>
      </c>
      <c r="GI222" s="14">
        <v>8.0854999999999997</v>
      </c>
      <c r="GJ222" s="175">
        <f t="shared" si="262"/>
        <v>1.2699400160781642</v>
      </c>
      <c r="GK222" s="175">
        <f t="shared" ref="GK222:GK225" si="280">GH222-GJ222</f>
        <v>0</v>
      </c>
      <c r="GN222" s="14">
        <v>10.3504</v>
      </c>
      <c r="GO222" s="175">
        <f t="shared" si="264"/>
        <v>1.2801187310617774</v>
      </c>
      <c r="GP222" s="179">
        <f t="shared" si="265"/>
        <v>0.99204861647858988</v>
      </c>
      <c r="GQ222" s="14">
        <v>10.3504</v>
      </c>
      <c r="GR222" s="175">
        <f t="shared" si="266"/>
        <v>1.2801187310617774</v>
      </c>
      <c r="GS222" s="175">
        <f t="shared" si="267"/>
        <v>0.99204861647858988</v>
      </c>
      <c r="GV222" s="32">
        <f t="shared" si="268"/>
        <v>28317.571541999994</v>
      </c>
      <c r="GW222" s="32">
        <f t="shared" si="269"/>
        <v>0</v>
      </c>
      <c r="GX222" s="180">
        <f t="shared" si="270"/>
        <v>28317.571541999994</v>
      </c>
      <c r="GZ222" s="32">
        <f t="shared" si="271"/>
        <v>10.268099999999997</v>
      </c>
      <c r="HA222" s="32" t="e">
        <f t="shared" si="272"/>
        <v>#DIV/0!</v>
      </c>
      <c r="HB222" s="32">
        <f t="shared" si="273"/>
        <v>10.268099999999997</v>
      </c>
    </row>
    <row r="223" spans="1:210" ht="19.2" customHeight="1" x14ac:dyDescent="0.3">
      <c r="A223" s="50">
        <v>215</v>
      </c>
      <c r="B223" s="220" t="s">
        <v>896</v>
      </c>
      <c r="C223" s="51" t="s">
        <v>852</v>
      </c>
      <c r="D223" s="52">
        <v>5</v>
      </c>
      <c r="E223" s="52">
        <v>2</v>
      </c>
      <c r="F223" s="63">
        <v>28</v>
      </c>
      <c r="G223" s="54" t="s">
        <v>159</v>
      </c>
      <c r="H223" s="181" t="s">
        <v>160</v>
      </c>
      <c r="I223" s="55">
        <f t="shared" si="249"/>
        <v>2007.6</v>
      </c>
      <c r="J223" s="55">
        <f t="shared" si="229"/>
        <v>0</v>
      </c>
      <c r="K223" s="55">
        <f t="shared" si="230"/>
        <v>607.5</v>
      </c>
      <c r="L223" s="56">
        <v>2615.1</v>
      </c>
      <c r="M223" s="56">
        <v>2007.6</v>
      </c>
      <c r="N223" s="56">
        <f t="shared" si="250"/>
        <v>2007.6</v>
      </c>
      <c r="O223" s="56">
        <v>607.5</v>
      </c>
      <c r="P223" s="56">
        <v>0</v>
      </c>
      <c r="Q223" s="55"/>
      <c r="R223" s="55">
        <v>2615.1</v>
      </c>
      <c r="S223" s="55"/>
      <c r="T223" s="55">
        <v>0</v>
      </c>
      <c r="U223" s="152">
        <v>2615.1</v>
      </c>
      <c r="V223" s="57">
        <v>0.17050000000000001</v>
      </c>
      <c r="W223" s="153">
        <v>7.9200000000000007E-2</v>
      </c>
      <c r="X223" s="57">
        <v>0</v>
      </c>
      <c r="Y223" s="57">
        <v>0</v>
      </c>
      <c r="Z223" s="153">
        <v>3.44E-2</v>
      </c>
      <c r="AA223" s="57">
        <v>0.22040000000000001</v>
      </c>
      <c r="AB223" s="153">
        <v>0</v>
      </c>
      <c r="AC223" s="57">
        <v>0.61070000000000002</v>
      </c>
      <c r="AD223" s="57">
        <v>0.254</v>
      </c>
      <c r="AE223" s="57">
        <v>0</v>
      </c>
      <c r="AF223" s="57">
        <v>1.2559</v>
      </c>
      <c r="AG223" s="57">
        <v>0.23830000000000001</v>
      </c>
      <c r="AH223" s="57">
        <v>0.312</v>
      </c>
      <c r="AI223" s="153">
        <v>0</v>
      </c>
      <c r="AJ223" s="153">
        <v>0</v>
      </c>
      <c r="AK223" s="153">
        <v>6.6900000000000001E-2</v>
      </c>
      <c r="AL223" s="57">
        <v>6.4500000000000002E-2</v>
      </c>
      <c r="AM223" s="153">
        <v>2.87E-2</v>
      </c>
      <c r="AN223" s="57">
        <v>0</v>
      </c>
      <c r="AO223" s="153">
        <v>3.1042000000000001</v>
      </c>
      <c r="AP223" s="57">
        <v>0.77490000000000003</v>
      </c>
      <c r="AQ223" s="57">
        <v>5.9200000000000003E-2</v>
      </c>
      <c r="AR223" s="153">
        <v>0.74409999999999998</v>
      </c>
      <c r="AS223" s="57">
        <v>0</v>
      </c>
      <c r="AT223" s="57">
        <v>0</v>
      </c>
      <c r="AU223" s="153">
        <v>0.67030000000000001</v>
      </c>
      <c r="AV223" s="153">
        <v>0</v>
      </c>
      <c r="AW223" s="154">
        <v>8.6881999999999984</v>
      </c>
      <c r="AX223" s="58">
        <v>0.43440000000000001</v>
      </c>
      <c r="AY223" s="155">
        <f t="shared" si="231"/>
        <v>0.43149999999999999</v>
      </c>
      <c r="AZ223" s="155">
        <f t="shared" si="232"/>
        <v>2.9000000000000137E-3</v>
      </c>
      <c r="BA223" s="242">
        <v>9.1225999999999985</v>
      </c>
      <c r="BB223" s="59">
        <f>BA223-'[1]Тариф 26 свод без  ПДВ'!AU223</f>
        <v>2.4999999999977263E-3</v>
      </c>
      <c r="BC223" s="57">
        <v>0</v>
      </c>
      <c r="BD223" s="57">
        <v>0</v>
      </c>
      <c r="BE223" s="57">
        <v>0</v>
      </c>
      <c r="BF223" s="156">
        <v>8.6881999999999984</v>
      </c>
      <c r="BG223" s="59">
        <v>0.43440000000000001</v>
      </c>
      <c r="BH223" s="59"/>
      <c r="BI223" s="59"/>
      <c r="BJ223" s="19">
        <v>9.1225999999999985</v>
      </c>
      <c r="BK223" s="60"/>
      <c r="BL223" s="60">
        <v>3.3946999999999998</v>
      </c>
      <c r="BM223" s="60">
        <v>0.16969999999999999</v>
      </c>
      <c r="BN223" s="14">
        <v>3.5644</v>
      </c>
      <c r="BO223" s="19"/>
      <c r="BP223" s="212"/>
      <c r="BQ223" s="158">
        <f>BJ223-'[1]Тариф 26 свод без  ПДВ'!BG223</f>
        <v>2.4999999999977263E-3</v>
      </c>
      <c r="BR223" s="77">
        <f>'[1]Тариф 26 свод без  ПДВ'!BG223</f>
        <v>9.1201000000000008</v>
      </c>
      <c r="BS223" s="159">
        <f t="shared" si="233"/>
        <v>2.4999999999977263E-3</v>
      </c>
      <c r="BU223" s="77">
        <f>'[1]Тариф 26 свод без  ПДВ'!AU223</f>
        <v>9.1201000000000008</v>
      </c>
      <c r="BV223" s="159">
        <f t="shared" si="234"/>
        <v>2.4999999999977263E-3</v>
      </c>
      <c r="BX223" s="95">
        <v>4.58</v>
      </c>
      <c r="BY223" s="95">
        <v>4.58</v>
      </c>
      <c r="BZ223" s="95"/>
      <c r="CA223" s="182">
        <f t="shared" si="235"/>
        <v>1.9918340611353709</v>
      </c>
      <c r="CB223" s="182">
        <f t="shared" si="236"/>
        <v>1.9918340611353709</v>
      </c>
      <c r="CI223" s="160">
        <f>'[1]0 СВОД'!AYY238</f>
        <v>20479.464276861439</v>
      </c>
      <c r="CJ223" s="77">
        <f t="shared" si="237"/>
        <v>245753.57132233726</v>
      </c>
      <c r="CM223" s="161">
        <v>220</v>
      </c>
      <c r="CN223" s="162" t="s">
        <v>897</v>
      </c>
      <c r="CO223" s="163">
        <v>5</v>
      </c>
      <c r="CP223" s="163">
        <v>2</v>
      </c>
      <c r="CQ223" s="164" t="s">
        <v>159</v>
      </c>
      <c r="CR223" s="165" t="s">
        <v>160</v>
      </c>
      <c r="CS223" s="166">
        <v>2008.8000000000002</v>
      </c>
      <c r="CT223" s="166">
        <v>0</v>
      </c>
      <c r="CU223" s="167">
        <v>607.5</v>
      </c>
      <c r="CV223" s="168">
        <v>2616.3000000000002</v>
      </c>
      <c r="CW223" s="166">
        <v>2008.8</v>
      </c>
      <c r="CX223" s="167">
        <v>607.5</v>
      </c>
      <c r="CY223" s="166">
        <v>0</v>
      </c>
      <c r="CZ223" s="166"/>
      <c r="DA223" s="166">
        <v>2616.3000000000002</v>
      </c>
      <c r="DB223" s="166"/>
      <c r="DC223" s="166">
        <v>0</v>
      </c>
      <c r="DD223" s="59">
        <v>0.16889999999999999</v>
      </c>
      <c r="DE223" s="59">
        <v>0.14280000000000001</v>
      </c>
      <c r="DF223" s="59">
        <v>0</v>
      </c>
      <c r="DG223" s="59">
        <v>0</v>
      </c>
      <c r="DH223" s="59">
        <v>1.29E-2</v>
      </c>
      <c r="DI223" s="59">
        <v>9.5200000000000007E-2</v>
      </c>
      <c r="DJ223" s="59">
        <v>4.8099999999999997E-2</v>
      </c>
      <c r="DK223" s="59">
        <v>0.3337</v>
      </c>
      <c r="DL223" s="169">
        <v>0</v>
      </c>
      <c r="DM223" s="59">
        <v>0.1545</v>
      </c>
      <c r="DN223" s="169">
        <v>0</v>
      </c>
      <c r="DO223" s="170">
        <v>0.53</v>
      </c>
      <c r="DP223" s="171">
        <f t="shared" si="238"/>
        <v>1.2559</v>
      </c>
      <c r="DQ223" s="59">
        <v>0.11459999999999999</v>
      </c>
      <c r="DR223" s="59">
        <v>0.1865</v>
      </c>
      <c r="DS223" s="59">
        <v>0</v>
      </c>
      <c r="DT223" s="59">
        <v>0</v>
      </c>
      <c r="DU223" s="59">
        <v>2.8199999999999999E-2</v>
      </c>
      <c r="DV223" s="59">
        <v>2.24E-2</v>
      </c>
      <c r="DW223" s="59">
        <v>6.8999999999999999E-3</v>
      </c>
      <c r="DX223" s="169">
        <v>0</v>
      </c>
      <c r="DY223" s="170">
        <v>0.85949999999999993</v>
      </c>
      <c r="DZ223" s="171">
        <f t="shared" si="239"/>
        <v>3.6116346713205356</v>
      </c>
      <c r="EA223" s="59">
        <v>0.57320000000000004</v>
      </c>
      <c r="EB223" s="171">
        <f t="shared" si="240"/>
        <v>1.4551639916259596</v>
      </c>
      <c r="EC223" s="59">
        <v>0.48259999999999997</v>
      </c>
      <c r="ED223" s="171">
        <f t="shared" si="241"/>
        <v>1.5418566100290096</v>
      </c>
      <c r="EE223" s="169">
        <v>0</v>
      </c>
      <c r="EF223" s="169">
        <v>0</v>
      </c>
      <c r="EG223" s="59">
        <v>0.73009999999999997</v>
      </c>
      <c r="EH223" s="59">
        <v>0</v>
      </c>
      <c r="EI223" s="208">
        <v>0.1123</v>
      </c>
      <c r="EJ223" s="172">
        <v>4.6024000000000003</v>
      </c>
      <c r="EK223" s="173"/>
      <c r="EL223" s="169">
        <v>0</v>
      </c>
      <c r="EM223" s="169">
        <v>0</v>
      </c>
      <c r="EN223" s="59"/>
      <c r="EO223" s="172"/>
      <c r="ES223" s="57">
        <f t="shared" si="251"/>
        <v>4.6024000000000003</v>
      </c>
      <c r="ET223" s="57">
        <f t="shared" si="252"/>
        <v>0</v>
      </c>
      <c r="EU223" s="31"/>
      <c r="EV223" s="213">
        <f t="shared" si="242"/>
        <v>1.9821397531722575</v>
      </c>
      <c r="EW223" s="61"/>
      <c r="EX223" s="158">
        <f>ES223*1.305-BA223</f>
        <v>-3.1164679999999985</v>
      </c>
      <c r="EY223" s="77">
        <f>ES223*1.344</f>
        <v>6.1856256000000007</v>
      </c>
      <c r="EZ223" s="214">
        <f t="shared" si="243"/>
        <v>9.1225999999999985</v>
      </c>
      <c r="FA223" s="158">
        <f t="shared" si="244"/>
        <v>9.1225999999999985</v>
      </c>
      <c r="FH223" s="174">
        <f t="shared" si="274"/>
        <v>23856.511259999996</v>
      </c>
      <c r="FJ223" s="87">
        <v>1.8014079610637925</v>
      </c>
      <c r="FK223" s="176">
        <f t="shared" si="254"/>
        <v>1.1003280744922082</v>
      </c>
      <c r="FM223" s="87" t="e">
        <f t="shared" si="255"/>
        <v>#DIV/0!</v>
      </c>
      <c r="FO223" s="88">
        <f t="shared" si="245"/>
        <v>23856.511259999996</v>
      </c>
      <c r="FP223" s="79">
        <f t="shared" si="246"/>
        <v>0</v>
      </c>
      <c r="FS223" s="79">
        <f t="shared" si="247"/>
        <v>12035.73624</v>
      </c>
      <c r="FT223" s="79">
        <f t="shared" si="248"/>
        <v>0</v>
      </c>
      <c r="FU223" s="79">
        <f t="shared" si="256"/>
        <v>1.9821397531722575</v>
      </c>
      <c r="FV223" s="79" t="e">
        <f t="shared" si="256"/>
        <v>#DIV/0!</v>
      </c>
      <c r="FY223" s="79">
        <f t="shared" si="257"/>
        <v>23856.511259999996</v>
      </c>
      <c r="FZ223" s="79">
        <f t="shared" si="258"/>
        <v>0</v>
      </c>
      <c r="GB223" s="178">
        <f t="shared" si="259"/>
        <v>2615.1</v>
      </c>
      <c r="GC223" s="178">
        <f t="shared" si="260"/>
        <v>0</v>
      </c>
      <c r="GG223" s="14">
        <v>7.1834999999999996</v>
      </c>
      <c r="GH223" s="175">
        <f t="shared" si="261"/>
        <v>1.2699380524813808</v>
      </c>
      <c r="GI223" s="14">
        <v>7.1834999999999996</v>
      </c>
      <c r="GJ223" s="175">
        <f t="shared" si="262"/>
        <v>1.2699380524813808</v>
      </c>
      <c r="GK223" s="175">
        <f t="shared" si="280"/>
        <v>0</v>
      </c>
      <c r="GN223" s="242">
        <v>8.7737999999999996</v>
      </c>
      <c r="GO223" s="175">
        <f t="shared" si="264"/>
        <v>1.2213823345166006</v>
      </c>
      <c r="GP223" s="179">
        <f t="shared" si="265"/>
        <v>1.0397547242927807</v>
      </c>
      <c r="GQ223" s="19">
        <v>8.7737999999999996</v>
      </c>
      <c r="GR223" s="175">
        <f t="shared" si="266"/>
        <v>1.2213823345166006</v>
      </c>
      <c r="GS223" s="175">
        <f t="shared" si="267"/>
        <v>1.0397547242927807</v>
      </c>
      <c r="GV223" s="32">
        <f t="shared" si="268"/>
        <v>23856.511259999996</v>
      </c>
      <c r="GW223" s="32">
        <f t="shared" si="269"/>
        <v>0</v>
      </c>
      <c r="GX223" s="180">
        <f t="shared" si="270"/>
        <v>23856.511259999996</v>
      </c>
      <c r="GZ223" s="32">
        <f t="shared" si="271"/>
        <v>9.1225999999999985</v>
      </c>
      <c r="HA223" s="32" t="e">
        <f t="shared" si="272"/>
        <v>#DIV/0!</v>
      </c>
      <c r="HB223" s="32">
        <f t="shared" si="273"/>
        <v>9.1225999999999985</v>
      </c>
    </row>
    <row r="224" spans="1:210" ht="19.2" customHeight="1" x14ac:dyDescent="0.3">
      <c r="A224" s="50">
        <v>216</v>
      </c>
      <c r="B224" s="51" t="s">
        <v>898</v>
      </c>
      <c r="C224" s="51" t="s">
        <v>852</v>
      </c>
      <c r="D224" s="52">
        <v>5</v>
      </c>
      <c r="E224" s="52">
        <v>4</v>
      </c>
      <c r="F224" s="63">
        <v>60</v>
      </c>
      <c r="G224" s="54" t="s">
        <v>161</v>
      </c>
      <c r="H224" s="181" t="s">
        <v>49</v>
      </c>
      <c r="I224" s="55">
        <f t="shared" si="249"/>
        <v>2755.64</v>
      </c>
      <c r="J224" s="55">
        <f t="shared" si="229"/>
        <v>0</v>
      </c>
      <c r="K224" s="55">
        <f t="shared" si="230"/>
        <v>0</v>
      </c>
      <c r="L224" s="56">
        <v>2755.64</v>
      </c>
      <c r="M224" s="56">
        <v>2755.64</v>
      </c>
      <c r="N224" s="56">
        <f t="shared" si="250"/>
        <v>2755.64</v>
      </c>
      <c r="O224" s="56">
        <v>0</v>
      </c>
      <c r="P224" s="56">
        <v>0</v>
      </c>
      <c r="Q224" s="55"/>
      <c r="R224" s="55">
        <v>2755.64</v>
      </c>
      <c r="S224" s="55"/>
      <c r="T224" s="55">
        <v>0</v>
      </c>
      <c r="U224" s="152">
        <v>2755.64</v>
      </c>
      <c r="V224" s="57">
        <v>0.16669999999999999</v>
      </c>
      <c r="W224" s="153">
        <v>9.2399999999999996E-2</v>
      </c>
      <c r="X224" s="57">
        <v>0.32419999999999999</v>
      </c>
      <c r="Y224" s="57">
        <v>7.4099999999999999E-2</v>
      </c>
      <c r="Z224" s="153">
        <v>3.2599999999999997E-2</v>
      </c>
      <c r="AA224" s="57">
        <v>0.49919999999999998</v>
      </c>
      <c r="AB224" s="153">
        <v>0</v>
      </c>
      <c r="AC224" s="57">
        <v>0.63149999999999995</v>
      </c>
      <c r="AD224" s="57">
        <v>0.1779</v>
      </c>
      <c r="AE224" s="57">
        <v>0</v>
      </c>
      <c r="AF224" s="57">
        <v>2.3875999999999999</v>
      </c>
      <c r="AG224" s="57">
        <v>0.221</v>
      </c>
      <c r="AH224" s="57">
        <v>0.33579999999999999</v>
      </c>
      <c r="AI224" s="153">
        <v>8.7800000000000003E-2</v>
      </c>
      <c r="AJ224" s="153">
        <v>0.1026</v>
      </c>
      <c r="AK224" s="153">
        <v>6.3500000000000001E-2</v>
      </c>
      <c r="AL224" s="57">
        <v>0.1721</v>
      </c>
      <c r="AM224" s="153">
        <v>3.3599999999999998E-2</v>
      </c>
      <c r="AN224" s="57">
        <v>0</v>
      </c>
      <c r="AO224" s="153">
        <v>1.9832000000000001</v>
      </c>
      <c r="AP224" s="57">
        <v>1.141</v>
      </c>
      <c r="AQ224" s="57">
        <v>9.2399999999999996E-2</v>
      </c>
      <c r="AR224" s="153">
        <v>0.41020000000000001</v>
      </c>
      <c r="AS224" s="57">
        <v>5.8299999999999998E-2</v>
      </c>
      <c r="AT224" s="57">
        <v>9.4999999999999998E-3</v>
      </c>
      <c r="AU224" s="153">
        <v>0.45829999999999999</v>
      </c>
      <c r="AV224" s="153">
        <v>0</v>
      </c>
      <c r="AW224" s="154">
        <v>9.5554999999999968</v>
      </c>
      <c r="AX224" s="58">
        <v>0.4778</v>
      </c>
      <c r="AY224" s="155">
        <f t="shared" si="231"/>
        <v>0.47320000000000001</v>
      </c>
      <c r="AZ224" s="155">
        <f t="shared" si="232"/>
        <v>4.599999999999993E-3</v>
      </c>
      <c r="BA224" s="14">
        <v>10.033299999999997</v>
      </c>
      <c r="BB224" s="59">
        <f>BA224-'[1]Тариф 26 свод без  ПДВ'!AU224</f>
        <v>-2.4000000000032884E-3</v>
      </c>
      <c r="BC224" s="57">
        <v>0</v>
      </c>
      <c r="BD224" s="57">
        <v>0</v>
      </c>
      <c r="BE224" s="57">
        <v>0</v>
      </c>
      <c r="BF224" s="156">
        <v>9.5554999999999968</v>
      </c>
      <c r="BG224" s="59">
        <v>0.4778</v>
      </c>
      <c r="BH224" s="59"/>
      <c r="BI224" s="59"/>
      <c r="BJ224" s="14">
        <v>10.033299999999997</v>
      </c>
      <c r="BK224" s="60"/>
      <c r="BL224" s="60">
        <v>5.5627999999999975</v>
      </c>
      <c r="BM224" s="60">
        <v>0.27810000000000001</v>
      </c>
      <c r="BN224" s="14">
        <v>5.8408999999999978</v>
      </c>
      <c r="BO224" s="14"/>
      <c r="BP224" s="157"/>
      <c r="BQ224" s="158">
        <f>BJ224-'[1]Тариф 26 свод без  ПДВ'!BG224</f>
        <v>-2.4000000000032884E-3</v>
      </c>
      <c r="BR224" s="77">
        <f>'[1]Тариф 26 свод без  ПДВ'!BG224</f>
        <v>10.0357</v>
      </c>
      <c r="BS224" s="159">
        <f t="shared" si="233"/>
        <v>-2.4000000000032884E-3</v>
      </c>
      <c r="BU224" s="77">
        <f>'[1]Тариф 26 свод без  ПДВ'!AU224</f>
        <v>10.0357</v>
      </c>
      <c r="BV224" s="159">
        <f t="shared" si="234"/>
        <v>-2.4000000000032884E-3</v>
      </c>
      <c r="BX224" s="95">
        <v>4.2937000000000003</v>
      </c>
      <c r="BY224" s="95">
        <v>4.2937000000000003</v>
      </c>
      <c r="BZ224" s="95"/>
      <c r="CA224" s="62">
        <f t="shared" si="235"/>
        <v>2.3367491906747087</v>
      </c>
      <c r="CB224" s="62">
        <f t="shared" si="236"/>
        <v>2.3367491906747087</v>
      </c>
      <c r="CI224" s="160">
        <f>'[1]0 СВОД'!AYY239</f>
        <v>27648.335351587048</v>
      </c>
      <c r="CJ224" s="77">
        <f t="shared" si="237"/>
        <v>331780.0242190446</v>
      </c>
      <c r="CM224" s="161">
        <v>221</v>
      </c>
      <c r="CN224" s="162" t="s">
        <v>899</v>
      </c>
      <c r="CO224" s="163">
        <v>5</v>
      </c>
      <c r="CP224" s="163">
        <v>4</v>
      </c>
      <c r="CQ224" s="164" t="s">
        <v>161</v>
      </c>
      <c r="CR224" s="165" t="s">
        <v>49</v>
      </c>
      <c r="CS224" s="166">
        <v>2754.72</v>
      </c>
      <c r="CT224" s="166">
        <v>0</v>
      </c>
      <c r="CU224" s="167">
        <v>0</v>
      </c>
      <c r="CV224" s="168">
        <v>2754.72</v>
      </c>
      <c r="CW224" s="166">
        <v>2754.72</v>
      </c>
      <c r="CX224" s="167">
        <v>0</v>
      </c>
      <c r="CY224" s="166">
        <v>0</v>
      </c>
      <c r="CZ224" s="166"/>
      <c r="DA224" s="166">
        <v>2754.72</v>
      </c>
      <c r="DB224" s="166"/>
      <c r="DC224" s="166">
        <v>0</v>
      </c>
      <c r="DD224" s="59">
        <v>0.1636</v>
      </c>
      <c r="DE224" s="59">
        <v>0.16639999999999999</v>
      </c>
      <c r="DF224" s="59">
        <v>0.2132</v>
      </c>
      <c r="DG224" s="59">
        <v>4.36E-2</v>
      </c>
      <c r="DH224" s="59">
        <v>1.23E-2</v>
      </c>
      <c r="DI224" s="59">
        <v>0.2172</v>
      </c>
      <c r="DJ224" s="59">
        <v>4.8099999999999997E-2</v>
      </c>
      <c r="DK224" s="59">
        <v>0.3458</v>
      </c>
      <c r="DL224" s="169">
        <v>0</v>
      </c>
      <c r="DM224" s="59">
        <v>0.1031</v>
      </c>
      <c r="DN224" s="169">
        <v>0</v>
      </c>
      <c r="DO224" s="170">
        <v>1.3532000000000002</v>
      </c>
      <c r="DP224" s="171">
        <f t="shared" si="238"/>
        <v>2.3875999999999999</v>
      </c>
      <c r="DQ224" s="59">
        <v>0.1065</v>
      </c>
      <c r="DR224" s="59">
        <v>0.21729999999999999</v>
      </c>
      <c r="DS224" s="59">
        <v>2.29E-2</v>
      </c>
      <c r="DT224" s="59">
        <v>4.8300000000000003E-2</v>
      </c>
      <c r="DU224" s="59">
        <v>2.6800000000000001E-2</v>
      </c>
      <c r="DV224" s="59">
        <v>0.06</v>
      </c>
      <c r="DW224" s="59">
        <v>9.1999999999999998E-3</v>
      </c>
      <c r="DX224" s="169">
        <v>0</v>
      </c>
      <c r="DY224" s="59">
        <v>0.99709999999999999</v>
      </c>
      <c r="DZ224" s="171">
        <f t="shared" si="239"/>
        <v>1.9889680072209408</v>
      </c>
      <c r="EA224" s="59">
        <v>0.68930000000000002</v>
      </c>
      <c r="EB224" s="171">
        <f t="shared" si="240"/>
        <v>1.7893515160307558</v>
      </c>
      <c r="EC224" s="59">
        <v>0.23369999999999999</v>
      </c>
      <c r="ED224" s="171">
        <f t="shared" si="241"/>
        <v>1.7552417629439454</v>
      </c>
      <c r="EE224" s="59">
        <v>4.4600000000000001E-2</v>
      </c>
      <c r="EF224" s="59">
        <v>6.1999999999999998E-3</v>
      </c>
      <c r="EG224" s="59">
        <v>0.29980000000000001</v>
      </c>
      <c r="EH224" s="59">
        <v>0</v>
      </c>
      <c r="EI224" s="208">
        <v>0.13569999999999999</v>
      </c>
      <c r="EJ224" s="172">
        <v>5.5638999999999994</v>
      </c>
      <c r="EK224" s="173"/>
      <c r="EL224" s="169">
        <v>0</v>
      </c>
      <c r="EM224" s="169">
        <v>0</v>
      </c>
      <c r="EN224" s="59"/>
      <c r="EO224" s="172"/>
      <c r="ES224" s="57">
        <f t="shared" si="251"/>
        <v>5.5638999999999994</v>
      </c>
      <c r="ET224" s="57">
        <f t="shared" si="252"/>
        <v>0</v>
      </c>
      <c r="EU224" s="31"/>
      <c r="EV224" s="61">
        <f t="shared" si="242"/>
        <v>1.8032854652312225</v>
      </c>
      <c r="EW224" s="61"/>
      <c r="EX224" s="158">
        <f>ES224*1.305-BA224</f>
        <v>-2.7724104999999986</v>
      </c>
      <c r="EY224" s="77">
        <f t="shared" ref="EY224:EY225" si="281">ES224*1.344</f>
        <v>7.4778815999999999</v>
      </c>
      <c r="EZ224" s="158">
        <f t="shared" si="243"/>
        <v>10.033299999999997</v>
      </c>
      <c r="FA224" s="158">
        <f t="shared" si="244"/>
        <v>10.033299999999997</v>
      </c>
      <c r="FH224" s="174">
        <f t="shared" si="274"/>
        <v>27648.162811999991</v>
      </c>
      <c r="FJ224" s="87">
        <v>1.3706213267671958</v>
      </c>
      <c r="FK224" s="176">
        <f t="shared" si="254"/>
        <v>1.3156700760555988</v>
      </c>
      <c r="FM224" s="87" t="e">
        <f t="shared" si="255"/>
        <v>#DIV/0!</v>
      </c>
      <c r="FO224" s="88">
        <f t="shared" si="245"/>
        <v>27648.162811999991</v>
      </c>
      <c r="FP224" s="79">
        <f t="shared" si="246"/>
        <v>0</v>
      </c>
      <c r="FS224" s="79">
        <f t="shared" si="247"/>
        <v>15332.105395999997</v>
      </c>
      <c r="FT224" s="79">
        <f t="shared" si="248"/>
        <v>0</v>
      </c>
      <c r="FU224" s="79">
        <f t="shared" si="256"/>
        <v>1.8032854652312225</v>
      </c>
      <c r="FV224" s="79" t="e">
        <f t="shared" si="256"/>
        <v>#DIV/0!</v>
      </c>
      <c r="FY224" s="79">
        <f t="shared" si="257"/>
        <v>27648.162811999991</v>
      </c>
      <c r="FZ224" s="79">
        <f t="shared" si="258"/>
        <v>0</v>
      </c>
      <c r="GB224" s="178">
        <f t="shared" si="259"/>
        <v>2755.64</v>
      </c>
      <c r="GC224" s="178">
        <f t="shared" si="260"/>
        <v>0</v>
      </c>
      <c r="GG224" s="14">
        <v>7.900599999999999</v>
      </c>
      <c r="GH224" s="175">
        <f t="shared" si="261"/>
        <v>1.2699415234286002</v>
      </c>
      <c r="GI224" s="14">
        <v>7.900599999999999</v>
      </c>
      <c r="GJ224" s="175">
        <f t="shared" si="262"/>
        <v>1.2699415234286002</v>
      </c>
      <c r="GK224" s="175">
        <f t="shared" si="280"/>
        <v>0</v>
      </c>
      <c r="GN224" s="14">
        <v>10.038399999999998</v>
      </c>
      <c r="GO224" s="175">
        <f t="shared" si="264"/>
        <v>1.2705870440219729</v>
      </c>
      <c r="GP224" s="179">
        <f t="shared" si="265"/>
        <v>0.99949195090851128</v>
      </c>
      <c r="GQ224" s="14">
        <v>10.038399999999998</v>
      </c>
      <c r="GR224" s="175">
        <f t="shared" si="266"/>
        <v>1.2705870440219729</v>
      </c>
      <c r="GS224" s="175">
        <f t="shared" si="267"/>
        <v>0.99949195090851128</v>
      </c>
      <c r="GV224" s="32">
        <f t="shared" si="268"/>
        <v>27648.162811999991</v>
      </c>
      <c r="GW224" s="32">
        <f t="shared" si="269"/>
        <v>0</v>
      </c>
      <c r="GX224" s="180">
        <f t="shared" si="270"/>
        <v>27648.162811999991</v>
      </c>
      <c r="GZ224" s="32">
        <f t="shared" si="271"/>
        <v>10.033299999999997</v>
      </c>
      <c r="HA224" s="32" t="e">
        <f t="shared" si="272"/>
        <v>#DIV/0!</v>
      </c>
      <c r="HB224" s="32">
        <f t="shared" si="273"/>
        <v>10.033299999999997</v>
      </c>
    </row>
    <row r="225" spans="1:210" ht="19.2" customHeight="1" x14ac:dyDescent="0.3">
      <c r="A225" s="50">
        <v>217</v>
      </c>
      <c r="B225" s="51" t="s">
        <v>900</v>
      </c>
      <c r="C225" s="51" t="s">
        <v>852</v>
      </c>
      <c r="D225" s="52">
        <v>5</v>
      </c>
      <c r="E225" s="52">
        <v>4</v>
      </c>
      <c r="F225" s="63">
        <v>60</v>
      </c>
      <c r="G225" s="54" t="s">
        <v>162</v>
      </c>
      <c r="H225" s="181" t="s">
        <v>49</v>
      </c>
      <c r="I225" s="55">
        <f t="shared" si="249"/>
        <v>2742.99</v>
      </c>
      <c r="J225" s="55">
        <f t="shared" si="229"/>
        <v>0</v>
      </c>
      <c r="K225" s="55">
        <f t="shared" si="230"/>
        <v>0</v>
      </c>
      <c r="L225" s="56">
        <v>2742.99</v>
      </c>
      <c r="M225" s="56">
        <v>2742.99</v>
      </c>
      <c r="N225" s="56">
        <f t="shared" si="250"/>
        <v>2742.99</v>
      </c>
      <c r="O225" s="56">
        <v>0</v>
      </c>
      <c r="P225" s="56">
        <v>0</v>
      </c>
      <c r="Q225" s="55"/>
      <c r="R225" s="55">
        <v>2742.99</v>
      </c>
      <c r="S225" s="55"/>
      <c r="T225" s="55">
        <v>0</v>
      </c>
      <c r="U225" s="152">
        <v>2742.99</v>
      </c>
      <c r="V225" s="57">
        <v>0.16719999999999999</v>
      </c>
      <c r="W225" s="153">
        <v>9.2799999999999994E-2</v>
      </c>
      <c r="X225" s="57">
        <v>0.32490000000000002</v>
      </c>
      <c r="Y225" s="57">
        <v>7.4300000000000005E-2</v>
      </c>
      <c r="Z225" s="153">
        <v>2.9100000000000001E-2</v>
      </c>
      <c r="AA225" s="57">
        <v>0.50149999999999995</v>
      </c>
      <c r="AB225" s="153">
        <v>0</v>
      </c>
      <c r="AC225" s="57">
        <v>0.63149999999999995</v>
      </c>
      <c r="AD225" s="57">
        <v>0.1759</v>
      </c>
      <c r="AE225" s="57">
        <v>0</v>
      </c>
      <c r="AF225" s="57">
        <v>2.3445</v>
      </c>
      <c r="AG225" s="57">
        <v>0.22140000000000001</v>
      </c>
      <c r="AH225" s="57">
        <v>0.32919999999999999</v>
      </c>
      <c r="AI225" s="153">
        <v>8.7800000000000003E-2</v>
      </c>
      <c r="AJ225" s="153">
        <v>0.1037</v>
      </c>
      <c r="AK225" s="153">
        <v>5.67E-2</v>
      </c>
      <c r="AL225" s="57">
        <v>0.1729</v>
      </c>
      <c r="AM225" s="153">
        <v>3.3700000000000001E-2</v>
      </c>
      <c r="AN225" s="57">
        <v>0</v>
      </c>
      <c r="AO225" s="153">
        <v>2.3384999999999998</v>
      </c>
      <c r="AP225" s="57">
        <v>1.1509</v>
      </c>
      <c r="AQ225" s="57">
        <v>9.2700000000000005E-2</v>
      </c>
      <c r="AR225" s="153">
        <v>0.41210000000000002</v>
      </c>
      <c r="AS225" s="57">
        <v>5.8500000000000003E-2</v>
      </c>
      <c r="AT225" s="57">
        <v>9.4999999999999998E-3</v>
      </c>
      <c r="AU225" s="153">
        <v>0.41510000000000002</v>
      </c>
      <c r="AV225" s="153">
        <v>0</v>
      </c>
      <c r="AW225" s="154">
        <v>9.8244000000000007</v>
      </c>
      <c r="AX225" s="58">
        <v>0.49120000000000003</v>
      </c>
      <c r="AY225" s="155">
        <f t="shared" si="231"/>
        <v>0.48659999999999998</v>
      </c>
      <c r="AZ225" s="155">
        <f t="shared" si="232"/>
        <v>4.6000000000000485E-3</v>
      </c>
      <c r="BA225" s="14">
        <v>10.3156</v>
      </c>
      <c r="BB225" s="59">
        <f>BA225-'[1]Тариф 26 свод без  ПДВ'!AU225</f>
        <v>-7.9999999999991189E-4</v>
      </c>
      <c r="BC225" s="57">
        <v>0</v>
      </c>
      <c r="BD225" s="57">
        <v>0</v>
      </c>
      <c r="BE225" s="57">
        <v>0</v>
      </c>
      <c r="BF225" s="156">
        <v>9.8244000000000007</v>
      </c>
      <c r="BG225" s="59">
        <v>0.49120000000000003</v>
      </c>
      <c r="BH225" s="59"/>
      <c r="BI225" s="59"/>
      <c r="BJ225" s="14">
        <v>10.3156</v>
      </c>
      <c r="BK225" s="60"/>
      <c r="BL225" s="60">
        <v>5.5077999999999996</v>
      </c>
      <c r="BM225" s="60">
        <v>0.27539999999999998</v>
      </c>
      <c r="BN225" s="14">
        <v>5.7831999999999999</v>
      </c>
      <c r="BO225" s="14"/>
      <c r="BP225" s="157"/>
      <c r="BQ225" s="158">
        <f>BJ225-'[1]Тариф 26 свод без  ПДВ'!BG225</f>
        <v>-7.9999999999991189E-4</v>
      </c>
      <c r="BR225" s="77">
        <f>'[1]Тариф 26 свод без  ПДВ'!BG225</f>
        <v>10.3164</v>
      </c>
      <c r="BS225" s="159">
        <f t="shared" si="233"/>
        <v>-7.9999999999991189E-4</v>
      </c>
      <c r="BU225" s="77">
        <f>'[1]Тариф 26 свод без  ПДВ'!AU225</f>
        <v>10.3164</v>
      </c>
      <c r="BV225" s="159">
        <f t="shared" si="234"/>
        <v>-7.9999999999991189E-4</v>
      </c>
      <c r="BX225" s="95">
        <v>4.8463000000000003</v>
      </c>
      <c r="BY225" s="95">
        <v>4.8463000000000003</v>
      </c>
      <c r="BZ225" s="95"/>
      <c r="CA225" s="62">
        <f t="shared" si="235"/>
        <v>2.1285516786001693</v>
      </c>
      <c r="CB225" s="62">
        <f t="shared" si="236"/>
        <v>2.1285516786001693</v>
      </c>
      <c r="CI225" s="160">
        <f>'[1]0 СВОД'!AYY240</f>
        <v>28295.342270380796</v>
      </c>
      <c r="CJ225" s="77">
        <f t="shared" si="237"/>
        <v>339544.10724456958</v>
      </c>
      <c r="CM225" s="161">
        <v>222</v>
      </c>
      <c r="CN225" s="162" t="s">
        <v>901</v>
      </c>
      <c r="CO225" s="163">
        <v>5</v>
      </c>
      <c r="CP225" s="163">
        <v>4</v>
      </c>
      <c r="CQ225" s="164" t="s">
        <v>162</v>
      </c>
      <c r="CR225" s="165" t="s">
        <v>49</v>
      </c>
      <c r="CS225" s="166">
        <v>2741.97</v>
      </c>
      <c r="CT225" s="166">
        <v>0</v>
      </c>
      <c r="CU225" s="167">
        <v>0</v>
      </c>
      <c r="CV225" s="168">
        <v>2741.97</v>
      </c>
      <c r="CW225" s="166">
        <v>2741.97</v>
      </c>
      <c r="CX225" s="167">
        <v>0</v>
      </c>
      <c r="CY225" s="166">
        <v>0</v>
      </c>
      <c r="CZ225" s="166"/>
      <c r="DA225" s="166">
        <v>2741.97</v>
      </c>
      <c r="DB225" s="166"/>
      <c r="DC225" s="166">
        <v>0</v>
      </c>
      <c r="DD225" s="59">
        <v>0.1641</v>
      </c>
      <c r="DE225" s="59">
        <v>0.15090000000000001</v>
      </c>
      <c r="DF225" s="59">
        <v>0.2137</v>
      </c>
      <c r="DG225" s="59">
        <v>4.3700000000000003E-2</v>
      </c>
      <c r="DH225" s="59">
        <v>1.0999999999999999E-2</v>
      </c>
      <c r="DI225" s="59">
        <v>0.21829999999999999</v>
      </c>
      <c r="DJ225" s="59">
        <v>4.8099999999999997E-2</v>
      </c>
      <c r="DK225" s="59">
        <v>0.3458</v>
      </c>
      <c r="DL225" s="169">
        <v>0</v>
      </c>
      <c r="DM225" s="59">
        <v>0.1018</v>
      </c>
      <c r="DN225" s="169">
        <v>0</v>
      </c>
      <c r="DO225" s="170">
        <v>1.3266</v>
      </c>
      <c r="DP225" s="171">
        <f t="shared" si="238"/>
        <v>2.3445</v>
      </c>
      <c r="DQ225" s="59">
        <v>0.1066</v>
      </c>
      <c r="DR225" s="59">
        <v>0.19700000000000001</v>
      </c>
      <c r="DS225" s="59">
        <v>2.29E-2</v>
      </c>
      <c r="DT225" s="59">
        <v>4.8800000000000003E-2</v>
      </c>
      <c r="DU225" s="59">
        <v>2.3900000000000001E-2</v>
      </c>
      <c r="DV225" s="59">
        <v>6.0199999999999997E-2</v>
      </c>
      <c r="DW225" s="59">
        <v>9.1999999999999998E-3</v>
      </c>
      <c r="DX225" s="169">
        <v>0</v>
      </c>
      <c r="DY225" s="59">
        <v>1.194</v>
      </c>
      <c r="DZ225" s="171">
        <f t="shared" si="239"/>
        <v>1.958542713567839</v>
      </c>
      <c r="EA225" s="59">
        <v>0.69510000000000005</v>
      </c>
      <c r="EB225" s="171">
        <f t="shared" si="240"/>
        <v>1.7890950942310457</v>
      </c>
      <c r="EC225" s="59">
        <v>0.23480000000000001</v>
      </c>
      <c r="ED225" s="171">
        <f t="shared" si="241"/>
        <v>1.7551107325383306</v>
      </c>
      <c r="EE225" s="59">
        <v>4.48E-2</v>
      </c>
      <c r="EF225" s="59">
        <v>6.1999999999999998E-3</v>
      </c>
      <c r="EG225" s="59">
        <v>0.29060000000000002</v>
      </c>
      <c r="EH225" s="59">
        <v>0</v>
      </c>
      <c r="EI225" s="208">
        <v>0.13900000000000001</v>
      </c>
      <c r="EJ225" s="172">
        <v>5.6970999999999998</v>
      </c>
      <c r="EK225" s="173"/>
      <c r="EL225" s="169">
        <v>0</v>
      </c>
      <c r="EM225" s="169">
        <v>0</v>
      </c>
      <c r="EN225" s="59"/>
      <c r="EO225" s="172"/>
      <c r="ES225" s="57">
        <f t="shared" si="251"/>
        <v>5.6970999999999998</v>
      </c>
      <c r="ET225" s="57">
        <f t="shared" si="252"/>
        <v>0</v>
      </c>
      <c r="EU225" s="31"/>
      <c r="EV225" s="61">
        <f t="shared" si="242"/>
        <v>1.8106756068877148</v>
      </c>
      <c r="EW225" s="62"/>
      <c r="EX225" s="158">
        <f>ES225*1.305-BA225</f>
        <v>-2.8808845000000005</v>
      </c>
      <c r="EY225" s="77">
        <f t="shared" si="281"/>
        <v>7.6569023999999999</v>
      </c>
      <c r="EZ225" s="158">
        <f t="shared" si="243"/>
        <v>10.3156</v>
      </c>
      <c r="FA225" s="158">
        <f t="shared" si="244"/>
        <v>10.3156</v>
      </c>
      <c r="FH225" s="174">
        <f t="shared" si="274"/>
        <v>28295.587643999996</v>
      </c>
      <c r="FJ225" s="87">
        <v>1.374997805901248</v>
      </c>
      <c r="FK225" s="176">
        <f t="shared" si="254"/>
        <v>1.3168570881470607</v>
      </c>
      <c r="FM225" s="87" t="e">
        <f t="shared" si="255"/>
        <v>#DIV/0!</v>
      </c>
      <c r="FO225" s="88">
        <f t="shared" si="245"/>
        <v>28295.587643999996</v>
      </c>
      <c r="FP225" s="79">
        <f t="shared" si="246"/>
        <v>0</v>
      </c>
      <c r="FS225" s="79">
        <f t="shared" si="247"/>
        <v>15627.088328999998</v>
      </c>
      <c r="FT225" s="79">
        <f t="shared" si="248"/>
        <v>0</v>
      </c>
      <c r="FU225" s="79">
        <f t="shared" si="256"/>
        <v>1.8106756068877148</v>
      </c>
      <c r="FV225" s="79" t="e">
        <f t="shared" si="256"/>
        <v>#DIV/0!</v>
      </c>
      <c r="FY225" s="79">
        <f t="shared" si="257"/>
        <v>28295.587643999996</v>
      </c>
      <c r="FZ225" s="79">
        <f t="shared" si="258"/>
        <v>0</v>
      </c>
      <c r="GB225" s="178">
        <f t="shared" si="259"/>
        <v>2742.99</v>
      </c>
      <c r="GC225" s="178">
        <f t="shared" si="260"/>
        <v>0</v>
      </c>
      <c r="GG225" s="14">
        <v>8.1229999999999993</v>
      </c>
      <c r="GH225" s="175">
        <f t="shared" si="261"/>
        <v>1.2699249045918997</v>
      </c>
      <c r="GI225" s="14">
        <v>8.1229999999999993</v>
      </c>
      <c r="GJ225" s="175">
        <f t="shared" si="262"/>
        <v>1.2699249045918997</v>
      </c>
      <c r="GK225" s="175">
        <f t="shared" si="280"/>
        <v>0</v>
      </c>
      <c r="GN225" s="14">
        <v>10.353399999999999</v>
      </c>
      <c r="GO225" s="175">
        <f t="shared" si="264"/>
        <v>1.2745783577495999</v>
      </c>
      <c r="GP225" s="179">
        <f t="shared" si="265"/>
        <v>0.99634902544091808</v>
      </c>
      <c r="GQ225" s="14">
        <v>10.353399999999999</v>
      </c>
      <c r="GR225" s="175">
        <f t="shared" si="266"/>
        <v>1.2745783577495999</v>
      </c>
      <c r="GS225" s="175">
        <f t="shared" si="267"/>
        <v>0.99634902544091808</v>
      </c>
      <c r="GV225" s="32">
        <f t="shared" si="268"/>
        <v>28295.587643999996</v>
      </c>
      <c r="GW225" s="32">
        <f t="shared" si="269"/>
        <v>0</v>
      </c>
      <c r="GX225" s="180">
        <f t="shared" si="270"/>
        <v>28295.587643999996</v>
      </c>
      <c r="GZ225" s="32">
        <f t="shared" si="271"/>
        <v>10.3156</v>
      </c>
      <c r="HA225" s="32" t="e">
        <f t="shared" si="272"/>
        <v>#DIV/0!</v>
      </c>
      <c r="HB225" s="32">
        <f t="shared" si="273"/>
        <v>10.3156</v>
      </c>
    </row>
    <row r="226" spans="1:210" ht="19.2" customHeight="1" x14ac:dyDescent="0.3">
      <c r="A226" s="50">
        <v>218</v>
      </c>
      <c r="B226" s="51" t="s">
        <v>902</v>
      </c>
      <c r="C226" s="51" t="s">
        <v>852</v>
      </c>
      <c r="D226" s="52">
        <v>9</v>
      </c>
      <c r="E226" s="52">
        <v>1</v>
      </c>
      <c r="F226" s="63">
        <v>171</v>
      </c>
      <c r="G226" s="54" t="s">
        <v>234</v>
      </c>
      <c r="H226" s="181" t="s">
        <v>235</v>
      </c>
      <c r="I226" s="55">
        <f t="shared" si="249"/>
        <v>464.19999999999936</v>
      </c>
      <c r="J226" s="55">
        <f t="shared" si="229"/>
        <v>3882.28</v>
      </c>
      <c r="K226" s="55">
        <f t="shared" si="230"/>
        <v>0</v>
      </c>
      <c r="L226" s="56">
        <v>4346.4799999999996</v>
      </c>
      <c r="M226" s="56">
        <v>4346.4799999999996</v>
      </c>
      <c r="N226" s="56">
        <f t="shared" si="250"/>
        <v>464.19999999999936</v>
      </c>
      <c r="O226" s="56">
        <v>0</v>
      </c>
      <c r="P226" s="56">
        <v>0</v>
      </c>
      <c r="Q226" s="55"/>
      <c r="R226" s="55">
        <v>4346.4799999999996</v>
      </c>
      <c r="S226" s="55"/>
      <c r="T226" s="55">
        <v>3882.28</v>
      </c>
      <c r="U226" s="152">
        <v>464.19999999999936</v>
      </c>
      <c r="V226" s="57">
        <v>0.1762</v>
      </c>
      <c r="W226" s="57">
        <v>5.28E-2</v>
      </c>
      <c r="X226" s="153">
        <v>0.28789999999999999</v>
      </c>
      <c r="Y226" s="153">
        <v>5.9700000000000003E-2</v>
      </c>
      <c r="Z226" s="57">
        <v>1.3299999999999999E-2</v>
      </c>
      <c r="AA226" s="57">
        <v>0.22070000000000001</v>
      </c>
      <c r="AB226" s="57">
        <v>0</v>
      </c>
      <c r="AC226" s="153">
        <v>0.63149999999999995</v>
      </c>
      <c r="AD226" s="57">
        <v>0.31109999999999999</v>
      </c>
      <c r="AE226" s="57">
        <v>0</v>
      </c>
      <c r="AF226" s="57">
        <v>1.8023</v>
      </c>
      <c r="AG226" s="57">
        <v>0.24030000000000001</v>
      </c>
      <c r="AH226" s="57">
        <v>0.18909999999999999</v>
      </c>
      <c r="AI226" s="57">
        <v>0.10299999999999999</v>
      </c>
      <c r="AJ226" s="57">
        <v>4.2099999999999999E-2</v>
      </c>
      <c r="AK226" s="57">
        <v>2.5899999999999999E-2</v>
      </c>
      <c r="AL226" s="57">
        <v>7.0099999999999996E-2</v>
      </c>
      <c r="AM226" s="57">
        <v>2.6499999999999999E-2</v>
      </c>
      <c r="AN226" s="57">
        <v>0</v>
      </c>
      <c r="AO226" s="57">
        <v>1.5528999999999999</v>
      </c>
      <c r="AP226" s="153">
        <v>2.4500000000000002</v>
      </c>
      <c r="AQ226" s="153">
        <v>9.8199999999999996E-2</v>
      </c>
      <c r="AR226" s="57">
        <v>0.46139999999999998</v>
      </c>
      <c r="AS226" s="57">
        <v>4.1599999999999998E-2</v>
      </c>
      <c r="AT226" s="153">
        <v>6.7999999999999996E-3</v>
      </c>
      <c r="AU226" s="153">
        <v>0.26200000000000001</v>
      </c>
      <c r="AV226" s="153">
        <v>0</v>
      </c>
      <c r="AW226" s="154">
        <v>9.1254000000000008</v>
      </c>
      <c r="AX226" s="58">
        <v>0.45629999999999998</v>
      </c>
      <c r="AY226" s="155">
        <f t="shared" si="231"/>
        <v>0.45140000000000002</v>
      </c>
      <c r="AZ226" s="155">
        <f t="shared" si="232"/>
        <v>4.8999999999999599E-3</v>
      </c>
      <c r="BA226" s="14">
        <v>9.5817000000000014</v>
      </c>
      <c r="BB226" s="59">
        <f>BA226-'[1]Тариф 26 свод без  ПДВ'!AU226</f>
        <v>2.0000000000131024E-4</v>
      </c>
      <c r="BC226" s="57">
        <v>0.88280000000000003</v>
      </c>
      <c r="BD226" s="57">
        <v>0</v>
      </c>
      <c r="BE226" s="57">
        <v>0.31330000000000002</v>
      </c>
      <c r="BF226" s="156">
        <v>10.3215</v>
      </c>
      <c r="BG226" s="59">
        <v>0.5161</v>
      </c>
      <c r="BH226" s="59"/>
      <c r="BI226" s="59"/>
      <c r="BJ226" s="14">
        <v>10.8376</v>
      </c>
      <c r="BK226" s="60"/>
      <c r="BL226" s="60">
        <v>4.3991000000000007</v>
      </c>
      <c r="BM226" s="60">
        <v>0.22</v>
      </c>
      <c r="BN226" s="14">
        <v>4.6191000000000004</v>
      </c>
      <c r="BO226" s="14"/>
      <c r="BP226" s="157"/>
      <c r="BQ226" s="158">
        <f>BJ226-'[1]Тариф 26 свод без  ПДВ'!BG226</f>
        <v>0</v>
      </c>
      <c r="BR226" s="77">
        <f>'[1]Тариф 26 свод без  ПДВ'!BG226</f>
        <v>10.8376</v>
      </c>
      <c r="BS226" s="159">
        <f t="shared" si="233"/>
        <v>0</v>
      </c>
      <c r="BU226" s="77">
        <f>'[1]Тариф 26 свод без  ПДВ'!AU226</f>
        <v>9.5815000000000001</v>
      </c>
      <c r="BV226" s="159">
        <f t="shared" si="234"/>
        <v>2.0000000000131024E-4</v>
      </c>
      <c r="BX226" s="95">
        <v>4.0358000000000001</v>
      </c>
      <c r="BY226" s="95">
        <v>5.0465</v>
      </c>
      <c r="BZ226" s="95"/>
      <c r="CA226" s="182">
        <f t="shared" si="235"/>
        <v>2.3741761236929486</v>
      </c>
      <c r="CB226" s="182">
        <f t="shared" si="236"/>
        <v>2.1475478054096899</v>
      </c>
      <c r="CD226" s="160">
        <f>L226-CE226</f>
        <v>464.19999999999936</v>
      </c>
      <c r="CE226" s="160">
        <f>T226</f>
        <v>3882.28</v>
      </c>
      <c r="CF226" s="77">
        <f>CD226*BA226</f>
        <v>4447.8251399999945</v>
      </c>
      <c r="CG226" s="77">
        <f>BJ226*CE226</f>
        <v>42074.597728000001</v>
      </c>
      <c r="CI226" s="160">
        <f>'[1]0 СВОД'!AYY241</f>
        <v>46522.981651108879</v>
      </c>
      <c r="CJ226" s="77">
        <f t="shared" si="237"/>
        <v>558275.77981330652</v>
      </c>
      <c r="CM226" s="161">
        <v>223</v>
      </c>
      <c r="CN226" s="183" t="s">
        <v>903</v>
      </c>
      <c r="CO226" s="163">
        <v>9</v>
      </c>
      <c r="CP226" s="163">
        <v>1</v>
      </c>
      <c r="CQ226" s="164" t="s">
        <v>234</v>
      </c>
      <c r="CR226" s="165" t="s">
        <v>235</v>
      </c>
      <c r="CS226" s="166">
        <v>464.19999999999982</v>
      </c>
      <c r="CT226" s="166">
        <v>3881.1400000000003</v>
      </c>
      <c r="CU226" s="167">
        <v>0</v>
      </c>
      <c r="CV226" s="168">
        <v>4345.34</v>
      </c>
      <c r="CW226" s="166">
        <v>4345.34</v>
      </c>
      <c r="CX226" s="167">
        <v>0</v>
      </c>
      <c r="CY226" s="166">
        <v>0</v>
      </c>
      <c r="CZ226" s="166"/>
      <c r="DA226" s="166">
        <v>4345.34</v>
      </c>
      <c r="DB226" s="166"/>
      <c r="DC226" s="166">
        <v>3881.1400000000003</v>
      </c>
      <c r="DD226" s="59">
        <v>0.1729</v>
      </c>
      <c r="DE226" s="59">
        <v>8.5800000000000001E-2</v>
      </c>
      <c r="DF226" s="59">
        <v>0.1893</v>
      </c>
      <c r="DG226" s="59">
        <v>3.5299999999999998E-2</v>
      </c>
      <c r="DH226" s="59">
        <v>5.0000000000000001E-3</v>
      </c>
      <c r="DI226" s="59">
        <v>8.8499999999999995E-2</v>
      </c>
      <c r="DJ226" s="59">
        <v>4.8099999999999997E-2</v>
      </c>
      <c r="DK226" s="59">
        <v>0.3458</v>
      </c>
      <c r="DL226" s="169">
        <v>0</v>
      </c>
      <c r="DM226" s="59">
        <v>0.18940000000000001</v>
      </c>
      <c r="DN226" s="169">
        <v>0</v>
      </c>
      <c r="DO226" s="184">
        <v>1.2749999999999999</v>
      </c>
      <c r="DP226" s="171">
        <f t="shared" si="238"/>
        <v>1.8023</v>
      </c>
      <c r="DQ226" s="59">
        <v>0.1159</v>
      </c>
      <c r="DR226" s="59">
        <v>0.1133</v>
      </c>
      <c r="DS226" s="59">
        <v>2.6599999999999999E-2</v>
      </c>
      <c r="DT226" s="59">
        <v>0.02</v>
      </c>
      <c r="DU226" s="59">
        <v>1.09E-2</v>
      </c>
      <c r="DV226" s="59">
        <v>2.3900000000000001E-2</v>
      </c>
      <c r="DW226" s="59">
        <v>5.7999999999999996E-3</v>
      </c>
      <c r="DX226" s="169">
        <v>0</v>
      </c>
      <c r="DY226" s="59">
        <v>0.79110000000000003</v>
      </c>
      <c r="DZ226" s="171">
        <f t="shared" si="239"/>
        <v>1.9629629629629628</v>
      </c>
      <c r="EA226" s="59">
        <v>1.4276</v>
      </c>
      <c r="EB226" s="171">
        <f t="shared" si="240"/>
        <v>1.7849537685626227</v>
      </c>
      <c r="EC226" s="59">
        <v>0.2485</v>
      </c>
      <c r="ED226" s="171">
        <f t="shared" si="241"/>
        <v>1.8567404426559355</v>
      </c>
      <c r="EE226" s="59">
        <v>3.1899999999999998E-2</v>
      </c>
      <c r="EF226" s="59">
        <v>4.4000000000000003E-3</v>
      </c>
      <c r="EG226" s="59">
        <v>0.28129999999999999</v>
      </c>
      <c r="EH226" s="59">
        <v>0</v>
      </c>
      <c r="EI226" s="155">
        <v>0.1384</v>
      </c>
      <c r="EJ226" s="172">
        <v>5.6747000000000005</v>
      </c>
      <c r="EK226" s="173"/>
      <c r="EL226" s="59">
        <v>0.76319999999999999</v>
      </c>
      <c r="EM226" s="59">
        <v>0.38529999999999998</v>
      </c>
      <c r="EN226" s="59">
        <v>0.1671</v>
      </c>
      <c r="EO226" s="172">
        <v>6.8519000000000005</v>
      </c>
      <c r="ES226" s="57">
        <f t="shared" si="251"/>
        <v>5.6747000000000005</v>
      </c>
      <c r="ET226" s="57">
        <f t="shared" si="252"/>
        <v>6.8519000000000005</v>
      </c>
      <c r="EU226" s="31"/>
      <c r="EV226" s="61">
        <f t="shared" si="242"/>
        <v>1.6884945459671878</v>
      </c>
      <c r="EW226" s="61">
        <f>BJ226/ET226</f>
        <v>1.5816926691866489</v>
      </c>
      <c r="EX226" s="185">
        <v>7.359</v>
      </c>
      <c r="EY226" s="174">
        <v>9.0678999999999998</v>
      </c>
      <c r="EZ226" s="158">
        <f t="shared" si="243"/>
        <v>9.5817000000000014</v>
      </c>
      <c r="FA226" s="158">
        <f t="shared" si="244"/>
        <v>10.8376</v>
      </c>
      <c r="FB226" s="158">
        <f>BA226-EX226</f>
        <v>2.2227000000000015</v>
      </c>
      <c r="FC226" s="158">
        <f>BJ226-EY226</f>
        <v>1.7697000000000003</v>
      </c>
      <c r="FD226" s="175">
        <f>FB226/EX226</f>
        <v>0.30203832042397083</v>
      </c>
      <c r="FE226" s="175">
        <f>FC226/FA226</f>
        <v>0.16329261091016464</v>
      </c>
      <c r="FF226" s="158"/>
      <c r="FG226" s="174"/>
      <c r="FH226" s="174">
        <f t="shared" si="274"/>
        <v>41646.667416000004</v>
      </c>
      <c r="FI226" s="174"/>
      <c r="FJ226" s="176">
        <v>1.2924</v>
      </c>
      <c r="FK226" s="176">
        <f t="shared" si="254"/>
        <v>1.3064798405812348</v>
      </c>
      <c r="FL226" s="87">
        <v>1.3198000000000001</v>
      </c>
      <c r="FM226" s="177">
        <f t="shared" si="255"/>
        <v>1.1984336029600309</v>
      </c>
      <c r="FO226" s="88">
        <f t="shared" si="245"/>
        <v>41646.667416000004</v>
      </c>
      <c r="FP226" s="79">
        <f t="shared" si="246"/>
        <v>42074.597728000001</v>
      </c>
      <c r="FS226" s="79">
        <f t="shared" si="247"/>
        <v>24664.970055999998</v>
      </c>
      <c r="FT226" s="79">
        <f t="shared" si="248"/>
        <v>26600.994332000002</v>
      </c>
      <c r="FU226" s="79">
        <f t="shared" si="256"/>
        <v>1.6884945459671881</v>
      </c>
      <c r="FV226" s="79">
        <f t="shared" si="256"/>
        <v>1.5816926691866489</v>
      </c>
      <c r="FY226" s="79">
        <f t="shared" si="257"/>
        <v>4447.8251399999945</v>
      </c>
      <c r="FZ226" s="79">
        <f t="shared" si="258"/>
        <v>42074.597728000001</v>
      </c>
      <c r="GB226" s="178">
        <f t="shared" si="259"/>
        <v>464.19999999999936</v>
      </c>
      <c r="GC226" s="178">
        <f t="shared" si="260"/>
        <v>3882.28</v>
      </c>
      <c r="GG226" s="14">
        <v>7.546000000000002</v>
      </c>
      <c r="GH226" s="175">
        <f t="shared" si="261"/>
        <v>1.2697720646700237</v>
      </c>
      <c r="GI226" s="14">
        <v>9.1434000000000015</v>
      </c>
      <c r="GJ226" s="175">
        <f t="shared" si="262"/>
        <v>1.1852921232801801</v>
      </c>
      <c r="GK226" s="175">
        <f>GH226-GJ226</f>
        <v>8.4479941389843605E-2</v>
      </c>
      <c r="GN226" s="14">
        <v>9.6141000000000023</v>
      </c>
      <c r="GO226" s="175">
        <f t="shared" si="264"/>
        <v>1.274065730188179</v>
      </c>
      <c r="GP226" s="179">
        <f t="shared" si="265"/>
        <v>0.99662994976128805</v>
      </c>
      <c r="GQ226" s="14">
        <v>10.885000000000002</v>
      </c>
      <c r="GR226" s="175">
        <f t="shared" si="266"/>
        <v>1.1904761904761905</v>
      </c>
      <c r="GS226" s="175">
        <f t="shared" si="267"/>
        <v>0.99564538355535126</v>
      </c>
      <c r="GV226" s="32">
        <f t="shared" si="268"/>
        <v>4447.8251399999945</v>
      </c>
      <c r="GW226" s="32">
        <f t="shared" si="269"/>
        <v>42074.597728000001</v>
      </c>
      <c r="GX226" s="180">
        <f t="shared" si="270"/>
        <v>46522.422867999994</v>
      </c>
      <c r="GZ226" s="32">
        <f t="shared" si="271"/>
        <v>9.5817000000000014</v>
      </c>
      <c r="HA226" s="32">
        <f t="shared" si="272"/>
        <v>10.8376</v>
      </c>
      <c r="HB226" s="32">
        <f t="shared" si="273"/>
        <v>10.703471054278404</v>
      </c>
    </row>
    <row r="227" spans="1:210" ht="19.2" customHeight="1" x14ac:dyDescent="0.3">
      <c r="A227" s="50">
        <v>219</v>
      </c>
      <c r="B227" s="51" t="s">
        <v>904</v>
      </c>
      <c r="C227" s="51" t="s">
        <v>852</v>
      </c>
      <c r="D227" s="52">
        <v>5</v>
      </c>
      <c r="E227" s="52">
        <v>3</v>
      </c>
      <c r="F227" s="63">
        <v>90</v>
      </c>
      <c r="G227" s="54" t="s">
        <v>163</v>
      </c>
      <c r="H227" s="181" t="s">
        <v>65</v>
      </c>
      <c r="I227" s="55">
        <f t="shared" si="249"/>
        <v>2806.6</v>
      </c>
      <c r="J227" s="55">
        <f t="shared" si="229"/>
        <v>0</v>
      </c>
      <c r="K227" s="55">
        <f t="shared" si="230"/>
        <v>0</v>
      </c>
      <c r="L227" s="56">
        <v>2806.6</v>
      </c>
      <c r="M227" s="56">
        <v>2806.6</v>
      </c>
      <c r="N227" s="56">
        <f t="shared" si="250"/>
        <v>2806.6</v>
      </c>
      <c r="O227" s="56">
        <v>0</v>
      </c>
      <c r="P227" s="56">
        <v>0</v>
      </c>
      <c r="Q227" s="55"/>
      <c r="R227" s="55">
        <v>2806.6</v>
      </c>
      <c r="S227" s="55"/>
      <c r="T227" s="55">
        <v>0</v>
      </c>
      <c r="U227" s="152">
        <v>2806.6</v>
      </c>
      <c r="V227" s="57">
        <v>0.20849999999999999</v>
      </c>
      <c r="W227" s="153">
        <v>9.8100000000000007E-2</v>
      </c>
      <c r="X227" s="57">
        <v>0.31659999999999999</v>
      </c>
      <c r="Y227" s="57">
        <v>7.4899999999999994E-2</v>
      </c>
      <c r="Z227" s="153">
        <v>2.4199999999999999E-2</v>
      </c>
      <c r="AA227" s="57">
        <v>0.43219999999999997</v>
      </c>
      <c r="AB227" s="153">
        <v>0</v>
      </c>
      <c r="AC227" s="57">
        <v>0.63149999999999995</v>
      </c>
      <c r="AD227" s="57">
        <v>0.25359999999999999</v>
      </c>
      <c r="AE227" s="57">
        <v>0</v>
      </c>
      <c r="AF227" s="57">
        <v>1.8628</v>
      </c>
      <c r="AG227" s="57">
        <v>0.25069999999999998</v>
      </c>
      <c r="AH227" s="57">
        <v>0.34789999999999999</v>
      </c>
      <c r="AI227" s="153">
        <v>8.0399999999999999E-2</v>
      </c>
      <c r="AJ227" s="153">
        <v>0.1096</v>
      </c>
      <c r="AK227" s="153">
        <v>4.7100000000000003E-2</v>
      </c>
      <c r="AL227" s="57">
        <v>0.15540000000000001</v>
      </c>
      <c r="AM227" s="153">
        <v>3.6299999999999999E-2</v>
      </c>
      <c r="AN227" s="57">
        <v>0</v>
      </c>
      <c r="AO227" s="153">
        <v>3.2103999999999999</v>
      </c>
      <c r="AP227" s="57">
        <v>1.0867</v>
      </c>
      <c r="AQ227" s="57">
        <v>0.10929999999999999</v>
      </c>
      <c r="AR227" s="153">
        <v>0.38829999999999998</v>
      </c>
      <c r="AS227" s="57">
        <v>7.0900000000000005E-2</v>
      </c>
      <c r="AT227" s="57">
        <v>1.15E-2</v>
      </c>
      <c r="AU227" s="153">
        <v>0.66569999999999996</v>
      </c>
      <c r="AV227" s="153">
        <v>0</v>
      </c>
      <c r="AW227" s="154">
        <v>10.472599999999998</v>
      </c>
      <c r="AX227" s="58">
        <v>0.52359999999999995</v>
      </c>
      <c r="AY227" s="155">
        <f t="shared" si="231"/>
        <v>0.51819999999999999</v>
      </c>
      <c r="AZ227" s="155">
        <f t="shared" si="232"/>
        <v>5.3999999999999604E-3</v>
      </c>
      <c r="BA227" s="14">
        <v>10.996199999999998</v>
      </c>
      <c r="BB227" s="59">
        <f>BA227-'[1]Тариф 26 свод без  ПДВ'!AU227</f>
        <v>-4.4000000000021799E-3</v>
      </c>
      <c r="BC227" s="57">
        <v>0</v>
      </c>
      <c r="BD227" s="57">
        <v>0</v>
      </c>
      <c r="BE227" s="57">
        <v>0</v>
      </c>
      <c r="BF227" s="156">
        <v>10.472599999999998</v>
      </c>
      <c r="BG227" s="59">
        <v>0.52359999999999995</v>
      </c>
      <c r="BH227" s="59"/>
      <c r="BI227" s="59"/>
      <c r="BJ227" s="14">
        <v>10.996199999999998</v>
      </c>
      <c r="BK227" s="60"/>
      <c r="BL227" s="60">
        <v>5.1214999999999993</v>
      </c>
      <c r="BM227" s="60">
        <v>0.25609999999999999</v>
      </c>
      <c r="BN227" s="14">
        <v>5.3775999999999993</v>
      </c>
      <c r="BO227" s="14"/>
      <c r="BP227" s="157"/>
      <c r="BQ227" s="158">
        <f>BJ227-'[1]Тариф 26 свод без  ПДВ'!BG227</f>
        <v>-4.4000000000021799E-3</v>
      </c>
      <c r="BR227" s="77">
        <f>'[1]Тариф 26 свод без  ПДВ'!BG227</f>
        <v>11.0006</v>
      </c>
      <c r="BS227" s="159">
        <f t="shared" si="233"/>
        <v>-4.4000000000021799E-3</v>
      </c>
      <c r="BU227" s="77">
        <f>'[1]Тариф 26 свод без  ПДВ'!AU227</f>
        <v>11.0006</v>
      </c>
      <c r="BV227" s="159">
        <f t="shared" si="234"/>
        <v>-4.4000000000021799E-3</v>
      </c>
      <c r="BX227" s="95">
        <v>4.5829000000000004</v>
      </c>
      <c r="BY227" s="95">
        <v>4.5829000000000004</v>
      </c>
      <c r="BZ227" s="95"/>
      <c r="CA227" s="62">
        <f t="shared" si="235"/>
        <v>2.3993977612428807</v>
      </c>
      <c r="CB227" s="62">
        <f t="shared" si="236"/>
        <v>2.3993977612428807</v>
      </c>
      <c r="CI227" s="160">
        <f>'[1]0 СВОД'!AYY242</f>
        <v>30861.957860409151</v>
      </c>
      <c r="CJ227" s="77">
        <f t="shared" si="237"/>
        <v>370343.49432490981</v>
      </c>
      <c r="CM227" s="161">
        <v>224</v>
      </c>
      <c r="CN227" s="183" t="s">
        <v>905</v>
      </c>
      <c r="CO227" s="163">
        <v>5</v>
      </c>
      <c r="CP227" s="163">
        <v>3</v>
      </c>
      <c r="CQ227" s="164" t="s">
        <v>163</v>
      </c>
      <c r="CR227" s="165" t="s">
        <v>65</v>
      </c>
      <c r="CS227" s="166">
        <v>2805.5</v>
      </c>
      <c r="CT227" s="166">
        <v>0</v>
      </c>
      <c r="CU227" s="167">
        <v>0</v>
      </c>
      <c r="CV227" s="168">
        <v>2805.5</v>
      </c>
      <c r="CW227" s="166">
        <v>2805.5</v>
      </c>
      <c r="CX227" s="167">
        <v>0</v>
      </c>
      <c r="CY227" s="166">
        <v>0</v>
      </c>
      <c r="CZ227" s="166"/>
      <c r="DA227" s="166">
        <v>2805.5</v>
      </c>
      <c r="DB227" s="166"/>
      <c r="DC227" s="166">
        <v>0</v>
      </c>
      <c r="DD227" s="59">
        <v>0.1827</v>
      </c>
      <c r="DE227" s="59">
        <v>0.15939999999999999</v>
      </c>
      <c r="DF227" s="59">
        <v>0.2082</v>
      </c>
      <c r="DG227" s="59">
        <v>4.3900000000000002E-2</v>
      </c>
      <c r="DH227" s="59">
        <v>9.1000000000000004E-3</v>
      </c>
      <c r="DI227" s="59">
        <v>0.18909999999999999</v>
      </c>
      <c r="DJ227" s="59">
        <v>4.8099999999999997E-2</v>
      </c>
      <c r="DK227" s="59">
        <v>0.3458</v>
      </c>
      <c r="DL227" s="169">
        <v>0</v>
      </c>
      <c r="DM227" s="59">
        <v>0.15440000000000001</v>
      </c>
      <c r="DN227" s="169">
        <v>0</v>
      </c>
      <c r="DO227" s="184">
        <v>0.99749999999999994</v>
      </c>
      <c r="DP227" s="171">
        <f t="shared" si="238"/>
        <v>1.8628</v>
      </c>
      <c r="DQ227" s="59">
        <v>0.12089999999999999</v>
      </c>
      <c r="DR227" s="59">
        <v>0.2082</v>
      </c>
      <c r="DS227" s="59">
        <v>2.0799999999999999E-2</v>
      </c>
      <c r="DT227" s="59">
        <v>5.1700000000000003E-2</v>
      </c>
      <c r="DU227" s="59">
        <v>1.9900000000000001E-2</v>
      </c>
      <c r="DV227" s="59">
        <v>5.3999999999999999E-2</v>
      </c>
      <c r="DW227" s="59">
        <v>1.0500000000000001E-2</v>
      </c>
      <c r="DX227" s="169">
        <v>0</v>
      </c>
      <c r="DY227" s="59">
        <v>1.6677999999999999</v>
      </c>
      <c r="DZ227" s="171">
        <f t="shared" si="239"/>
        <v>1.924931046888116</v>
      </c>
      <c r="EA227" s="59">
        <v>0.66379999999999995</v>
      </c>
      <c r="EB227" s="171">
        <f t="shared" si="240"/>
        <v>1.8017475143115398</v>
      </c>
      <c r="EC227" s="59">
        <v>0.21970000000000001</v>
      </c>
      <c r="ED227" s="171">
        <f t="shared" si="241"/>
        <v>1.7674101046882111</v>
      </c>
      <c r="EE227" s="59">
        <v>5.4300000000000001E-2</v>
      </c>
      <c r="EF227" s="59">
        <v>7.4999999999999997E-3</v>
      </c>
      <c r="EG227" s="59">
        <v>0.61950000000000005</v>
      </c>
      <c r="EH227" s="59">
        <v>0</v>
      </c>
      <c r="EI227" s="208">
        <v>0.15140000000000001</v>
      </c>
      <c r="EJ227" s="172">
        <v>6.2081999999999988</v>
      </c>
      <c r="EK227" s="173"/>
      <c r="EL227" s="169">
        <v>0</v>
      </c>
      <c r="EM227" s="169">
        <v>0</v>
      </c>
      <c r="EN227" s="59"/>
      <c r="EO227" s="172"/>
      <c r="ES227" s="57">
        <f t="shared" si="251"/>
        <v>6.2081999999999988</v>
      </c>
      <c r="ET227" s="57">
        <f t="shared" si="252"/>
        <v>0</v>
      </c>
      <c r="EU227" s="31"/>
      <c r="EV227" s="61">
        <f t="shared" si="242"/>
        <v>1.7712380400115977</v>
      </c>
      <c r="EW227" s="62"/>
      <c r="EX227" s="158">
        <f>ES227*1.305-BA227</f>
        <v>-2.8944989999999997</v>
      </c>
      <c r="EY227" s="77">
        <f t="shared" ref="EY227:EY228" si="282">ES227*1.344</f>
        <v>8.3438207999999996</v>
      </c>
      <c r="EZ227" s="214">
        <f t="shared" si="243"/>
        <v>10.996199999999998</v>
      </c>
      <c r="FA227" s="158">
        <f t="shared" si="244"/>
        <v>10.996199999999998</v>
      </c>
      <c r="FH227" s="174">
        <f t="shared" si="274"/>
        <v>30861.934919999992</v>
      </c>
      <c r="FJ227" s="87">
        <v>1.3959440739666895</v>
      </c>
      <c r="FK227" s="176">
        <f t="shared" si="254"/>
        <v>1.2688459896380229</v>
      </c>
      <c r="FM227" s="87" t="e">
        <f t="shared" si="255"/>
        <v>#DIV/0!</v>
      </c>
      <c r="FO227" s="88">
        <f t="shared" si="245"/>
        <v>30861.934919999992</v>
      </c>
      <c r="FP227" s="79">
        <f t="shared" si="246"/>
        <v>0</v>
      </c>
      <c r="FS227" s="79">
        <f t="shared" si="247"/>
        <v>17423.934119999994</v>
      </c>
      <c r="FT227" s="79">
        <f t="shared" si="248"/>
        <v>0</v>
      </c>
      <c r="FU227" s="79">
        <f t="shared" si="256"/>
        <v>1.7712380400115977</v>
      </c>
      <c r="FV227" s="79" t="e">
        <f t="shared" si="256"/>
        <v>#DIV/0!</v>
      </c>
      <c r="FY227" s="79">
        <f t="shared" si="257"/>
        <v>30861.934919999992</v>
      </c>
      <c r="FZ227" s="79">
        <f t="shared" si="258"/>
        <v>0</v>
      </c>
      <c r="GB227" s="178">
        <f t="shared" si="259"/>
        <v>2806.6</v>
      </c>
      <c r="GC227" s="178">
        <f t="shared" si="260"/>
        <v>0</v>
      </c>
      <c r="GG227" s="14">
        <v>8.6588000000000012</v>
      </c>
      <c r="GH227" s="175">
        <f t="shared" si="261"/>
        <v>1.2699450270245296</v>
      </c>
      <c r="GI227" s="14">
        <v>8.6588000000000012</v>
      </c>
      <c r="GJ227" s="175">
        <f t="shared" si="262"/>
        <v>1.2699450270245296</v>
      </c>
      <c r="GK227" s="175">
        <f t="shared" ref="GK227:GK230" si="283">GH227-GJ227</f>
        <v>0</v>
      </c>
      <c r="GN227" s="14">
        <v>10.794799999999999</v>
      </c>
      <c r="GO227" s="175">
        <f t="shared" si="264"/>
        <v>1.2466854529496001</v>
      </c>
      <c r="GP227" s="179">
        <f t="shared" si="265"/>
        <v>1.018657131211324</v>
      </c>
      <c r="GQ227" s="14">
        <v>10.794799999999999</v>
      </c>
      <c r="GR227" s="175">
        <f t="shared" si="266"/>
        <v>1.2466854529496001</v>
      </c>
      <c r="GS227" s="175">
        <f t="shared" si="267"/>
        <v>1.018657131211324</v>
      </c>
      <c r="GV227" s="32">
        <f t="shared" si="268"/>
        <v>30861.934919999992</v>
      </c>
      <c r="GW227" s="32">
        <f t="shared" si="269"/>
        <v>0</v>
      </c>
      <c r="GX227" s="180">
        <f t="shared" si="270"/>
        <v>30861.934919999992</v>
      </c>
      <c r="GZ227" s="32">
        <f t="shared" si="271"/>
        <v>10.996199999999998</v>
      </c>
      <c r="HA227" s="32" t="e">
        <f t="shared" si="272"/>
        <v>#DIV/0!</v>
      </c>
      <c r="HB227" s="32">
        <f t="shared" si="273"/>
        <v>10.996199999999998</v>
      </c>
    </row>
    <row r="228" spans="1:210" ht="19.2" customHeight="1" x14ac:dyDescent="0.3">
      <c r="A228" s="50">
        <v>220</v>
      </c>
      <c r="B228" s="51" t="s">
        <v>906</v>
      </c>
      <c r="C228" s="51" t="s">
        <v>852</v>
      </c>
      <c r="D228" s="52">
        <v>5</v>
      </c>
      <c r="E228" s="52">
        <v>4</v>
      </c>
      <c r="F228" s="63">
        <v>60</v>
      </c>
      <c r="G228" s="54" t="s">
        <v>164</v>
      </c>
      <c r="H228" s="181" t="s">
        <v>56</v>
      </c>
      <c r="I228" s="55">
        <f t="shared" si="249"/>
        <v>3200.37</v>
      </c>
      <c r="J228" s="55">
        <f t="shared" si="229"/>
        <v>0</v>
      </c>
      <c r="K228" s="55">
        <f t="shared" si="230"/>
        <v>0</v>
      </c>
      <c r="L228" s="56">
        <v>3200.37</v>
      </c>
      <c r="M228" s="56">
        <v>3200.37</v>
      </c>
      <c r="N228" s="56">
        <f t="shared" si="250"/>
        <v>3200.37</v>
      </c>
      <c r="O228" s="56">
        <v>0</v>
      </c>
      <c r="P228" s="56">
        <v>0</v>
      </c>
      <c r="Q228" s="55"/>
      <c r="R228" s="55">
        <v>3200.37</v>
      </c>
      <c r="S228" s="55"/>
      <c r="T228" s="55">
        <v>0</v>
      </c>
      <c r="U228" s="152">
        <v>3200.37</v>
      </c>
      <c r="V228" s="57">
        <v>0.1759</v>
      </c>
      <c r="W228" s="153">
        <v>8.72E-2</v>
      </c>
      <c r="X228" s="57">
        <v>0.308</v>
      </c>
      <c r="Y228" s="57">
        <v>7.3700000000000002E-2</v>
      </c>
      <c r="Z228" s="153">
        <v>3.7499999999999999E-2</v>
      </c>
      <c r="AA228" s="57">
        <v>0.42980000000000002</v>
      </c>
      <c r="AB228" s="153">
        <v>0</v>
      </c>
      <c r="AC228" s="57">
        <v>0.63149999999999995</v>
      </c>
      <c r="AD228" s="57">
        <v>0.1482</v>
      </c>
      <c r="AE228" s="57">
        <v>0</v>
      </c>
      <c r="AF228" s="57">
        <v>1.4779</v>
      </c>
      <c r="AG228" s="57">
        <v>0.23200000000000001</v>
      </c>
      <c r="AH228" s="57">
        <v>0.28289999999999998</v>
      </c>
      <c r="AI228" s="153">
        <v>9.7000000000000003E-2</v>
      </c>
      <c r="AJ228" s="153">
        <v>9.4399999999999998E-2</v>
      </c>
      <c r="AK228" s="153">
        <v>7.2800000000000004E-2</v>
      </c>
      <c r="AL228" s="57">
        <v>0.1482</v>
      </c>
      <c r="AM228" s="153">
        <v>3.09E-2</v>
      </c>
      <c r="AN228" s="57">
        <v>0</v>
      </c>
      <c r="AO228" s="153">
        <v>2.6257000000000001</v>
      </c>
      <c r="AP228" s="57">
        <v>1.0667</v>
      </c>
      <c r="AQ228" s="57">
        <v>0.1031</v>
      </c>
      <c r="AR228" s="153">
        <v>0.57709999999999995</v>
      </c>
      <c r="AS228" s="57">
        <v>6.6799999999999998E-2</v>
      </c>
      <c r="AT228" s="57">
        <v>1.0800000000000001E-2</v>
      </c>
      <c r="AU228" s="153">
        <v>0.3024</v>
      </c>
      <c r="AV228" s="153">
        <v>0</v>
      </c>
      <c r="AW228" s="154">
        <v>9.0805000000000007</v>
      </c>
      <c r="AX228" s="58">
        <v>0.45400000000000001</v>
      </c>
      <c r="AY228" s="155">
        <f t="shared" si="231"/>
        <v>0.44890000000000002</v>
      </c>
      <c r="AZ228" s="155">
        <f t="shared" si="232"/>
        <v>5.0999999999999934E-3</v>
      </c>
      <c r="BA228" s="14">
        <v>9.5345000000000013</v>
      </c>
      <c r="BB228" s="59">
        <f>BA228-'[1]Тариф 26 свод без  ПДВ'!AU228</f>
        <v>-1.8999999999991246E-3</v>
      </c>
      <c r="BC228" s="57">
        <v>0</v>
      </c>
      <c r="BD228" s="57">
        <v>0</v>
      </c>
      <c r="BE228" s="57">
        <v>0</v>
      </c>
      <c r="BF228" s="156">
        <v>9.0805000000000007</v>
      </c>
      <c r="BG228" s="59">
        <v>0.45400000000000001</v>
      </c>
      <c r="BH228" s="59"/>
      <c r="BI228" s="59"/>
      <c r="BJ228" s="14">
        <v>9.5345000000000013</v>
      </c>
      <c r="BK228" s="60"/>
      <c r="BL228" s="60">
        <v>4.5086000000000004</v>
      </c>
      <c r="BM228" s="60">
        <v>0.22539999999999999</v>
      </c>
      <c r="BN228" s="14">
        <v>4.734</v>
      </c>
      <c r="BO228" s="14"/>
      <c r="BP228" s="157"/>
      <c r="BQ228" s="158">
        <f>BJ228-'[1]Тариф 26 свод без  ПДВ'!BG228</f>
        <v>-1.8999999999991246E-3</v>
      </c>
      <c r="BR228" s="77">
        <f>'[1]Тариф 26 свод без  ПДВ'!BG228</f>
        <v>9.5364000000000004</v>
      </c>
      <c r="BS228" s="159">
        <f t="shared" si="233"/>
        <v>-1.8999999999991246E-3</v>
      </c>
      <c r="BU228" s="77">
        <f>'[1]Тариф 26 свод без  ПДВ'!AU228</f>
        <v>9.5364000000000004</v>
      </c>
      <c r="BV228" s="159">
        <f t="shared" si="234"/>
        <v>-1.8999999999991246E-3</v>
      </c>
      <c r="BX228" s="95">
        <v>3.6808000000000001</v>
      </c>
      <c r="BY228" s="95">
        <v>3.6808000000000001</v>
      </c>
      <c r="BZ228" s="95"/>
      <c r="CA228" s="62">
        <f t="shared" si="235"/>
        <v>2.5903336231254079</v>
      </c>
      <c r="CB228" s="62">
        <f t="shared" si="236"/>
        <v>2.5903336231254079</v>
      </c>
      <c r="CI228" s="160">
        <f>'[1]0 СВОД'!AYY243</f>
        <v>30514.356686100007</v>
      </c>
      <c r="CJ228" s="77">
        <f t="shared" si="237"/>
        <v>366172.28023320006</v>
      </c>
      <c r="CM228" s="161">
        <v>225</v>
      </c>
      <c r="CN228" s="183" t="s">
        <v>907</v>
      </c>
      <c r="CO228" s="163">
        <v>5</v>
      </c>
      <c r="CP228" s="163">
        <v>4</v>
      </c>
      <c r="CQ228" s="164" t="s">
        <v>164</v>
      </c>
      <c r="CR228" s="165" t="s">
        <v>56</v>
      </c>
      <c r="CS228" s="166">
        <v>3196.65</v>
      </c>
      <c r="CT228" s="166">
        <v>0</v>
      </c>
      <c r="CU228" s="167">
        <v>0</v>
      </c>
      <c r="CV228" s="168">
        <v>3196.65</v>
      </c>
      <c r="CW228" s="166">
        <v>3196.65</v>
      </c>
      <c r="CX228" s="167">
        <v>0</v>
      </c>
      <c r="CY228" s="166">
        <v>0</v>
      </c>
      <c r="CZ228" s="166"/>
      <c r="DA228" s="166">
        <v>3196.65</v>
      </c>
      <c r="DB228" s="166"/>
      <c r="DC228" s="166">
        <v>0</v>
      </c>
      <c r="DD228" s="59">
        <v>0.17299999999999999</v>
      </c>
      <c r="DE228" s="59">
        <v>0.14180000000000001</v>
      </c>
      <c r="DF228" s="59">
        <v>0.20269999999999999</v>
      </c>
      <c r="DG228" s="59">
        <v>4.3400000000000001E-2</v>
      </c>
      <c r="DH228" s="59">
        <v>1.41E-2</v>
      </c>
      <c r="DI228" s="59">
        <v>0.18720000000000001</v>
      </c>
      <c r="DJ228" s="59">
        <v>4.8099999999999997E-2</v>
      </c>
      <c r="DK228" s="59">
        <v>0.3458</v>
      </c>
      <c r="DL228" s="169">
        <v>0</v>
      </c>
      <c r="DM228" s="59">
        <v>9.0300000000000005E-2</v>
      </c>
      <c r="DN228" s="169">
        <v>0</v>
      </c>
      <c r="DO228" s="184">
        <v>0.72540000000000004</v>
      </c>
      <c r="DP228" s="171">
        <f t="shared" si="238"/>
        <v>1.4779</v>
      </c>
      <c r="DQ228" s="59">
        <v>0.1118</v>
      </c>
      <c r="DR228" s="59">
        <v>0.1852</v>
      </c>
      <c r="DS228" s="59">
        <v>2.5100000000000001E-2</v>
      </c>
      <c r="DT228" s="59">
        <v>4.4499999999999998E-2</v>
      </c>
      <c r="DU228" s="59">
        <v>3.0800000000000001E-2</v>
      </c>
      <c r="DV228" s="59">
        <v>5.1700000000000003E-2</v>
      </c>
      <c r="DW228" s="59">
        <v>7.9000000000000008E-3</v>
      </c>
      <c r="DX228" s="169">
        <v>0</v>
      </c>
      <c r="DY228" s="59">
        <v>1.3468</v>
      </c>
      <c r="DZ228" s="171">
        <f t="shared" si="239"/>
        <v>1.9495841995841996</v>
      </c>
      <c r="EA228" s="59">
        <v>0.65429999999999999</v>
      </c>
      <c r="EB228" s="171">
        <f t="shared" si="240"/>
        <v>1.7878648937796118</v>
      </c>
      <c r="EC228" s="59">
        <v>0.31830000000000003</v>
      </c>
      <c r="ED228" s="171">
        <f t="shared" si="241"/>
        <v>1.8130694313540681</v>
      </c>
      <c r="EE228" s="59">
        <v>5.1200000000000002E-2</v>
      </c>
      <c r="EF228" s="59">
        <v>7.1000000000000004E-3</v>
      </c>
      <c r="EG228" s="59">
        <v>0.30709999999999998</v>
      </c>
      <c r="EH228" s="59">
        <v>0</v>
      </c>
      <c r="EI228" s="208">
        <v>0.1278</v>
      </c>
      <c r="EJ228" s="172">
        <v>5.2413999999999996</v>
      </c>
      <c r="EK228" s="173"/>
      <c r="EL228" s="169">
        <v>0</v>
      </c>
      <c r="EM228" s="169">
        <v>0</v>
      </c>
      <c r="EN228" s="59"/>
      <c r="EO228" s="172"/>
      <c r="ES228" s="57">
        <f t="shared" si="251"/>
        <v>5.2413999999999996</v>
      </c>
      <c r="ET228" s="57">
        <f t="shared" si="252"/>
        <v>0</v>
      </c>
      <c r="EU228" s="31"/>
      <c r="EV228" s="61">
        <f t="shared" si="242"/>
        <v>1.819075056282673</v>
      </c>
      <c r="EW228" s="62"/>
      <c r="EX228" s="158">
        <f>ES228*1.305-BA228</f>
        <v>-2.6944730000000021</v>
      </c>
      <c r="EY228" s="77">
        <f t="shared" si="282"/>
        <v>7.0444415999999999</v>
      </c>
      <c r="EZ228" s="158">
        <f t="shared" si="243"/>
        <v>9.5345000000000013</v>
      </c>
      <c r="FA228" s="158">
        <f t="shared" si="244"/>
        <v>9.5345000000000013</v>
      </c>
      <c r="FH228" s="174">
        <f t="shared" si="274"/>
        <v>30513.927765000004</v>
      </c>
      <c r="FJ228" s="87">
        <v>1.3698248559545159</v>
      </c>
      <c r="FK228" s="176">
        <f t="shared" si="254"/>
        <v>1.3279617816652278</v>
      </c>
      <c r="FM228" s="87" t="e">
        <f t="shared" si="255"/>
        <v>#DIV/0!</v>
      </c>
      <c r="FO228" s="88">
        <f t="shared" si="245"/>
        <v>30513.927765000004</v>
      </c>
      <c r="FP228" s="79">
        <f t="shared" si="246"/>
        <v>0</v>
      </c>
      <c r="FS228" s="79">
        <f t="shared" si="247"/>
        <v>16774.419317999997</v>
      </c>
      <c r="FT228" s="79">
        <f t="shared" si="248"/>
        <v>0</v>
      </c>
      <c r="FU228" s="79">
        <f t="shared" si="256"/>
        <v>1.8190750562826732</v>
      </c>
      <c r="FV228" s="79" t="e">
        <f t="shared" si="256"/>
        <v>#DIV/0!</v>
      </c>
      <c r="FY228" s="79">
        <f t="shared" si="257"/>
        <v>30513.927765000004</v>
      </c>
      <c r="FZ228" s="79">
        <f t="shared" si="258"/>
        <v>0</v>
      </c>
      <c r="GB228" s="178">
        <f t="shared" si="259"/>
        <v>3200.37</v>
      </c>
      <c r="GC228" s="178">
        <f t="shared" si="260"/>
        <v>0</v>
      </c>
      <c r="GG228" s="14">
        <v>7.5159999999999982</v>
      </c>
      <c r="GH228" s="175">
        <f t="shared" si="261"/>
        <v>1.2685604044704635</v>
      </c>
      <c r="GI228" s="14">
        <v>7.5159999999999982</v>
      </c>
      <c r="GJ228" s="175">
        <f t="shared" si="262"/>
        <v>1.2685604044704635</v>
      </c>
      <c r="GK228" s="175">
        <f t="shared" si="283"/>
        <v>0</v>
      </c>
      <c r="GN228" s="14">
        <v>9.4949999999999992</v>
      </c>
      <c r="GO228" s="175">
        <f t="shared" si="264"/>
        <v>1.2633049494411923</v>
      </c>
      <c r="GP228" s="179">
        <f t="shared" si="265"/>
        <v>1.0041600842548712</v>
      </c>
      <c r="GQ228" s="14">
        <v>9.4949999999999992</v>
      </c>
      <c r="GR228" s="175">
        <f t="shared" si="266"/>
        <v>1.2633049494411923</v>
      </c>
      <c r="GS228" s="175">
        <f t="shared" si="267"/>
        <v>1.0041600842548712</v>
      </c>
      <c r="GV228" s="32">
        <f t="shared" si="268"/>
        <v>30513.927765000004</v>
      </c>
      <c r="GW228" s="32">
        <f t="shared" si="269"/>
        <v>0</v>
      </c>
      <c r="GX228" s="180">
        <f t="shared" si="270"/>
        <v>30513.927765000004</v>
      </c>
      <c r="GZ228" s="32">
        <f t="shared" si="271"/>
        <v>9.5345000000000013</v>
      </c>
      <c r="HA228" s="32" t="e">
        <f t="shared" si="272"/>
        <v>#DIV/0!</v>
      </c>
      <c r="HB228" s="32">
        <f t="shared" si="273"/>
        <v>9.5345000000000013</v>
      </c>
    </row>
    <row r="229" spans="1:210" ht="19.2" customHeight="1" x14ac:dyDescent="0.3">
      <c r="A229" s="50">
        <v>221</v>
      </c>
      <c r="B229" s="51" t="s">
        <v>908</v>
      </c>
      <c r="C229" s="51" t="s">
        <v>852</v>
      </c>
      <c r="D229" s="52">
        <v>9</v>
      </c>
      <c r="E229" s="52">
        <v>1</v>
      </c>
      <c r="F229" s="63">
        <v>36</v>
      </c>
      <c r="G229" s="54" t="s">
        <v>236</v>
      </c>
      <c r="H229" s="181" t="s">
        <v>173</v>
      </c>
      <c r="I229" s="55">
        <f t="shared" si="249"/>
        <v>196.8599999999999</v>
      </c>
      <c r="J229" s="55">
        <f t="shared" si="229"/>
        <v>1690.93</v>
      </c>
      <c r="K229" s="55">
        <f t="shared" si="230"/>
        <v>0</v>
      </c>
      <c r="L229" s="56">
        <v>1887.79</v>
      </c>
      <c r="M229" s="56">
        <v>1887.79</v>
      </c>
      <c r="N229" s="56">
        <f t="shared" si="250"/>
        <v>196.8599999999999</v>
      </c>
      <c r="O229" s="56">
        <v>0</v>
      </c>
      <c r="P229" s="56">
        <v>0</v>
      </c>
      <c r="Q229" s="55"/>
      <c r="R229" s="55">
        <v>1887.79</v>
      </c>
      <c r="S229" s="55"/>
      <c r="T229" s="55">
        <v>1690.93</v>
      </c>
      <c r="U229" s="152">
        <v>196.8599999999999</v>
      </c>
      <c r="V229" s="57">
        <v>0.1867</v>
      </c>
      <c r="W229" s="57">
        <v>8.7900000000000006E-2</v>
      </c>
      <c r="X229" s="153">
        <v>0.30430000000000001</v>
      </c>
      <c r="Y229" s="153">
        <v>7.4099999999999999E-2</v>
      </c>
      <c r="Z229" s="57">
        <v>2.4899999999999999E-2</v>
      </c>
      <c r="AA229" s="57">
        <v>0.20430000000000001</v>
      </c>
      <c r="AB229" s="57">
        <v>0</v>
      </c>
      <c r="AC229" s="153">
        <v>0.63149999999999995</v>
      </c>
      <c r="AD229" s="57">
        <v>0.15079999999999999</v>
      </c>
      <c r="AE229" s="57">
        <v>0</v>
      </c>
      <c r="AF229" s="57">
        <v>2.1667000000000001</v>
      </c>
      <c r="AG229" s="57">
        <v>0.245</v>
      </c>
      <c r="AH229" s="57">
        <v>0.31569999999999998</v>
      </c>
      <c r="AI229" s="57">
        <v>9.9699999999999997E-2</v>
      </c>
      <c r="AJ229" s="57">
        <v>0.1051</v>
      </c>
      <c r="AK229" s="57">
        <v>4.8399999999999999E-2</v>
      </c>
      <c r="AL229" s="57">
        <v>3.9100000000000003E-2</v>
      </c>
      <c r="AM229" s="57">
        <v>3.1E-2</v>
      </c>
      <c r="AN229" s="57">
        <v>0</v>
      </c>
      <c r="AO229" s="57">
        <v>2.0083000000000002</v>
      </c>
      <c r="AP229" s="153">
        <v>1.5817000000000001</v>
      </c>
      <c r="AQ229" s="153">
        <v>7.2099999999999997E-2</v>
      </c>
      <c r="AR229" s="57">
        <v>0.4032</v>
      </c>
      <c r="AS229" s="57">
        <v>3.4599999999999999E-2</v>
      </c>
      <c r="AT229" s="153">
        <v>5.5999999999999999E-3</v>
      </c>
      <c r="AU229" s="153">
        <v>0.32900000000000001</v>
      </c>
      <c r="AV229" s="153">
        <v>0</v>
      </c>
      <c r="AW229" s="154">
        <v>9.1497000000000011</v>
      </c>
      <c r="AX229" s="58">
        <v>0.45750000000000002</v>
      </c>
      <c r="AY229" s="155">
        <f t="shared" si="231"/>
        <v>0.45390000000000003</v>
      </c>
      <c r="AZ229" s="155">
        <f t="shared" si="232"/>
        <v>3.5999999999999921E-3</v>
      </c>
      <c r="BA229" s="14">
        <v>9.6072000000000006</v>
      </c>
      <c r="BB229" s="59">
        <f>BA229-'[1]Тариф 26 свод без  ПДВ'!AU229</f>
        <v>1.200000000000756E-3</v>
      </c>
      <c r="BC229" s="57">
        <v>2.0266999999999999</v>
      </c>
      <c r="BD229" s="57">
        <v>0</v>
      </c>
      <c r="BE229" s="57">
        <v>0.43159999999999998</v>
      </c>
      <c r="BF229" s="156">
        <v>11.608000000000001</v>
      </c>
      <c r="BG229" s="59">
        <v>0.58040000000000003</v>
      </c>
      <c r="BH229" s="59"/>
      <c r="BI229" s="59"/>
      <c r="BJ229" s="14">
        <v>12.188400000000001</v>
      </c>
      <c r="BK229" s="60"/>
      <c r="BL229" s="60">
        <v>4.8275000000000006</v>
      </c>
      <c r="BM229" s="60">
        <v>0.2414</v>
      </c>
      <c r="BN229" s="14">
        <v>5.0689000000000002</v>
      </c>
      <c r="BO229" s="14"/>
      <c r="BP229" s="157"/>
      <c r="BQ229" s="158">
        <f>BJ229-'[1]Тариф 26 свод без  ПДВ'!BG229</f>
        <v>4.0000000000013358E-3</v>
      </c>
      <c r="BR229" s="77">
        <f>'[1]Тариф 26 свод без  ПДВ'!BG229</f>
        <v>12.1844</v>
      </c>
      <c r="BS229" s="159">
        <f t="shared" si="233"/>
        <v>4.0000000000013358E-3</v>
      </c>
      <c r="BU229" s="77">
        <f>'[1]Тариф 26 свод без  ПДВ'!AU229</f>
        <v>9.6059999999999999</v>
      </c>
      <c r="BV229" s="159">
        <f t="shared" si="234"/>
        <v>1.200000000000756E-3</v>
      </c>
      <c r="BX229" s="95">
        <v>4.4498000000000006</v>
      </c>
      <c r="BY229" s="95">
        <v>4.4498000000000006</v>
      </c>
      <c r="BZ229" s="95"/>
      <c r="CA229" s="62">
        <f t="shared" si="235"/>
        <v>2.1590183828486671</v>
      </c>
      <c r="CB229" s="62">
        <f t="shared" si="236"/>
        <v>2.739089397276282</v>
      </c>
      <c r="CI229" s="160">
        <f>'[1]0 СВОД'!AYY244</f>
        <v>22501.138572123764</v>
      </c>
      <c r="CJ229" s="77">
        <f t="shared" si="237"/>
        <v>270013.66286548518</v>
      </c>
      <c r="CM229" s="161">
        <v>226</v>
      </c>
      <c r="CN229" s="183" t="s">
        <v>909</v>
      </c>
      <c r="CO229" s="163">
        <v>9</v>
      </c>
      <c r="CP229" s="163">
        <v>1</v>
      </c>
      <c r="CQ229" s="164" t="s">
        <v>236</v>
      </c>
      <c r="CR229" s="165" t="s">
        <v>173</v>
      </c>
      <c r="CS229" s="166">
        <v>196.86999999999989</v>
      </c>
      <c r="CT229" s="166">
        <v>1685.3000000000002</v>
      </c>
      <c r="CU229" s="167">
        <v>0</v>
      </c>
      <c r="CV229" s="168">
        <v>1882.17</v>
      </c>
      <c r="CW229" s="166">
        <v>1882.17</v>
      </c>
      <c r="CX229" s="167">
        <v>0</v>
      </c>
      <c r="CY229" s="166">
        <v>0</v>
      </c>
      <c r="CZ229" s="166"/>
      <c r="DA229" s="166">
        <v>1882.17</v>
      </c>
      <c r="DB229" s="166"/>
      <c r="DC229" s="166">
        <v>1685.3000000000002</v>
      </c>
      <c r="DD229" s="59">
        <v>0.1837</v>
      </c>
      <c r="DE229" s="59">
        <v>0.14319999999999999</v>
      </c>
      <c r="DF229" s="59">
        <v>0.20050000000000001</v>
      </c>
      <c r="DG229" s="59">
        <v>4.3799999999999999E-2</v>
      </c>
      <c r="DH229" s="59">
        <v>9.4000000000000004E-3</v>
      </c>
      <c r="DI229" s="59">
        <v>8.77E-2</v>
      </c>
      <c r="DJ229" s="59">
        <v>4.8099999999999997E-2</v>
      </c>
      <c r="DK229" s="59">
        <v>0.3458</v>
      </c>
      <c r="DL229" s="169">
        <v>0</v>
      </c>
      <c r="DM229" s="59">
        <v>9.1999999999999998E-2</v>
      </c>
      <c r="DN229" s="169">
        <v>0</v>
      </c>
      <c r="DO229" s="184">
        <v>1.5629</v>
      </c>
      <c r="DP229" s="171">
        <f t="shared" si="238"/>
        <v>2.1667000000000001</v>
      </c>
      <c r="DQ229" s="59">
        <v>0.1183</v>
      </c>
      <c r="DR229" s="59">
        <v>0.1898</v>
      </c>
      <c r="DS229" s="59">
        <v>2.5899999999999999E-2</v>
      </c>
      <c r="DT229" s="59">
        <v>4.9799999999999997E-2</v>
      </c>
      <c r="DU229" s="59">
        <v>2.0500000000000001E-2</v>
      </c>
      <c r="DV229" s="59">
        <v>1.37E-2</v>
      </c>
      <c r="DW229" s="59">
        <v>8.0000000000000002E-3</v>
      </c>
      <c r="DX229" s="169">
        <v>0</v>
      </c>
      <c r="DY229" s="59">
        <v>1.0053000000000001</v>
      </c>
      <c r="DZ229" s="171">
        <f t="shared" si="239"/>
        <v>1.9977121257336119</v>
      </c>
      <c r="EA229" s="59">
        <v>0.93240000000000001</v>
      </c>
      <c r="EB229" s="171">
        <f t="shared" si="240"/>
        <v>1.7737022737022738</v>
      </c>
      <c r="EC229" s="59">
        <v>0.16300000000000001</v>
      </c>
      <c r="ED229" s="171">
        <f t="shared" si="241"/>
        <v>2.4736196319018404</v>
      </c>
      <c r="EE229" s="59">
        <v>2.6499999999999999E-2</v>
      </c>
      <c r="EF229" s="59">
        <v>3.7000000000000002E-3</v>
      </c>
      <c r="EG229" s="59">
        <v>0.20150000000000001</v>
      </c>
      <c r="EH229" s="59">
        <v>0</v>
      </c>
      <c r="EI229" s="155">
        <v>0.13689999999999999</v>
      </c>
      <c r="EJ229" s="172">
        <v>5.6124000000000018</v>
      </c>
      <c r="EK229" s="173"/>
      <c r="EL229" s="59">
        <v>1.7576000000000001</v>
      </c>
      <c r="EM229" s="59">
        <v>0.25580000000000003</v>
      </c>
      <c r="EN229" s="59">
        <v>0.18720000000000001</v>
      </c>
      <c r="EO229" s="172">
        <v>7.6761000000000017</v>
      </c>
      <c r="ES229" s="57">
        <f t="shared" si="251"/>
        <v>5.6124000000000018</v>
      </c>
      <c r="ET229" s="57">
        <f t="shared" si="252"/>
        <v>7.6761000000000017</v>
      </c>
      <c r="EU229" s="31"/>
      <c r="EV229" s="61">
        <f t="shared" si="242"/>
        <v>1.7117810562326272</v>
      </c>
      <c r="EW229" s="61">
        <f>BJ229/ET229</f>
        <v>1.5878375737679289</v>
      </c>
      <c r="EX229" s="185">
        <v>7.3189000000000002</v>
      </c>
      <c r="EY229" s="174">
        <v>10.198</v>
      </c>
      <c r="EZ229" s="158">
        <f t="shared" si="243"/>
        <v>9.6072000000000006</v>
      </c>
      <c r="FA229" s="158">
        <f t="shared" si="244"/>
        <v>12.188400000000001</v>
      </c>
      <c r="FB229" s="158">
        <f>BA229-EX229</f>
        <v>2.2883000000000004</v>
      </c>
      <c r="FC229" s="158">
        <f>BJ229-EY229</f>
        <v>1.9904000000000011</v>
      </c>
      <c r="FD229" s="175">
        <f t="shared" ref="FD229:FD230" si="284">FB229/EX229</f>
        <v>0.31265627348372027</v>
      </c>
      <c r="FE229" s="175">
        <f t="shared" ref="FE229:FE230" si="285">FC229/FA229</f>
        <v>0.16330281251025572</v>
      </c>
      <c r="FF229" s="158"/>
      <c r="FG229" s="174"/>
      <c r="FH229" s="174">
        <f t="shared" si="274"/>
        <v>18136.376088000001</v>
      </c>
      <c r="FI229" s="174"/>
      <c r="FJ229" s="176">
        <v>1.2841</v>
      </c>
      <c r="FK229" s="176">
        <f t="shared" si="254"/>
        <v>1.333058995586502</v>
      </c>
      <c r="FL229" s="87">
        <v>1.3140000000000001</v>
      </c>
      <c r="FM229" s="177">
        <f t="shared" si="255"/>
        <v>1.2083999800364755</v>
      </c>
      <c r="FO229" s="88">
        <f t="shared" si="245"/>
        <v>18136.376088000001</v>
      </c>
      <c r="FP229" s="79">
        <f t="shared" si="246"/>
        <v>20609.731212000002</v>
      </c>
      <c r="FS229" s="79">
        <f t="shared" si="247"/>
        <v>10595.032596000003</v>
      </c>
      <c r="FT229" s="79">
        <f t="shared" si="248"/>
        <v>12979.747773000003</v>
      </c>
      <c r="FU229" s="79">
        <f t="shared" si="256"/>
        <v>1.7117810562326274</v>
      </c>
      <c r="FV229" s="79">
        <f t="shared" si="256"/>
        <v>1.5878375737679289</v>
      </c>
      <c r="FY229" s="79">
        <f t="shared" si="257"/>
        <v>1891.2733919999991</v>
      </c>
      <c r="FZ229" s="79">
        <f t="shared" si="258"/>
        <v>20609.731212000002</v>
      </c>
      <c r="GB229" s="178">
        <f t="shared" si="259"/>
        <v>196.8599999999999</v>
      </c>
      <c r="GC229" s="178">
        <f t="shared" si="260"/>
        <v>1690.93</v>
      </c>
      <c r="GG229" s="14">
        <v>7.5650999999999993</v>
      </c>
      <c r="GH229" s="175">
        <f t="shared" si="261"/>
        <v>1.2699369472974582</v>
      </c>
      <c r="GI229" s="14">
        <v>10.5665</v>
      </c>
      <c r="GJ229" s="175">
        <f t="shared" si="262"/>
        <v>1.1534945346141108</v>
      </c>
      <c r="GK229" s="175">
        <f t="shared" si="283"/>
        <v>0.11644241268334743</v>
      </c>
      <c r="GN229" s="14">
        <v>9.5503</v>
      </c>
      <c r="GO229" s="175">
        <f t="shared" si="264"/>
        <v>1.2624155662185563</v>
      </c>
      <c r="GP229" s="179">
        <f t="shared" si="265"/>
        <v>1.0059579280232036</v>
      </c>
      <c r="GQ229" s="14">
        <v>11.940899999999999</v>
      </c>
      <c r="GR229" s="175">
        <f t="shared" si="266"/>
        <v>1.1300714522311077</v>
      </c>
      <c r="GS229" s="175">
        <f t="shared" si="267"/>
        <v>1.0207270808733011</v>
      </c>
      <c r="GV229" s="32">
        <f t="shared" si="268"/>
        <v>1891.2733919999991</v>
      </c>
      <c r="GW229" s="32">
        <f t="shared" si="269"/>
        <v>20609.731212000002</v>
      </c>
      <c r="GX229" s="180">
        <f t="shared" si="270"/>
        <v>22501.004604000002</v>
      </c>
      <c r="GZ229" s="32">
        <f t="shared" si="271"/>
        <v>9.6072000000000006</v>
      </c>
      <c r="HA229" s="32">
        <f t="shared" si="272"/>
        <v>12.188400000000001</v>
      </c>
      <c r="HB229" s="32">
        <f t="shared" si="273"/>
        <v>11.919230742826269</v>
      </c>
    </row>
    <row r="230" spans="1:210" ht="19.2" customHeight="1" x14ac:dyDescent="0.3">
      <c r="A230" s="50">
        <v>222</v>
      </c>
      <c r="B230" s="51" t="s">
        <v>910</v>
      </c>
      <c r="C230" s="51" t="s">
        <v>852</v>
      </c>
      <c r="D230" s="52">
        <v>9</v>
      </c>
      <c r="E230" s="52">
        <v>2</v>
      </c>
      <c r="F230" s="63">
        <v>72</v>
      </c>
      <c r="G230" s="54" t="s">
        <v>237</v>
      </c>
      <c r="H230" s="181" t="s">
        <v>173</v>
      </c>
      <c r="I230" s="55">
        <f t="shared" si="249"/>
        <v>396.65999999999985</v>
      </c>
      <c r="J230" s="55">
        <f t="shared" si="229"/>
        <v>3382.19</v>
      </c>
      <c r="K230" s="55">
        <f t="shared" si="230"/>
        <v>0</v>
      </c>
      <c r="L230" s="56">
        <v>3778.85</v>
      </c>
      <c r="M230" s="56">
        <v>3778.85</v>
      </c>
      <c r="N230" s="56">
        <f t="shared" si="250"/>
        <v>396.65999999999985</v>
      </c>
      <c r="O230" s="56">
        <v>0</v>
      </c>
      <c r="P230" s="56">
        <v>0</v>
      </c>
      <c r="Q230" s="55"/>
      <c r="R230" s="55">
        <v>3778.85</v>
      </c>
      <c r="S230" s="55"/>
      <c r="T230" s="55">
        <v>3382.19</v>
      </c>
      <c r="U230" s="152">
        <v>396.65999999999985</v>
      </c>
      <c r="V230" s="57">
        <v>0.1648</v>
      </c>
      <c r="W230" s="57">
        <v>8.0299999999999996E-2</v>
      </c>
      <c r="X230" s="153">
        <v>0.30159999999999998</v>
      </c>
      <c r="Y230" s="153">
        <v>6.0999999999999999E-2</v>
      </c>
      <c r="Z230" s="57">
        <v>2.3300000000000001E-2</v>
      </c>
      <c r="AA230" s="57">
        <v>0.2074</v>
      </c>
      <c r="AB230" s="57">
        <v>0</v>
      </c>
      <c r="AC230" s="153">
        <v>0.63149999999999995</v>
      </c>
      <c r="AD230" s="57">
        <v>0.1507</v>
      </c>
      <c r="AE230" s="57">
        <v>0</v>
      </c>
      <c r="AF230" s="57">
        <v>2.2948</v>
      </c>
      <c r="AG230" s="57">
        <v>0.2162</v>
      </c>
      <c r="AH230" s="57">
        <v>0.2888</v>
      </c>
      <c r="AI230" s="57">
        <v>0.1011</v>
      </c>
      <c r="AJ230" s="57">
        <v>5.5300000000000002E-2</v>
      </c>
      <c r="AK230" s="57">
        <v>4.5199999999999997E-2</v>
      </c>
      <c r="AL230" s="57">
        <v>4.8500000000000001E-2</v>
      </c>
      <c r="AM230" s="57">
        <v>2.5600000000000001E-2</v>
      </c>
      <c r="AN230" s="57">
        <v>0</v>
      </c>
      <c r="AO230" s="57">
        <v>1.8001</v>
      </c>
      <c r="AP230" s="153">
        <v>1.5701000000000001</v>
      </c>
      <c r="AQ230" s="153">
        <v>7.8700000000000006E-2</v>
      </c>
      <c r="AR230" s="57">
        <v>0.3947</v>
      </c>
      <c r="AS230" s="57">
        <v>3.6499999999999998E-2</v>
      </c>
      <c r="AT230" s="153">
        <v>5.8999999999999999E-3</v>
      </c>
      <c r="AU230" s="153">
        <v>0.33279999999999998</v>
      </c>
      <c r="AV230" s="153">
        <v>0</v>
      </c>
      <c r="AW230" s="154">
        <v>8.9149000000000012</v>
      </c>
      <c r="AX230" s="58">
        <v>0.44569999999999999</v>
      </c>
      <c r="AY230" s="155">
        <f t="shared" si="231"/>
        <v>0.44180000000000003</v>
      </c>
      <c r="AZ230" s="155">
        <f t="shared" si="232"/>
        <v>3.8999999999999591E-3</v>
      </c>
      <c r="BA230" s="14">
        <v>9.3606000000000016</v>
      </c>
      <c r="BB230" s="59">
        <f>BA230-'[1]Тариф 26 свод без  ПДВ'!AU230</f>
        <v>1.3000000000022993E-3</v>
      </c>
      <c r="BC230" s="57">
        <v>2.0265</v>
      </c>
      <c r="BD230" s="57">
        <v>0</v>
      </c>
      <c r="BE230" s="57">
        <v>0.45910000000000001</v>
      </c>
      <c r="BF230" s="156">
        <v>11.400500000000001</v>
      </c>
      <c r="BG230" s="59">
        <v>0.56999999999999995</v>
      </c>
      <c r="BH230" s="59"/>
      <c r="BI230" s="59"/>
      <c r="BJ230" s="14">
        <v>11.970500000000001</v>
      </c>
      <c r="BK230" s="60"/>
      <c r="BL230" s="60">
        <v>4.8171999999999997</v>
      </c>
      <c r="BM230" s="60">
        <v>0.2409</v>
      </c>
      <c r="BN230" s="14">
        <v>5.0580999999999996</v>
      </c>
      <c r="BO230" s="14"/>
      <c r="BP230" s="157"/>
      <c r="BQ230" s="158">
        <f>BJ230-'[1]Тариф 26 свод без  ПДВ'!BG230</f>
        <v>-6.4999999999990621E-3</v>
      </c>
      <c r="BR230" s="77">
        <f>'[1]Тариф 26 свод без  ПДВ'!BG230</f>
        <v>11.977</v>
      </c>
      <c r="BS230" s="159">
        <f t="shared" si="233"/>
        <v>-6.4999999999990621E-3</v>
      </c>
      <c r="BU230" s="77">
        <f>'[1]Тариф 26 свод без  ПДВ'!AU230</f>
        <v>9.3592999999999993</v>
      </c>
      <c r="BV230" s="159">
        <f t="shared" si="234"/>
        <v>1.3000000000022993E-3</v>
      </c>
      <c r="BX230" s="95">
        <v>4.5563999999999991</v>
      </c>
      <c r="BY230" s="95">
        <v>4.5563999999999991</v>
      </c>
      <c r="BZ230" s="95"/>
      <c r="CA230" s="62">
        <f t="shared" si="235"/>
        <v>2.0543850408217019</v>
      </c>
      <c r="CB230" s="62">
        <f t="shared" si="236"/>
        <v>2.6271837415503474</v>
      </c>
      <c r="CI230" s="160">
        <f>'[1]0 СВОД'!AYY245</f>
        <v>44200.417319350694</v>
      </c>
      <c r="CJ230" s="77">
        <f t="shared" si="237"/>
        <v>530405.0078322083</v>
      </c>
      <c r="CM230" s="161">
        <v>227</v>
      </c>
      <c r="CN230" s="183" t="s">
        <v>911</v>
      </c>
      <c r="CO230" s="163">
        <v>9</v>
      </c>
      <c r="CP230" s="163">
        <v>2</v>
      </c>
      <c r="CQ230" s="164" t="s">
        <v>237</v>
      </c>
      <c r="CR230" s="165" t="s">
        <v>173</v>
      </c>
      <c r="CS230" s="166">
        <v>396.65999999999985</v>
      </c>
      <c r="CT230" s="166">
        <v>3377.3900000000003</v>
      </c>
      <c r="CU230" s="167">
        <v>0</v>
      </c>
      <c r="CV230" s="168">
        <v>3774.05</v>
      </c>
      <c r="CW230" s="166">
        <v>3774.05</v>
      </c>
      <c r="CX230" s="167">
        <v>0</v>
      </c>
      <c r="CY230" s="166">
        <v>0</v>
      </c>
      <c r="CZ230" s="166"/>
      <c r="DA230" s="166">
        <v>3774.05</v>
      </c>
      <c r="DB230" s="166"/>
      <c r="DC230" s="166">
        <v>3377.3900000000003</v>
      </c>
      <c r="DD230" s="59">
        <v>0.16209999999999999</v>
      </c>
      <c r="DE230" s="59">
        <v>0.13059999999999999</v>
      </c>
      <c r="DF230" s="59">
        <v>0.19850000000000001</v>
      </c>
      <c r="DG230" s="59">
        <v>3.5999999999999997E-2</v>
      </c>
      <c r="DH230" s="59">
        <v>8.8000000000000005E-3</v>
      </c>
      <c r="DI230" s="59">
        <v>8.8900000000000007E-2</v>
      </c>
      <c r="DJ230" s="59">
        <v>4.8099999999999997E-2</v>
      </c>
      <c r="DK230" s="59">
        <v>0.3458</v>
      </c>
      <c r="DL230" s="169">
        <v>0</v>
      </c>
      <c r="DM230" s="59">
        <v>9.1800000000000007E-2</v>
      </c>
      <c r="DN230" s="169">
        <v>0</v>
      </c>
      <c r="DO230" s="184">
        <v>1.5517000000000001</v>
      </c>
      <c r="DP230" s="171">
        <f t="shared" si="238"/>
        <v>2.2948</v>
      </c>
      <c r="DQ230" s="59">
        <v>0.1042</v>
      </c>
      <c r="DR230" s="59">
        <v>0.1734</v>
      </c>
      <c r="DS230" s="59">
        <v>2.6200000000000001E-2</v>
      </c>
      <c r="DT230" s="59">
        <v>2.64E-2</v>
      </c>
      <c r="DU230" s="59">
        <v>1.9099999999999999E-2</v>
      </c>
      <c r="DV230" s="59">
        <v>1.7000000000000001E-2</v>
      </c>
      <c r="DW230" s="59">
        <v>5.4000000000000003E-3</v>
      </c>
      <c r="DX230" s="169">
        <v>0</v>
      </c>
      <c r="DY230" s="59">
        <v>0.86580000000000001</v>
      </c>
      <c r="DZ230" s="171">
        <f t="shared" si="239"/>
        <v>2.0791175791175793</v>
      </c>
      <c r="EA230" s="59">
        <v>0.92749999999999999</v>
      </c>
      <c r="EB230" s="171">
        <f t="shared" si="240"/>
        <v>1.7776819407008086</v>
      </c>
      <c r="EC230" s="59">
        <v>0.157</v>
      </c>
      <c r="ED230" s="171">
        <f t="shared" si="241"/>
        <v>2.514012738853503</v>
      </c>
      <c r="EE230" s="59">
        <v>2.8000000000000001E-2</v>
      </c>
      <c r="EF230" s="59">
        <v>3.8999999999999998E-3</v>
      </c>
      <c r="EG230" s="59">
        <v>0.19639999999999999</v>
      </c>
      <c r="EH230" s="59">
        <v>0</v>
      </c>
      <c r="EI230" s="155">
        <v>0.1303</v>
      </c>
      <c r="EJ230" s="172">
        <v>5.3428999999999993</v>
      </c>
      <c r="EK230" s="173"/>
      <c r="EL230" s="59">
        <v>1.7541</v>
      </c>
      <c r="EM230" s="59">
        <v>0.25869999999999999</v>
      </c>
      <c r="EN230" s="59">
        <v>0.18060000000000001</v>
      </c>
      <c r="EO230" s="172">
        <v>7.4059999999999997</v>
      </c>
      <c r="ES230" s="57">
        <f t="shared" si="251"/>
        <v>5.3428999999999993</v>
      </c>
      <c r="ET230" s="57">
        <f t="shared" si="252"/>
        <v>7.4059999999999997</v>
      </c>
      <c r="EU230" s="31"/>
      <c r="EV230" s="61">
        <f t="shared" si="242"/>
        <v>1.7519699039847278</v>
      </c>
      <c r="EW230" s="61">
        <f>BJ230/ET230</f>
        <v>1.6163246016743185</v>
      </c>
      <c r="EX230" s="174">
        <v>6.9976000000000003</v>
      </c>
      <c r="EY230" s="174">
        <v>9.8767999999999994</v>
      </c>
      <c r="EZ230" s="158">
        <f t="shared" si="243"/>
        <v>9.3606000000000016</v>
      </c>
      <c r="FA230" s="158">
        <f t="shared" si="244"/>
        <v>11.970500000000001</v>
      </c>
      <c r="FB230" s="158">
        <f>BA230-EX230</f>
        <v>2.3630000000000013</v>
      </c>
      <c r="FC230" s="158">
        <f>BJ230-EY230</f>
        <v>2.0937000000000019</v>
      </c>
      <c r="FD230" s="175">
        <f t="shared" si="284"/>
        <v>0.33768720704241473</v>
      </c>
      <c r="FE230" s="175">
        <f t="shared" si="285"/>
        <v>0.17490497472954361</v>
      </c>
      <c r="FF230" s="158"/>
      <c r="FG230" s="174"/>
      <c r="FH230" s="174">
        <f t="shared" si="274"/>
        <v>35372.303310000003</v>
      </c>
      <c r="FI230" s="174"/>
      <c r="FJ230" s="176">
        <v>1.2732000000000001</v>
      </c>
      <c r="FK230" s="176">
        <f t="shared" si="254"/>
        <v>1.3760366823631227</v>
      </c>
      <c r="FL230" s="87">
        <v>1.3072999999999999</v>
      </c>
      <c r="FM230" s="177">
        <f t="shared" si="255"/>
        <v>1.2363838458458798</v>
      </c>
      <c r="FO230" s="88">
        <f t="shared" si="245"/>
        <v>35372.303310000003</v>
      </c>
      <c r="FP230" s="79">
        <f t="shared" si="246"/>
        <v>40486.505395000007</v>
      </c>
      <c r="FS230" s="79">
        <f t="shared" si="247"/>
        <v>20190.017664999996</v>
      </c>
      <c r="FT230" s="79">
        <f t="shared" si="248"/>
        <v>25048.49914</v>
      </c>
      <c r="FU230" s="79">
        <f t="shared" si="256"/>
        <v>1.7519699039847278</v>
      </c>
      <c r="FV230" s="79">
        <f t="shared" si="256"/>
        <v>1.6163246016743185</v>
      </c>
      <c r="FY230" s="79">
        <f t="shared" si="257"/>
        <v>3712.9755959999993</v>
      </c>
      <c r="FZ230" s="79">
        <f t="shared" si="258"/>
        <v>40486.505395000007</v>
      </c>
      <c r="GB230" s="178">
        <f t="shared" si="259"/>
        <v>396.65999999999985</v>
      </c>
      <c r="GC230" s="178">
        <f t="shared" si="260"/>
        <v>3382.19</v>
      </c>
      <c r="GG230" s="14">
        <v>7.3709999999999996</v>
      </c>
      <c r="GH230" s="175">
        <f t="shared" si="261"/>
        <v>1.2699226699226702</v>
      </c>
      <c r="GI230" s="14">
        <v>10.409599999999998</v>
      </c>
      <c r="GJ230" s="175">
        <f t="shared" si="262"/>
        <v>1.14994812480787</v>
      </c>
      <c r="GK230" s="175">
        <f t="shared" si="283"/>
        <v>0.11997454511480021</v>
      </c>
      <c r="GN230" s="14">
        <v>9.2763999999999989</v>
      </c>
      <c r="GO230" s="175">
        <f t="shared" si="264"/>
        <v>1.2584995251661917</v>
      </c>
      <c r="GP230" s="179">
        <f t="shared" si="265"/>
        <v>1.0090767970333321</v>
      </c>
      <c r="GQ230" s="14">
        <v>11.7005</v>
      </c>
      <c r="GR230" s="175">
        <f t="shared" si="266"/>
        <v>1.1240105287426994</v>
      </c>
      <c r="GS230" s="175">
        <f t="shared" si="267"/>
        <v>1.0230759369257725</v>
      </c>
      <c r="GV230" s="32">
        <f t="shared" si="268"/>
        <v>3712.9755959999993</v>
      </c>
      <c r="GW230" s="32">
        <f t="shared" si="269"/>
        <v>40486.505395000007</v>
      </c>
      <c r="GX230" s="180">
        <f t="shared" si="270"/>
        <v>44199.480991000004</v>
      </c>
      <c r="GZ230" s="32">
        <f t="shared" si="271"/>
        <v>9.3606000000000016</v>
      </c>
      <c r="HA230" s="32">
        <f t="shared" si="272"/>
        <v>11.970500000000001</v>
      </c>
      <c r="HB230" s="32">
        <f t="shared" si="273"/>
        <v>11.696542861187929</v>
      </c>
    </row>
    <row r="231" spans="1:210" ht="19.2" customHeight="1" x14ac:dyDescent="0.3">
      <c r="A231" s="50">
        <v>223</v>
      </c>
      <c r="B231" s="51" t="s">
        <v>912</v>
      </c>
      <c r="C231" s="51" t="s">
        <v>852</v>
      </c>
      <c r="D231" s="52">
        <v>5</v>
      </c>
      <c r="E231" s="52">
        <v>8</v>
      </c>
      <c r="F231" s="63">
        <v>128</v>
      </c>
      <c r="G231" s="54" t="s">
        <v>165</v>
      </c>
      <c r="H231" s="181" t="s">
        <v>56</v>
      </c>
      <c r="I231" s="55">
        <f t="shared" si="249"/>
        <v>5577.4</v>
      </c>
      <c r="J231" s="55">
        <f t="shared" si="229"/>
        <v>0</v>
      </c>
      <c r="K231" s="55">
        <f t="shared" si="230"/>
        <v>334.5</v>
      </c>
      <c r="L231" s="56">
        <v>5911.9</v>
      </c>
      <c r="M231" s="56">
        <v>5577.4</v>
      </c>
      <c r="N231" s="56">
        <f t="shared" si="250"/>
        <v>5577.4</v>
      </c>
      <c r="O231" s="56">
        <v>334.5</v>
      </c>
      <c r="P231" s="56">
        <v>0</v>
      </c>
      <c r="Q231" s="55"/>
      <c r="R231" s="55">
        <v>5911.9</v>
      </c>
      <c r="S231" s="55"/>
      <c r="T231" s="55">
        <v>0</v>
      </c>
      <c r="U231" s="152">
        <v>5911.9</v>
      </c>
      <c r="V231" s="57">
        <v>0.16350000000000001</v>
      </c>
      <c r="W231" s="153">
        <v>0.1103</v>
      </c>
      <c r="X231" s="57">
        <v>0.33410000000000001</v>
      </c>
      <c r="Y231" s="57">
        <v>7.5399999999999995E-2</v>
      </c>
      <c r="Z231" s="153">
        <v>0</v>
      </c>
      <c r="AA231" s="57">
        <v>0.73460000000000003</v>
      </c>
      <c r="AB231" s="153">
        <v>0</v>
      </c>
      <c r="AC231" s="57">
        <v>0.63149999999999995</v>
      </c>
      <c r="AD231" s="57">
        <v>0.16850000000000001</v>
      </c>
      <c r="AE231" s="57">
        <v>0</v>
      </c>
      <c r="AF231" s="57">
        <v>1.6801999999999999</v>
      </c>
      <c r="AG231" s="57">
        <v>0.2165</v>
      </c>
      <c r="AH231" s="57">
        <v>0.39119999999999999</v>
      </c>
      <c r="AI231" s="153">
        <v>9.2100000000000001E-2</v>
      </c>
      <c r="AJ231" s="153">
        <v>0.10059999999999999</v>
      </c>
      <c r="AK231" s="153">
        <v>0</v>
      </c>
      <c r="AL231" s="57">
        <v>0.28100000000000003</v>
      </c>
      <c r="AM231" s="153">
        <v>3.3700000000000001E-2</v>
      </c>
      <c r="AN231" s="57">
        <v>0</v>
      </c>
      <c r="AO231" s="153">
        <v>1.7092000000000001</v>
      </c>
      <c r="AP231" s="57">
        <v>1.0857000000000001</v>
      </c>
      <c r="AQ231" s="57">
        <v>9.0300000000000005E-2</v>
      </c>
      <c r="AR231" s="153">
        <v>0.54269999999999996</v>
      </c>
      <c r="AS231" s="57">
        <v>5.04E-2</v>
      </c>
      <c r="AT231" s="57">
        <v>8.2000000000000007E-3</v>
      </c>
      <c r="AU231" s="153">
        <v>0.18559999999999999</v>
      </c>
      <c r="AV231" s="153">
        <v>0</v>
      </c>
      <c r="AW231" s="154">
        <v>8.685299999999998</v>
      </c>
      <c r="AX231" s="58">
        <v>0.43430000000000002</v>
      </c>
      <c r="AY231" s="155">
        <f t="shared" si="231"/>
        <v>0.42980000000000002</v>
      </c>
      <c r="AZ231" s="155">
        <f t="shared" si="232"/>
        <v>4.500000000000004E-3</v>
      </c>
      <c r="BA231" s="14">
        <v>9.1195999999999984</v>
      </c>
      <c r="BB231" s="59">
        <f>BA231-'[1]Тариф 26 свод без  ПДВ'!AU231</f>
        <v>2.1999999999984254E-3</v>
      </c>
      <c r="BC231" s="57">
        <v>0</v>
      </c>
      <c r="BD231" s="57">
        <v>0</v>
      </c>
      <c r="BE231" s="57">
        <v>0</v>
      </c>
      <c r="BF231" s="156">
        <v>8.685299999999998</v>
      </c>
      <c r="BG231" s="59">
        <v>0.43430000000000002</v>
      </c>
      <c r="BH231" s="59"/>
      <c r="BI231" s="59"/>
      <c r="BJ231" s="14">
        <v>9.1195999999999984</v>
      </c>
      <c r="BK231" s="60"/>
      <c r="BL231" s="60">
        <v>5.162099999999997</v>
      </c>
      <c r="BM231" s="60">
        <v>0.2581</v>
      </c>
      <c r="BN231" s="14">
        <v>5.4201999999999968</v>
      </c>
      <c r="BO231" s="14"/>
      <c r="BP231" s="157"/>
      <c r="BQ231" s="158">
        <f>BJ231-'[1]Тариф 26 свод без  ПДВ'!BG231</f>
        <v>2.1999999999984254E-3</v>
      </c>
      <c r="BR231" s="77">
        <f>'[1]Тариф 26 свод без  ПДВ'!BG231</f>
        <v>9.1173999999999999</v>
      </c>
      <c r="BS231" s="159">
        <f t="shared" si="233"/>
        <v>2.1999999999984254E-3</v>
      </c>
      <c r="BU231" s="77">
        <f>'[1]Тариф 26 свод без  ПДВ'!AU231</f>
        <v>9.1173999999999999</v>
      </c>
      <c r="BV231" s="159">
        <f t="shared" si="234"/>
        <v>2.1999999999984254E-3</v>
      </c>
      <c r="BX231" s="95">
        <v>4.5325999999999995</v>
      </c>
      <c r="BY231" s="95">
        <v>5.5685000000000002</v>
      </c>
      <c r="BZ231" s="95"/>
      <c r="CA231" s="182">
        <f t="shared" si="235"/>
        <v>2.012001941490535</v>
      </c>
      <c r="CB231" s="182">
        <f t="shared" si="236"/>
        <v>1.6377121307353861</v>
      </c>
      <c r="CD231" s="160">
        <f>L231-CE231</f>
        <v>5911.9</v>
      </c>
      <c r="CE231" s="160">
        <f>T231</f>
        <v>0</v>
      </c>
      <c r="CF231" s="77">
        <f>CD231*BA231</f>
        <v>53914.163239999987</v>
      </c>
      <c r="CG231" s="77">
        <f>BJ231*CE231</f>
        <v>0</v>
      </c>
      <c r="CI231" s="160">
        <f>'[1]0 СВОД'!AYY246</f>
        <v>52676.485086254732</v>
      </c>
      <c r="CJ231" s="77">
        <f t="shared" si="237"/>
        <v>632117.82103505684</v>
      </c>
      <c r="CM231" s="161">
        <v>228</v>
      </c>
      <c r="CN231" s="183" t="s">
        <v>913</v>
      </c>
      <c r="CO231" s="163">
        <v>5</v>
      </c>
      <c r="CP231" s="163">
        <v>8</v>
      </c>
      <c r="CQ231" s="164" t="s">
        <v>165</v>
      </c>
      <c r="CR231" s="165" t="s">
        <v>56</v>
      </c>
      <c r="CS231" s="166">
        <v>5634.5</v>
      </c>
      <c r="CT231" s="166">
        <v>0</v>
      </c>
      <c r="CU231" s="167">
        <v>269.39999999999998</v>
      </c>
      <c r="CV231" s="168">
        <v>5903.9</v>
      </c>
      <c r="CW231" s="166">
        <v>5634.5</v>
      </c>
      <c r="CX231" s="167">
        <v>269.39999999999998</v>
      </c>
      <c r="CY231" s="166">
        <v>0</v>
      </c>
      <c r="CZ231" s="166"/>
      <c r="DA231" s="166">
        <v>5903.9</v>
      </c>
      <c r="DB231" s="166"/>
      <c r="DC231" s="166">
        <v>0</v>
      </c>
      <c r="DD231" s="59">
        <v>0.16089999999999999</v>
      </c>
      <c r="DE231" s="59">
        <v>0.17949999999999999</v>
      </c>
      <c r="DF231" s="59">
        <v>0.22</v>
      </c>
      <c r="DG231" s="59">
        <v>4.4400000000000002E-2</v>
      </c>
      <c r="DH231" s="59">
        <v>0</v>
      </c>
      <c r="DI231" s="59">
        <v>0.32350000000000001</v>
      </c>
      <c r="DJ231" s="59">
        <v>4.8099999999999997E-2</v>
      </c>
      <c r="DK231" s="59">
        <v>0.3458</v>
      </c>
      <c r="DL231" s="169">
        <v>0</v>
      </c>
      <c r="DM231" s="59">
        <v>0.1027</v>
      </c>
      <c r="DN231" s="169">
        <v>0</v>
      </c>
      <c r="DO231" s="184">
        <v>1.04</v>
      </c>
      <c r="DP231" s="171">
        <f t="shared" si="238"/>
        <v>1.6801999999999999</v>
      </c>
      <c r="DQ231" s="59">
        <v>0.10440000000000001</v>
      </c>
      <c r="DR231" s="59">
        <v>0.2344</v>
      </c>
      <c r="DS231" s="59">
        <v>2.41E-2</v>
      </c>
      <c r="DT231" s="59">
        <v>4.7399999999999998E-2</v>
      </c>
      <c r="DU231" s="59">
        <v>0</v>
      </c>
      <c r="DV231" s="59">
        <v>9.8299999999999998E-2</v>
      </c>
      <c r="DW231" s="59">
        <v>9.1999999999999998E-3</v>
      </c>
      <c r="DX231" s="169">
        <v>0</v>
      </c>
      <c r="DY231" s="59">
        <v>0.88490000000000002</v>
      </c>
      <c r="DZ231" s="171">
        <f t="shared" si="239"/>
        <v>1.9315176856141938</v>
      </c>
      <c r="EA231" s="59">
        <v>0.62339999999999995</v>
      </c>
      <c r="EB231" s="171">
        <f t="shared" si="240"/>
        <v>1.8864292589027916</v>
      </c>
      <c r="EC231" s="59">
        <v>0.32490000000000002</v>
      </c>
      <c r="ED231" s="171">
        <f t="shared" si="241"/>
        <v>1.6703601108033239</v>
      </c>
      <c r="EE231" s="59">
        <v>3.8600000000000002E-2</v>
      </c>
      <c r="EF231" s="59">
        <v>5.4000000000000003E-3</v>
      </c>
      <c r="EG231" s="59">
        <v>0.23910000000000001</v>
      </c>
      <c r="EH231" s="59">
        <v>0</v>
      </c>
      <c r="EI231" s="208">
        <v>0.1275</v>
      </c>
      <c r="EJ231" s="172">
        <v>5.2264999999999997</v>
      </c>
      <c r="EK231" s="173"/>
      <c r="EL231" s="169">
        <v>0</v>
      </c>
      <c r="EM231" s="169">
        <v>0</v>
      </c>
      <c r="EN231" s="59"/>
      <c r="EO231" s="172"/>
      <c r="ES231" s="57">
        <f t="shared" si="251"/>
        <v>5.2264999999999997</v>
      </c>
      <c r="ET231" s="57">
        <f t="shared" si="252"/>
        <v>0</v>
      </c>
      <c r="EU231" s="31"/>
      <c r="EV231" s="65">
        <f t="shared" si="242"/>
        <v>1.7448770687840809</v>
      </c>
      <c r="EW231" s="62"/>
      <c r="EX231" s="158">
        <f>ES231*1.305-BA231</f>
        <v>-2.2990174999999988</v>
      </c>
      <c r="EY231" s="77">
        <f>ES231*1.344</f>
        <v>7.0244160000000004</v>
      </c>
      <c r="EZ231" s="158">
        <f t="shared" si="243"/>
        <v>9.1195999999999984</v>
      </c>
      <c r="FA231" s="158">
        <f t="shared" si="244"/>
        <v>9.1195999999999984</v>
      </c>
      <c r="FH231" s="174">
        <f t="shared" si="274"/>
        <v>53914.163239999987</v>
      </c>
      <c r="FJ231" s="87">
        <v>1.2999000000000001</v>
      </c>
      <c r="FK231" s="176">
        <f t="shared" si="254"/>
        <v>1.3423163849404423</v>
      </c>
      <c r="FM231" s="87" t="e">
        <f t="shared" si="255"/>
        <v>#DIV/0!</v>
      </c>
      <c r="FO231" s="88">
        <f t="shared" si="245"/>
        <v>53914.163239999987</v>
      </c>
      <c r="FP231" s="79">
        <f t="shared" si="246"/>
        <v>0</v>
      </c>
      <c r="FS231" s="79">
        <f t="shared" si="247"/>
        <v>30898.545349999997</v>
      </c>
      <c r="FT231" s="79">
        <f t="shared" si="248"/>
        <v>0</v>
      </c>
      <c r="FU231" s="79">
        <f t="shared" si="256"/>
        <v>1.7448770687840809</v>
      </c>
      <c r="FV231" s="79" t="e">
        <f t="shared" si="256"/>
        <v>#DIV/0!</v>
      </c>
      <c r="FY231" s="79">
        <f t="shared" si="257"/>
        <v>53914.163239999987</v>
      </c>
      <c r="FZ231" s="79">
        <f t="shared" si="258"/>
        <v>0</v>
      </c>
      <c r="GB231" s="178">
        <f t="shared" si="259"/>
        <v>5911.9</v>
      </c>
      <c r="GC231" s="178">
        <f t="shared" si="260"/>
        <v>0</v>
      </c>
      <c r="GG231" s="14">
        <v>7.400500000000001</v>
      </c>
      <c r="GH231" s="175">
        <f t="shared" si="261"/>
        <v>1.2322951151949189</v>
      </c>
      <c r="GI231" s="14">
        <v>7.400500000000001</v>
      </c>
      <c r="GJ231" s="175">
        <f t="shared" si="262"/>
        <v>1.2322951151949189</v>
      </c>
      <c r="GK231" s="175">
        <f>GH231-GJ231</f>
        <v>0</v>
      </c>
      <c r="GN231" s="14">
        <v>9.4413000000000018</v>
      </c>
      <c r="GO231" s="175">
        <f t="shared" si="264"/>
        <v>1.2757651510033106</v>
      </c>
      <c r="GP231" s="179">
        <f t="shared" si="265"/>
        <v>0.96592630252189815</v>
      </c>
      <c r="GQ231" s="14">
        <v>9.4413000000000018</v>
      </c>
      <c r="GR231" s="175">
        <f t="shared" si="266"/>
        <v>1.2757651510033106</v>
      </c>
      <c r="GS231" s="175">
        <f t="shared" si="267"/>
        <v>0.96592630252189815</v>
      </c>
      <c r="GV231" s="32">
        <f t="shared" si="268"/>
        <v>53914.163239999987</v>
      </c>
      <c r="GW231" s="32">
        <f t="shared" si="269"/>
        <v>0</v>
      </c>
      <c r="GX231" s="180">
        <f t="shared" si="270"/>
        <v>53914.163239999987</v>
      </c>
      <c r="GZ231" s="32">
        <f t="shared" si="271"/>
        <v>9.1195999999999984</v>
      </c>
      <c r="HA231" s="32" t="e">
        <f t="shared" si="272"/>
        <v>#DIV/0!</v>
      </c>
      <c r="HB231" s="32">
        <f t="shared" si="273"/>
        <v>9.1195999999999984</v>
      </c>
    </row>
    <row r="232" spans="1:210" ht="19.2" customHeight="1" x14ac:dyDescent="0.3">
      <c r="A232" s="50">
        <v>224</v>
      </c>
      <c r="B232" s="252" t="s">
        <v>914</v>
      </c>
      <c r="C232" s="51" t="s">
        <v>852</v>
      </c>
      <c r="D232" s="52">
        <v>9</v>
      </c>
      <c r="E232" s="52">
        <v>2</v>
      </c>
      <c r="F232" s="63">
        <v>106</v>
      </c>
      <c r="G232" s="54" t="s">
        <v>238</v>
      </c>
      <c r="H232" s="181" t="s">
        <v>179</v>
      </c>
      <c r="I232" s="55">
        <f t="shared" si="249"/>
        <v>354.19999999999982</v>
      </c>
      <c r="J232" s="55">
        <f t="shared" si="229"/>
        <v>3574</v>
      </c>
      <c r="K232" s="55">
        <f t="shared" si="230"/>
        <v>0</v>
      </c>
      <c r="L232" s="56">
        <v>3928.2</v>
      </c>
      <c r="M232" s="56">
        <v>3928.2</v>
      </c>
      <c r="N232" s="56">
        <f t="shared" si="250"/>
        <v>354.19999999999982</v>
      </c>
      <c r="O232" s="56">
        <v>0</v>
      </c>
      <c r="P232" s="56">
        <v>0</v>
      </c>
      <c r="Q232" s="55"/>
      <c r="R232" s="55">
        <v>3928.2</v>
      </c>
      <c r="S232" s="55"/>
      <c r="T232" s="55">
        <v>3574</v>
      </c>
      <c r="U232" s="152">
        <v>354.19999999999982</v>
      </c>
      <c r="V232" s="57">
        <v>0.11509999999999999</v>
      </c>
      <c r="W232" s="57">
        <v>6.6500000000000004E-2</v>
      </c>
      <c r="X232" s="153">
        <v>0.27179999999999999</v>
      </c>
      <c r="Y232" s="153">
        <v>6.54E-2</v>
      </c>
      <c r="Z232" s="57">
        <v>2.0299999999999999E-2</v>
      </c>
      <c r="AA232" s="57">
        <v>0.252</v>
      </c>
      <c r="AB232" s="57">
        <v>0</v>
      </c>
      <c r="AC232" s="153">
        <v>0.63149999999999995</v>
      </c>
      <c r="AD232" s="57">
        <v>0.21340000000000001</v>
      </c>
      <c r="AE232" s="57">
        <v>0</v>
      </c>
      <c r="AF232" s="57">
        <v>1.8997999999999999</v>
      </c>
      <c r="AG232" s="57">
        <v>0.1426</v>
      </c>
      <c r="AH232" s="57">
        <v>0.2397</v>
      </c>
      <c r="AI232" s="57">
        <v>0.12859999999999999</v>
      </c>
      <c r="AJ232" s="57">
        <v>0.1172</v>
      </c>
      <c r="AK232" s="57">
        <v>3.9600000000000003E-2</v>
      </c>
      <c r="AL232" s="57">
        <v>4.58E-2</v>
      </c>
      <c r="AM232" s="57">
        <v>2.64E-2</v>
      </c>
      <c r="AN232" s="57">
        <v>0</v>
      </c>
      <c r="AO232" s="57">
        <v>1.7152000000000001</v>
      </c>
      <c r="AP232" s="153">
        <v>1.6772</v>
      </c>
      <c r="AQ232" s="153">
        <v>8.6599999999999996E-2</v>
      </c>
      <c r="AR232" s="57">
        <v>0.32440000000000002</v>
      </c>
      <c r="AS232" s="57">
        <v>4.0899999999999999E-2</v>
      </c>
      <c r="AT232" s="153">
        <v>6.6E-3</v>
      </c>
      <c r="AU232" s="153">
        <v>0.69169999999999998</v>
      </c>
      <c r="AV232" s="153">
        <v>0</v>
      </c>
      <c r="AW232" s="154">
        <v>8.8183000000000007</v>
      </c>
      <c r="AX232" s="58">
        <v>0.44090000000000001</v>
      </c>
      <c r="AY232" s="155">
        <f t="shared" si="231"/>
        <v>0.43659999999999999</v>
      </c>
      <c r="AZ232" s="155">
        <f t="shared" si="232"/>
        <v>4.300000000000026E-3</v>
      </c>
      <c r="BA232" s="14">
        <v>9.2591999999999999</v>
      </c>
      <c r="BB232" s="59">
        <f>BA232-'[1]Тариф 26 свод без  ПДВ'!AU232</f>
        <v>-3.0999999999998806E-3</v>
      </c>
      <c r="BC232" s="57">
        <v>1.9177999999999999</v>
      </c>
      <c r="BD232" s="57">
        <v>0</v>
      </c>
      <c r="BE232" s="57">
        <v>0.68059999999999998</v>
      </c>
      <c r="BF232" s="156">
        <v>11.416700000000001</v>
      </c>
      <c r="BG232" s="59">
        <v>0.57079999999999997</v>
      </c>
      <c r="BH232" s="59"/>
      <c r="BI232" s="59"/>
      <c r="BJ232" s="14">
        <v>11.987500000000001</v>
      </c>
      <c r="BK232" s="60"/>
      <c r="BL232" s="60">
        <v>4.4097999999999997</v>
      </c>
      <c r="BM232" s="60">
        <v>0.2205</v>
      </c>
      <c r="BN232" s="14">
        <v>4.6303000000000001</v>
      </c>
      <c r="BO232" s="14"/>
      <c r="BP232" s="157"/>
      <c r="BQ232" s="158">
        <f>BJ232-'[1]Тариф 26 свод без  ПДВ'!BG232</f>
        <v>-5.3000000000000824E-3</v>
      </c>
      <c r="BR232" s="77">
        <f>'[1]Тариф 26 свод без  ПДВ'!BG232</f>
        <v>11.992800000000001</v>
      </c>
      <c r="BS232" s="159">
        <f t="shared" si="233"/>
        <v>-5.3000000000000824E-3</v>
      </c>
      <c r="BU232" s="77">
        <f>'[1]Тариф 26 свод без  ПДВ'!AU232</f>
        <v>9.2622999999999998</v>
      </c>
      <c r="BV232" s="159">
        <f t="shared" si="234"/>
        <v>-3.0999999999998806E-3</v>
      </c>
      <c r="BX232" s="95">
        <v>4.966400000000001</v>
      </c>
      <c r="BY232" s="95">
        <v>4.966400000000001</v>
      </c>
      <c r="BZ232" s="95"/>
      <c r="CA232" s="182">
        <f t="shared" si="235"/>
        <v>1.8643685567010304</v>
      </c>
      <c r="CB232" s="182">
        <f t="shared" si="236"/>
        <v>2.4137201997422677</v>
      </c>
      <c r="CI232" s="160">
        <f>'[1]0 СВОД'!AYY247</f>
        <v>46124.191942283243</v>
      </c>
      <c r="CJ232" s="77">
        <f t="shared" si="237"/>
        <v>553490.30330739892</v>
      </c>
      <c r="CM232" s="161">
        <v>229</v>
      </c>
      <c r="CN232" s="183" t="s">
        <v>915</v>
      </c>
      <c r="CO232" s="163">
        <v>9</v>
      </c>
      <c r="CP232" s="163">
        <v>2</v>
      </c>
      <c r="CQ232" s="164" t="s">
        <v>238</v>
      </c>
      <c r="CR232" s="165" t="s">
        <v>179</v>
      </c>
      <c r="CS232" s="166">
        <v>354.21000000000004</v>
      </c>
      <c r="CT232" s="166">
        <v>3570.19</v>
      </c>
      <c r="CU232" s="167">
        <v>0</v>
      </c>
      <c r="CV232" s="168">
        <v>3924.4</v>
      </c>
      <c r="CW232" s="166">
        <v>3924.4</v>
      </c>
      <c r="CX232" s="167">
        <v>0</v>
      </c>
      <c r="CY232" s="166">
        <v>0</v>
      </c>
      <c r="CZ232" s="166"/>
      <c r="DA232" s="166">
        <v>3924.4</v>
      </c>
      <c r="DB232" s="166"/>
      <c r="DC232" s="166">
        <v>3570.19</v>
      </c>
      <c r="DD232" s="59">
        <v>0.1134</v>
      </c>
      <c r="DE232" s="59">
        <v>0.1081</v>
      </c>
      <c r="DF232" s="59">
        <v>0.17879999999999999</v>
      </c>
      <c r="DG232" s="59">
        <v>3.85E-2</v>
      </c>
      <c r="DH232" s="59">
        <v>7.7000000000000002E-3</v>
      </c>
      <c r="DI232" s="59">
        <v>0.1069</v>
      </c>
      <c r="DJ232" s="59">
        <v>4.8099999999999997E-2</v>
      </c>
      <c r="DK232" s="59">
        <v>0.3458</v>
      </c>
      <c r="DL232" s="59">
        <v>8.2699999999999996E-2</v>
      </c>
      <c r="DM232" s="59">
        <v>0.13</v>
      </c>
      <c r="DN232" s="169">
        <v>0</v>
      </c>
      <c r="DO232" s="184">
        <v>1.4293</v>
      </c>
      <c r="DP232" s="171">
        <f t="shared" si="238"/>
        <v>1.8997999999999999</v>
      </c>
      <c r="DQ232" s="59">
        <v>6.8500000000000005E-2</v>
      </c>
      <c r="DR232" s="59">
        <v>0.1439</v>
      </c>
      <c r="DS232" s="59">
        <v>3.2899999999999999E-2</v>
      </c>
      <c r="DT232" s="59">
        <v>5.57E-2</v>
      </c>
      <c r="DU232" s="59">
        <v>1.67E-2</v>
      </c>
      <c r="DV232" s="59">
        <v>1.61E-2</v>
      </c>
      <c r="DW232" s="59">
        <v>5.7999999999999996E-3</v>
      </c>
      <c r="DX232" s="169">
        <v>0</v>
      </c>
      <c r="DY232" s="59">
        <v>0.83209999999999995</v>
      </c>
      <c r="DZ232" s="171">
        <f t="shared" si="239"/>
        <v>2.0612907102511717</v>
      </c>
      <c r="EA232" s="59">
        <v>0.99050000000000005</v>
      </c>
      <c r="EB232" s="171">
        <f t="shared" si="240"/>
        <v>1.7807168096920747</v>
      </c>
      <c r="EC232" s="59">
        <v>0.11940000000000001</v>
      </c>
      <c r="ED232" s="171">
        <f t="shared" si="241"/>
        <v>2.7169179229480735</v>
      </c>
      <c r="EE232" s="59">
        <v>3.1399999999999997E-2</v>
      </c>
      <c r="EF232" s="59">
        <v>4.4000000000000003E-3</v>
      </c>
      <c r="EG232" s="59">
        <v>0.44390000000000002</v>
      </c>
      <c r="EH232" s="59">
        <v>0</v>
      </c>
      <c r="EI232" s="155">
        <v>0.1338</v>
      </c>
      <c r="EJ232" s="172">
        <v>5.4843999999999999</v>
      </c>
      <c r="EK232" s="173"/>
      <c r="EL232" s="59">
        <v>1.1288</v>
      </c>
      <c r="EM232" s="59">
        <v>0.28899999999999998</v>
      </c>
      <c r="EN232" s="59">
        <v>0.16919999999999999</v>
      </c>
      <c r="EO232" s="172">
        <v>6.9375999999999998</v>
      </c>
      <c r="ES232" s="57">
        <f t="shared" si="251"/>
        <v>5.4843999999999999</v>
      </c>
      <c r="ET232" s="57">
        <f t="shared" si="252"/>
        <v>6.9375999999999998</v>
      </c>
      <c r="EU232" s="31"/>
      <c r="EV232" s="61">
        <f t="shared" si="242"/>
        <v>1.6882794836262855</v>
      </c>
      <c r="EW232" s="61">
        <f>BJ232/ET232</f>
        <v>1.7279030212177124</v>
      </c>
      <c r="EX232" s="185">
        <v>7.0515999999999996</v>
      </c>
      <c r="EY232" s="174">
        <v>9.8491</v>
      </c>
      <c r="EZ232" s="158">
        <f t="shared" si="243"/>
        <v>9.2591999999999999</v>
      </c>
      <c r="FA232" s="158">
        <f t="shared" si="244"/>
        <v>11.987500000000001</v>
      </c>
      <c r="FB232" s="158">
        <f>BA232-EX232</f>
        <v>2.2076000000000002</v>
      </c>
      <c r="FC232" s="158">
        <f>BJ232-EY232</f>
        <v>2.1384000000000007</v>
      </c>
      <c r="FD232" s="175">
        <f>FB232/EX232</f>
        <v>0.31306370185489824</v>
      </c>
      <c r="FE232" s="175">
        <f>FC232/FA232</f>
        <v>0.17838581856100108</v>
      </c>
      <c r="FH232" s="174">
        <f t="shared" si="274"/>
        <v>36371.989439999998</v>
      </c>
      <c r="FJ232" s="176">
        <v>1.3205</v>
      </c>
      <c r="FK232" s="176">
        <f t="shared" si="254"/>
        <v>1.2785153227007084</v>
      </c>
      <c r="FL232" s="87">
        <v>1.2083999999999999</v>
      </c>
      <c r="FM232" s="177">
        <f t="shared" si="255"/>
        <v>1.4299098156386234</v>
      </c>
      <c r="FO232" s="88">
        <f t="shared" si="245"/>
        <v>36371.989439999998</v>
      </c>
      <c r="FP232" s="79">
        <f t="shared" si="246"/>
        <v>42843.325000000004</v>
      </c>
      <c r="FS232" s="79">
        <f t="shared" si="247"/>
        <v>21543.820079999998</v>
      </c>
      <c r="FT232" s="79">
        <f t="shared" si="248"/>
        <v>24794.982400000001</v>
      </c>
      <c r="FU232" s="79">
        <f t="shared" si="256"/>
        <v>1.6882794836262855</v>
      </c>
      <c r="FV232" s="79">
        <f t="shared" si="256"/>
        <v>1.7279030212177122</v>
      </c>
      <c r="FY232" s="79">
        <f t="shared" si="257"/>
        <v>3279.6086399999981</v>
      </c>
      <c r="FZ232" s="79">
        <f t="shared" si="258"/>
        <v>42843.325000000004</v>
      </c>
      <c r="GB232" s="178">
        <f t="shared" si="259"/>
        <v>354.19999999999982</v>
      </c>
      <c r="GC232" s="178">
        <f t="shared" si="260"/>
        <v>3574</v>
      </c>
      <c r="GG232" s="14">
        <v>7.3643999999999981</v>
      </c>
      <c r="GH232" s="175">
        <f t="shared" si="261"/>
        <v>1.2572918364021513</v>
      </c>
      <c r="GI232" s="14">
        <v>10.361499999999998</v>
      </c>
      <c r="GJ232" s="175">
        <f t="shared" si="262"/>
        <v>1.1569270858466441</v>
      </c>
      <c r="GK232" s="175">
        <f t="shared" ref="GK232:GK235" si="286">GH232-GJ232</f>
        <v>0.1003647505555072</v>
      </c>
      <c r="GN232" s="14">
        <v>9.031699999999999</v>
      </c>
      <c r="GO232" s="175">
        <f t="shared" si="264"/>
        <v>1.2263999782738582</v>
      </c>
      <c r="GP232" s="179">
        <f t="shared" si="265"/>
        <v>1.0251890563238373</v>
      </c>
      <c r="GQ232" s="14">
        <v>11.4215</v>
      </c>
      <c r="GR232" s="175">
        <f t="shared" si="266"/>
        <v>1.1023017902813301</v>
      </c>
      <c r="GS232" s="175">
        <f t="shared" si="267"/>
        <v>1.0495556625662128</v>
      </c>
      <c r="GV232" s="32">
        <f t="shared" si="268"/>
        <v>3279.6086399999981</v>
      </c>
      <c r="GW232" s="32">
        <f t="shared" si="269"/>
        <v>42843.325000000004</v>
      </c>
      <c r="GX232" s="180">
        <f t="shared" si="270"/>
        <v>46122.933640000003</v>
      </c>
      <c r="GZ232" s="32">
        <f t="shared" si="271"/>
        <v>9.2591999999999999</v>
      </c>
      <c r="HA232" s="32">
        <f t="shared" si="272"/>
        <v>11.987500000000001</v>
      </c>
      <c r="HB232" s="32">
        <f t="shared" si="273"/>
        <v>11.74149321317652</v>
      </c>
    </row>
    <row r="233" spans="1:210" ht="19.2" customHeight="1" x14ac:dyDescent="0.3">
      <c r="A233" s="50">
        <v>225</v>
      </c>
      <c r="B233" s="51" t="s">
        <v>916</v>
      </c>
      <c r="C233" s="51" t="s">
        <v>852</v>
      </c>
      <c r="D233" s="52">
        <v>10</v>
      </c>
      <c r="E233" s="52">
        <v>4</v>
      </c>
      <c r="F233" s="63">
        <v>150</v>
      </c>
      <c r="G233" s="54" t="s">
        <v>243</v>
      </c>
      <c r="H233" s="181" t="s">
        <v>241</v>
      </c>
      <c r="I233" s="55">
        <f t="shared" si="249"/>
        <v>356.90000000000111</v>
      </c>
      <c r="J233" s="55">
        <f t="shared" si="229"/>
        <v>8757.07</v>
      </c>
      <c r="K233" s="55">
        <f t="shared" si="230"/>
        <v>368.4</v>
      </c>
      <c r="L233" s="56">
        <v>9482.3700000000008</v>
      </c>
      <c r="M233" s="56">
        <v>9113.9700000000012</v>
      </c>
      <c r="N233" s="56">
        <f t="shared" si="250"/>
        <v>356.90000000000146</v>
      </c>
      <c r="O233" s="56">
        <v>368.4</v>
      </c>
      <c r="P233" s="56">
        <v>0</v>
      </c>
      <c r="Q233" s="55"/>
      <c r="R233" s="55">
        <v>9482.3700000000008</v>
      </c>
      <c r="S233" s="55"/>
      <c r="T233" s="55">
        <v>8757.07</v>
      </c>
      <c r="U233" s="152">
        <v>725.30000000000109</v>
      </c>
      <c r="V233" s="57">
        <v>0.15740000000000001</v>
      </c>
      <c r="W233" s="57">
        <v>8.9499999999999996E-2</v>
      </c>
      <c r="X233" s="153">
        <v>0.30380000000000001</v>
      </c>
      <c r="Y233" s="153">
        <v>7.2800000000000004E-2</v>
      </c>
      <c r="Z233" s="57">
        <v>1.9800000000000002E-2</v>
      </c>
      <c r="AA233" s="57">
        <v>0.28749999999999998</v>
      </c>
      <c r="AB233" s="57">
        <v>0</v>
      </c>
      <c r="AC233" s="153">
        <v>0.63149999999999995</v>
      </c>
      <c r="AD233" s="57">
        <v>0.1293</v>
      </c>
      <c r="AE233" s="57">
        <v>0</v>
      </c>
      <c r="AF233" s="57">
        <v>2.1863000000000001</v>
      </c>
      <c r="AG233" s="57">
        <v>0.2034</v>
      </c>
      <c r="AH233" s="57">
        <v>0.31790000000000002</v>
      </c>
      <c r="AI233" s="57">
        <v>0.11700000000000001</v>
      </c>
      <c r="AJ233" s="57">
        <v>7.7499999999999999E-2</v>
      </c>
      <c r="AK233" s="57">
        <v>3.85E-2</v>
      </c>
      <c r="AL233" s="57">
        <v>0.11360000000000001</v>
      </c>
      <c r="AM233" s="57">
        <v>2.8500000000000001E-2</v>
      </c>
      <c r="AN233" s="57">
        <v>0</v>
      </c>
      <c r="AO233" s="57">
        <v>0.93369999999999997</v>
      </c>
      <c r="AP233" s="153">
        <v>1.3976</v>
      </c>
      <c r="AQ233" s="153">
        <v>7.3999999999999996E-2</v>
      </c>
      <c r="AR233" s="57">
        <v>0.2278</v>
      </c>
      <c r="AS233" s="57">
        <v>3.04E-2</v>
      </c>
      <c r="AT233" s="153">
        <v>4.8999999999999998E-3</v>
      </c>
      <c r="AU233" s="153">
        <v>0.4032</v>
      </c>
      <c r="AV233" s="153">
        <v>0</v>
      </c>
      <c r="AW233" s="154">
        <v>7.8459000000000003</v>
      </c>
      <c r="AX233" s="58">
        <v>0.39229999999999998</v>
      </c>
      <c r="AY233" s="155">
        <f t="shared" si="231"/>
        <v>0.3886</v>
      </c>
      <c r="AZ233" s="155">
        <f t="shared" si="232"/>
        <v>3.6999999999999811E-3</v>
      </c>
      <c r="BA233" s="14">
        <v>8.2382000000000009</v>
      </c>
      <c r="BB233" s="59">
        <f>BA233-'[1]Тариф 26 свод без  ПДВ'!AU233</f>
        <v>-3.8999999999997925E-3</v>
      </c>
      <c r="BC233" s="57">
        <v>1.5931999999999999</v>
      </c>
      <c r="BD233" s="57">
        <v>0</v>
      </c>
      <c r="BE233" s="57">
        <v>0.20100000000000001</v>
      </c>
      <c r="BF233" s="156">
        <v>9.6401000000000003</v>
      </c>
      <c r="BG233" s="59">
        <v>0.48199999999999998</v>
      </c>
      <c r="BH233" s="59"/>
      <c r="BI233" s="59"/>
      <c r="BJ233" s="14">
        <v>10.1221</v>
      </c>
      <c r="BK233" s="60"/>
      <c r="BL233" s="60">
        <v>4.8836000000000004</v>
      </c>
      <c r="BM233" s="60">
        <v>0.2442</v>
      </c>
      <c r="BN233" s="14">
        <v>5.1278000000000006</v>
      </c>
      <c r="BO233" s="14"/>
      <c r="BP233" s="157"/>
      <c r="BQ233" s="158">
        <f>BJ233-'[1]Тариф 26 свод без  ПДВ'!BG233</f>
        <v>1.7999999999993577E-3</v>
      </c>
      <c r="BR233" s="77">
        <f>'[1]Тариф 26 свод без  ПДВ'!BG233</f>
        <v>10.1203</v>
      </c>
      <c r="BS233" s="159">
        <f t="shared" si="233"/>
        <v>1.7999999999993577E-3</v>
      </c>
      <c r="BU233" s="77">
        <f>'[1]Тариф 26 свод без  ПДВ'!AU233</f>
        <v>8.2421000000000006</v>
      </c>
      <c r="BV233" s="159">
        <f t="shared" si="234"/>
        <v>-3.8999999999997925E-3</v>
      </c>
      <c r="BX233" s="95">
        <v>4.1919000000000004</v>
      </c>
      <c r="BY233" s="95">
        <v>4.1919000000000004</v>
      </c>
      <c r="BZ233" s="95"/>
      <c r="CA233" s="182">
        <f t="shared" si="235"/>
        <v>1.9652663470025526</v>
      </c>
      <c r="CB233" s="182">
        <f t="shared" si="236"/>
        <v>2.4146806937188385</v>
      </c>
      <c r="CI233" s="160">
        <f>'[1]0 СВОД'!AYY248</f>
        <v>93469.448051796178</v>
      </c>
      <c r="CJ233" s="77">
        <f t="shared" si="237"/>
        <v>1121633.3766215541</v>
      </c>
      <c r="CM233" s="161">
        <v>230</v>
      </c>
      <c r="CN233" s="183" t="s">
        <v>917</v>
      </c>
      <c r="CO233" s="163">
        <v>10</v>
      </c>
      <c r="CP233" s="163">
        <v>4</v>
      </c>
      <c r="CQ233" s="164" t="s">
        <v>243</v>
      </c>
      <c r="CR233" s="165" t="s">
        <v>241</v>
      </c>
      <c r="CS233" s="166">
        <v>356.91999999999973</v>
      </c>
      <c r="CT233" s="166">
        <v>8752.24</v>
      </c>
      <c r="CU233" s="167">
        <v>368.4</v>
      </c>
      <c r="CV233" s="168">
        <v>9477.56</v>
      </c>
      <c r="CW233" s="166">
        <v>9109.16</v>
      </c>
      <c r="CX233" s="167">
        <v>368.4</v>
      </c>
      <c r="CY233" s="166">
        <v>0</v>
      </c>
      <c r="CZ233" s="166"/>
      <c r="DA233" s="166">
        <v>9477.56</v>
      </c>
      <c r="DB233" s="166"/>
      <c r="DC233" s="166">
        <v>8752.24</v>
      </c>
      <c r="DD233" s="59">
        <v>0.15490000000000001</v>
      </c>
      <c r="DE233" s="59">
        <v>0.1452</v>
      </c>
      <c r="DF233" s="59">
        <v>0.19989999999999999</v>
      </c>
      <c r="DG233" s="59">
        <v>4.2999999999999997E-2</v>
      </c>
      <c r="DH233" s="59">
        <v>7.4000000000000003E-3</v>
      </c>
      <c r="DI233" s="59">
        <v>0.12529999999999999</v>
      </c>
      <c r="DJ233" s="59">
        <v>4.8099999999999997E-2</v>
      </c>
      <c r="DK233" s="59">
        <v>0.3458</v>
      </c>
      <c r="DL233" s="169">
        <v>0</v>
      </c>
      <c r="DM233" s="59">
        <v>7.8700000000000006E-2</v>
      </c>
      <c r="DN233" s="169">
        <v>0</v>
      </c>
      <c r="DO233" s="184">
        <v>1.6529000000000003</v>
      </c>
      <c r="DP233" s="171">
        <f t="shared" si="238"/>
        <v>2.1863000000000001</v>
      </c>
      <c r="DQ233" s="59">
        <v>9.7900000000000001E-2</v>
      </c>
      <c r="DR233" s="59">
        <v>0.19040000000000001</v>
      </c>
      <c r="DS233" s="59">
        <v>3.0499999999999999E-2</v>
      </c>
      <c r="DT233" s="59">
        <v>3.6400000000000002E-2</v>
      </c>
      <c r="DU233" s="59">
        <v>1.6299999999999999E-2</v>
      </c>
      <c r="DV233" s="59">
        <v>3.95E-2</v>
      </c>
      <c r="DW233" s="59">
        <v>6.7999999999999996E-3</v>
      </c>
      <c r="DX233" s="169">
        <v>0</v>
      </c>
      <c r="DY233" s="59">
        <v>0.42680000000000001</v>
      </c>
      <c r="DZ233" s="171">
        <f t="shared" si="239"/>
        <v>2.1876757263355202</v>
      </c>
      <c r="EA233" s="59">
        <v>0.83599999999999997</v>
      </c>
      <c r="EB233" s="171">
        <f t="shared" si="240"/>
        <v>1.7602870813397131</v>
      </c>
      <c r="EC233" s="59">
        <v>6.6299999999999998E-2</v>
      </c>
      <c r="ED233" s="171">
        <f t="shared" si="241"/>
        <v>3.4358974358974361</v>
      </c>
      <c r="EE233" s="59">
        <v>2.8899999999999999E-2</v>
      </c>
      <c r="EF233" s="59">
        <v>4.0000000000000001E-3</v>
      </c>
      <c r="EG233" s="59">
        <v>0.24679999999999999</v>
      </c>
      <c r="EH233" s="59">
        <v>0</v>
      </c>
      <c r="EI233" s="155">
        <v>0.1207</v>
      </c>
      <c r="EJ233" s="172">
        <v>4.948500000000001</v>
      </c>
      <c r="EK233" s="173"/>
      <c r="EL233" s="59">
        <v>1.002</v>
      </c>
      <c r="EM233" s="59">
        <v>6.9500000000000006E-2</v>
      </c>
      <c r="EN233" s="59">
        <v>0.14749999999999999</v>
      </c>
      <c r="EO233" s="172">
        <v>6.0468000000000002</v>
      </c>
      <c r="ES233" s="57">
        <f t="shared" si="251"/>
        <v>4.948500000000001</v>
      </c>
      <c r="ET233" s="57">
        <f t="shared" si="252"/>
        <v>6.0468000000000002</v>
      </c>
      <c r="EU233" s="31"/>
      <c r="EV233" s="61">
        <f t="shared" si="242"/>
        <v>1.664787309285642</v>
      </c>
      <c r="EW233" s="61">
        <f>BJ233/ET233</f>
        <v>1.6739597803797048</v>
      </c>
      <c r="EX233" s="185">
        <v>6.2153</v>
      </c>
      <c r="EY233" s="174">
        <v>8.2576000000000001</v>
      </c>
      <c r="EZ233" s="158">
        <f t="shared" si="243"/>
        <v>8.2382000000000009</v>
      </c>
      <c r="FA233" s="158">
        <f t="shared" si="244"/>
        <v>10.1221</v>
      </c>
      <c r="FH233" s="174">
        <f t="shared" si="274"/>
        <v>78117.66053400001</v>
      </c>
      <c r="FJ233" s="87">
        <v>1.1949000000000001</v>
      </c>
      <c r="FK233" s="176">
        <f t="shared" si="254"/>
        <v>1.3932440449289831</v>
      </c>
      <c r="FL233" s="87">
        <v>1.3156000000000001</v>
      </c>
      <c r="FM233" s="87">
        <f t="shared" si="255"/>
        <v>1.2723926576312745</v>
      </c>
      <c r="FO233" s="88">
        <f t="shared" si="245"/>
        <v>78117.66053400001</v>
      </c>
      <c r="FP233" s="79">
        <f t="shared" si="246"/>
        <v>88639.938246999998</v>
      </c>
      <c r="FS233" s="79">
        <f t="shared" si="247"/>
        <v>46923.507945000012</v>
      </c>
      <c r="FT233" s="79">
        <f t="shared" si="248"/>
        <v>52952.250875999998</v>
      </c>
      <c r="FU233" s="79">
        <f t="shared" si="256"/>
        <v>1.6647873092856418</v>
      </c>
      <c r="FV233" s="79">
        <f t="shared" si="256"/>
        <v>1.6739597803797051</v>
      </c>
      <c r="FY233" s="79">
        <f t="shared" si="257"/>
        <v>5975.1664600000095</v>
      </c>
      <c r="FZ233" s="79">
        <f t="shared" si="258"/>
        <v>88639.938246999998</v>
      </c>
      <c r="GB233" s="178">
        <f t="shared" si="259"/>
        <v>725.30000000000109</v>
      </c>
      <c r="GC233" s="178">
        <f t="shared" si="260"/>
        <v>8757.07</v>
      </c>
      <c r="GG233" s="14">
        <v>6.5314999999999994</v>
      </c>
      <c r="GH233" s="175">
        <f t="shared" si="261"/>
        <v>1.2613029166347702</v>
      </c>
      <c r="GI233" s="14">
        <v>8.6259999999999994</v>
      </c>
      <c r="GJ233" s="175">
        <f t="shared" si="262"/>
        <v>1.1734407604915373</v>
      </c>
      <c r="GK233" s="175">
        <f t="shared" si="286"/>
        <v>8.7862156143232895E-2</v>
      </c>
      <c r="GN233" s="14">
        <v>8.0263999999999989</v>
      </c>
      <c r="GO233" s="175">
        <f t="shared" si="264"/>
        <v>1.2288754497435503</v>
      </c>
      <c r="GP233" s="179">
        <f t="shared" si="265"/>
        <v>1.0263879198644477</v>
      </c>
      <c r="GQ233" s="14">
        <v>9.7028999999999996</v>
      </c>
      <c r="GR233" s="175">
        <f t="shared" si="266"/>
        <v>1.1248434964062137</v>
      </c>
      <c r="GS233" s="175">
        <f t="shared" si="267"/>
        <v>1.0432035783116389</v>
      </c>
      <c r="GV233" s="32">
        <f t="shared" si="268"/>
        <v>5975.1664600000095</v>
      </c>
      <c r="GW233" s="32">
        <f t="shared" si="269"/>
        <v>88639.938246999998</v>
      </c>
      <c r="GX233" s="180">
        <f t="shared" si="270"/>
        <v>94615.104707000006</v>
      </c>
      <c r="GZ233" s="32">
        <f t="shared" si="271"/>
        <v>8.2382000000000009</v>
      </c>
      <c r="HA233" s="32">
        <f t="shared" si="272"/>
        <v>10.1221</v>
      </c>
      <c r="HB233" s="32">
        <f t="shared" si="273"/>
        <v>9.978001776665538</v>
      </c>
    </row>
    <row r="234" spans="1:210" ht="19.2" customHeight="1" x14ac:dyDescent="0.3">
      <c r="A234" s="50">
        <v>226</v>
      </c>
      <c r="B234" s="51" t="s">
        <v>918</v>
      </c>
      <c r="C234" s="51" t="s">
        <v>852</v>
      </c>
      <c r="D234" s="52">
        <v>10</v>
      </c>
      <c r="E234" s="52">
        <v>1</v>
      </c>
      <c r="F234" s="63">
        <v>40</v>
      </c>
      <c r="G234" s="54" t="s">
        <v>244</v>
      </c>
      <c r="H234" s="181" t="s">
        <v>241</v>
      </c>
      <c r="I234" s="55">
        <f t="shared" si="249"/>
        <v>234.05000000000018</v>
      </c>
      <c r="J234" s="55">
        <f t="shared" si="229"/>
        <v>2210.1</v>
      </c>
      <c r="K234" s="55">
        <f t="shared" si="230"/>
        <v>0</v>
      </c>
      <c r="L234" s="56">
        <v>2444.15</v>
      </c>
      <c r="M234" s="56">
        <v>2444.15</v>
      </c>
      <c r="N234" s="56">
        <f t="shared" si="250"/>
        <v>234.05000000000018</v>
      </c>
      <c r="O234" s="56">
        <v>0</v>
      </c>
      <c r="P234" s="56">
        <v>0</v>
      </c>
      <c r="Q234" s="55"/>
      <c r="R234" s="55">
        <v>2444.15</v>
      </c>
      <c r="S234" s="55"/>
      <c r="T234" s="55">
        <v>2210.1</v>
      </c>
      <c r="U234" s="152">
        <v>234.05000000000018</v>
      </c>
      <c r="V234" s="57">
        <v>0.16039999999999999</v>
      </c>
      <c r="W234" s="57">
        <v>0.1014</v>
      </c>
      <c r="X234" s="153">
        <v>0.3004</v>
      </c>
      <c r="Y234" s="153">
        <v>6.8900000000000003E-2</v>
      </c>
      <c r="Z234" s="57">
        <v>1.9199999999999998E-2</v>
      </c>
      <c r="AA234" s="57">
        <v>0.26769999999999999</v>
      </c>
      <c r="AB234" s="57">
        <v>0</v>
      </c>
      <c r="AC234" s="153">
        <v>0.63149999999999995</v>
      </c>
      <c r="AD234" s="57">
        <v>0.12939999999999999</v>
      </c>
      <c r="AE234" s="57">
        <v>0</v>
      </c>
      <c r="AF234" s="57">
        <v>1.3479000000000001</v>
      </c>
      <c r="AG234" s="57">
        <v>0.20979999999999999</v>
      </c>
      <c r="AH234" s="57">
        <v>0.3538</v>
      </c>
      <c r="AI234" s="57">
        <v>0.1268</v>
      </c>
      <c r="AJ234" s="57">
        <v>0.1067</v>
      </c>
      <c r="AK234" s="57">
        <v>3.7400000000000003E-2</v>
      </c>
      <c r="AL234" s="57">
        <v>6.8500000000000005E-2</v>
      </c>
      <c r="AM234" s="57">
        <v>2.92E-2</v>
      </c>
      <c r="AN234" s="57">
        <v>0</v>
      </c>
      <c r="AO234" s="57">
        <v>2.3569</v>
      </c>
      <c r="AP234" s="153">
        <v>1.8788</v>
      </c>
      <c r="AQ234" s="153">
        <v>7.6399999999999996E-2</v>
      </c>
      <c r="AR234" s="57">
        <v>0.34160000000000001</v>
      </c>
      <c r="AS234" s="57">
        <v>3.5299999999999998E-2</v>
      </c>
      <c r="AT234" s="153">
        <v>5.7000000000000002E-3</v>
      </c>
      <c r="AU234" s="153">
        <v>0.13980000000000001</v>
      </c>
      <c r="AV234" s="153">
        <v>0</v>
      </c>
      <c r="AW234" s="154">
        <v>8.7934999999999963</v>
      </c>
      <c r="AX234" s="58">
        <v>0.43969999999999998</v>
      </c>
      <c r="AY234" s="155">
        <f t="shared" si="231"/>
        <v>0.43590000000000001</v>
      </c>
      <c r="AZ234" s="155">
        <f t="shared" si="232"/>
        <v>3.7999999999999701E-3</v>
      </c>
      <c r="BA234" s="14">
        <v>9.2331999999999965</v>
      </c>
      <c r="BB234" s="59">
        <f>BA234-'[1]Тариф 26 свод без  ПДВ'!AU234</f>
        <v>-4.4000000000039563E-3</v>
      </c>
      <c r="BC234" s="57">
        <v>1.5782</v>
      </c>
      <c r="BD234" s="57">
        <v>0</v>
      </c>
      <c r="BE234" s="57">
        <v>0.51519999999999999</v>
      </c>
      <c r="BF234" s="156">
        <v>10.886899999999997</v>
      </c>
      <c r="BG234" s="59">
        <v>0.54430000000000001</v>
      </c>
      <c r="BH234" s="59"/>
      <c r="BI234" s="59"/>
      <c r="BJ234" s="14">
        <v>11.431199999999997</v>
      </c>
      <c r="BK234" s="60"/>
      <c r="BL234" s="60">
        <v>4.0763999999999978</v>
      </c>
      <c r="BM234" s="60">
        <v>0.20380000000000001</v>
      </c>
      <c r="BN234" s="14">
        <v>4.280199999999998</v>
      </c>
      <c r="BO234" s="14"/>
      <c r="BP234" s="157"/>
      <c r="BQ234" s="158">
        <f>BJ234-'[1]Тариф 26 свод без  ПДВ'!BG234</f>
        <v>4.2999999999970839E-3</v>
      </c>
      <c r="BR234" s="77">
        <f>'[1]Тариф 26 свод без  ПДВ'!BG234</f>
        <v>11.4269</v>
      </c>
      <c r="BS234" s="159">
        <f t="shared" si="233"/>
        <v>4.2999999999970839E-3</v>
      </c>
      <c r="BU234" s="77">
        <f>'[1]Тариф 26 свод без  ПДВ'!AU234</f>
        <v>9.2376000000000005</v>
      </c>
      <c r="BV234" s="159">
        <f t="shared" si="234"/>
        <v>-4.4000000000039563E-3</v>
      </c>
      <c r="BX234" s="95">
        <v>4.4828999999999999</v>
      </c>
      <c r="BY234" s="95">
        <v>6.1433</v>
      </c>
      <c r="BZ234" s="95"/>
      <c r="CA234" s="182">
        <f t="shared" si="235"/>
        <v>2.0596488879966088</v>
      </c>
      <c r="CB234" s="182">
        <f t="shared" si="236"/>
        <v>1.860758875522927</v>
      </c>
      <c r="CD234" s="160">
        <f>L234-CE234</f>
        <v>234.05000000000018</v>
      </c>
      <c r="CE234" s="160">
        <f>T234</f>
        <v>2210.1</v>
      </c>
      <c r="CF234" s="77">
        <f>CD234*BA234</f>
        <v>2161.0304600000009</v>
      </c>
      <c r="CG234" s="77">
        <f>BJ234*CE234</f>
        <v>25264.095119999991</v>
      </c>
      <c r="CI234" s="160">
        <f>'[1]0 СВОД'!AYY249</f>
        <v>27425.443234580252</v>
      </c>
      <c r="CJ234" s="77">
        <f t="shared" si="237"/>
        <v>329105.31881496304</v>
      </c>
      <c r="CM234" s="161">
        <v>231</v>
      </c>
      <c r="CN234" s="183" t="s">
        <v>919</v>
      </c>
      <c r="CO234" s="163">
        <v>10</v>
      </c>
      <c r="CP234" s="163">
        <v>1</v>
      </c>
      <c r="CQ234" s="164" t="s">
        <v>244</v>
      </c>
      <c r="CR234" s="165" t="s">
        <v>241</v>
      </c>
      <c r="CS234" s="166">
        <v>234.05000000000018</v>
      </c>
      <c r="CT234" s="166">
        <v>2210.25</v>
      </c>
      <c r="CU234" s="167">
        <v>0</v>
      </c>
      <c r="CV234" s="168">
        <v>2444.3000000000002</v>
      </c>
      <c r="CW234" s="166">
        <v>2444.3000000000002</v>
      </c>
      <c r="CX234" s="167">
        <v>0</v>
      </c>
      <c r="CY234" s="166">
        <v>0</v>
      </c>
      <c r="CZ234" s="166"/>
      <c r="DA234" s="166">
        <v>2444.3000000000002</v>
      </c>
      <c r="DB234" s="166"/>
      <c r="DC234" s="166">
        <v>2210.25</v>
      </c>
      <c r="DD234" s="59">
        <v>0.1573</v>
      </c>
      <c r="DE234" s="59">
        <v>0.16209999999999999</v>
      </c>
      <c r="DF234" s="59">
        <v>0.19739999999999999</v>
      </c>
      <c r="DG234" s="59">
        <v>4.0599999999999997E-2</v>
      </c>
      <c r="DH234" s="59">
        <v>7.1999999999999998E-3</v>
      </c>
      <c r="DI234" s="59">
        <v>0.1129</v>
      </c>
      <c r="DJ234" s="59">
        <v>4.8099999999999997E-2</v>
      </c>
      <c r="DK234" s="59">
        <v>0.3458</v>
      </c>
      <c r="DL234" s="169">
        <v>0</v>
      </c>
      <c r="DM234" s="59">
        <v>7.8700000000000006E-2</v>
      </c>
      <c r="DN234" s="169">
        <v>0</v>
      </c>
      <c r="DO234" s="184">
        <v>1.2603</v>
      </c>
      <c r="DP234" s="171">
        <f t="shared" si="238"/>
        <v>1.3479000000000001</v>
      </c>
      <c r="DQ234" s="59">
        <v>0.10100000000000001</v>
      </c>
      <c r="DR234" s="59">
        <v>0.21199999999999999</v>
      </c>
      <c r="DS234" s="59">
        <v>3.3399999999999999E-2</v>
      </c>
      <c r="DT234" s="59">
        <v>5.0500000000000003E-2</v>
      </c>
      <c r="DU234" s="59">
        <v>1.5800000000000002E-2</v>
      </c>
      <c r="DV234" s="59">
        <v>2.3900000000000001E-2</v>
      </c>
      <c r="DW234" s="59">
        <v>7.1000000000000004E-3</v>
      </c>
      <c r="DX234" s="169">
        <v>0</v>
      </c>
      <c r="DY234" s="59">
        <v>1.2192000000000001</v>
      </c>
      <c r="DZ234" s="171">
        <f t="shared" si="239"/>
        <v>1.9331528871391075</v>
      </c>
      <c r="EA234" s="59">
        <v>1.1023000000000001</v>
      </c>
      <c r="EB234" s="171">
        <f t="shared" si="240"/>
        <v>1.7737458042275243</v>
      </c>
      <c r="EC234" s="59">
        <v>0.18629999999999999</v>
      </c>
      <c r="ED234" s="171">
        <f t="shared" si="241"/>
        <v>1.8336017176596888</v>
      </c>
      <c r="EE234" s="59">
        <v>2.7E-2</v>
      </c>
      <c r="EF234" s="59">
        <v>3.8E-3</v>
      </c>
      <c r="EG234" s="59">
        <v>7.9500000000000001E-2</v>
      </c>
      <c r="EH234" s="59">
        <v>0</v>
      </c>
      <c r="EI234" s="155">
        <v>0.1368</v>
      </c>
      <c r="EJ234" s="172">
        <v>5.609</v>
      </c>
      <c r="EK234" s="173"/>
      <c r="EL234" s="59">
        <v>0.9919</v>
      </c>
      <c r="EM234" s="59">
        <v>0.25600000000000001</v>
      </c>
      <c r="EN234" s="59">
        <v>0.16800000000000001</v>
      </c>
      <c r="EO234" s="172">
        <v>6.8881000000000006</v>
      </c>
      <c r="ES234" s="57">
        <f t="shared" si="251"/>
        <v>5.609</v>
      </c>
      <c r="ET234" s="57">
        <f t="shared" si="252"/>
        <v>6.8881000000000006</v>
      </c>
      <c r="EU234" s="31"/>
      <c r="EV234" s="61">
        <f t="shared" si="242"/>
        <v>1.6461401319308249</v>
      </c>
      <c r="EW234" s="61">
        <f>BJ234/ET234</f>
        <v>1.6595577880692782</v>
      </c>
      <c r="EX234" s="185">
        <v>7.0552000000000001</v>
      </c>
      <c r="EY234" s="174">
        <v>9.3899000000000008</v>
      </c>
      <c r="EZ234" s="158">
        <f t="shared" si="243"/>
        <v>9.2331999999999965</v>
      </c>
      <c r="FA234" s="158">
        <f t="shared" si="244"/>
        <v>11.431199999999997</v>
      </c>
      <c r="FH234" s="174">
        <f t="shared" si="274"/>
        <v>22567.325779999992</v>
      </c>
      <c r="FJ234" s="87">
        <v>1.2579</v>
      </c>
      <c r="FK234" s="176">
        <f t="shared" si="254"/>
        <v>1.3086414913195206</v>
      </c>
      <c r="FL234" s="87">
        <v>1.3632</v>
      </c>
      <c r="FM234" s="87">
        <f t="shared" si="255"/>
        <v>1.2173986121400222</v>
      </c>
      <c r="FO234" s="88">
        <f t="shared" si="245"/>
        <v>22567.325779999992</v>
      </c>
      <c r="FP234" s="79">
        <f t="shared" si="246"/>
        <v>25264.095119999991</v>
      </c>
      <c r="FS234" s="79">
        <f t="shared" si="247"/>
        <v>13709.237350000001</v>
      </c>
      <c r="FT234" s="79">
        <f t="shared" si="248"/>
        <v>15223.389810000001</v>
      </c>
      <c r="FU234" s="79">
        <f t="shared" si="256"/>
        <v>1.6461401319308246</v>
      </c>
      <c r="FV234" s="79">
        <f t="shared" si="256"/>
        <v>1.6595577880692782</v>
      </c>
      <c r="FY234" s="79">
        <f t="shared" si="257"/>
        <v>2161.0304600000009</v>
      </c>
      <c r="FZ234" s="79">
        <f t="shared" si="258"/>
        <v>25264.095119999991</v>
      </c>
      <c r="GB234" s="178">
        <f t="shared" si="259"/>
        <v>234.05000000000018</v>
      </c>
      <c r="GC234" s="178">
        <f t="shared" si="260"/>
        <v>2210.1</v>
      </c>
      <c r="GG234" s="14">
        <v>7.2706999999999979</v>
      </c>
      <c r="GH234" s="175">
        <f t="shared" si="261"/>
        <v>1.2699189899184395</v>
      </c>
      <c r="GI234" s="14">
        <v>9.7825999999999986</v>
      </c>
      <c r="GJ234" s="175">
        <f t="shared" si="262"/>
        <v>1.1685237053544046</v>
      </c>
      <c r="GK234" s="175">
        <f t="shared" si="286"/>
        <v>0.1013952845640349</v>
      </c>
      <c r="GN234" s="14">
        <v>9.4980999999999973</v>
      </c>
      <c r="GO234" s="175">
        <f t="shared" si="264"/>
        <v>1.3063528958697237</v>
      </c>
      <c r="GP234" s="179">
        <f t="shared" si="265"/>
        <v>0.97211021151598731</v>
      </c>
      <c r="GQ234" s="14">
        <v>11.501599999999998</v>
      </c>
      <c r="GR234" s="175">
        <f t="shared" si="266"/>
        <v>1.1757201561956943</v>
      </c>
      <c r="GS234" s="175">
        <f t="shared" si="267"/>
        <v>0.99387911247130822</v>
      </c>
      <c r="GV234" s="32">
        <f t="shared" si="268"/>
        <v>2161.0304600000009</v>
      </c>
      <c r="GW234" s="32">
        <f t="shared" si="269"/>
        <v>25264.095119999991</v>
      </c>
      <c r="GX234" s="180">
        <f t="shared" si="270"/>
        <v>27425.125579999993</v>
      </c>
      <c r="GZ234" s="32">
        <f t="shared" si="271"/>
        <v>9.2331999999999965</v>
      </c>
      <c r="HA234" s="32">
        <f t="shared" si="272"/>
        <v>11.431199999999997</v>
      </c>
      <c r="HB234" s="32">
        <f t="shared" si="273"/>
        <v>11.220721142319412</v>
      </c>
    </row>
    <row r="235" spans="1:210" ht="19.2" customHeight="1" x14ac:dyDescent="0.3">
      <c r="A235" s="50">
        <v>227</v>
      </c>
      <c r="B235" s="51" t="s">
        <v>920</v>
      </c>
      <c r="C235" s="51" t="s">
        <v>852</v>
      </c>
      <c r="D235" s="52">
        <v>10</v>
      </c>
      <c r="E235" s="52">
        <v>2</v>
      </c>
      <c r="F235" s="63">
        <v>73</v>
      </c>
      <c r="G235" s="54" t="s">
        <v>245</v>
      </c>
      <c r="H235" s="181" t="s">
        <v>241</v>
      </c>
      <c r="I235" s="55">
        <f t="shared" si="249"/>
        <v>67.000000000000341</v>
      </c>
      <c r="J235" s="55">
        <f t="shared" si="229"/>
        <v>4227</v>
      </c>
      <c r="K235" s="55">
        <f t="shared" si="230"/>
        <v>388.6</v>
      </c>
      <c r="L235" s="56">
        <v>4682.6000000000004</v>
      </c>
      <c r="M235" s="56">
        <v>4294</v>
      </c>
      <c r="N235" s="56">
        <f t="shared" si="250"/>
        <v>67</v>
      </c>
      <c r="O235" s="56">
        <v>388.6</v>
      </c>
      <c r="P235" s="56">
        <v>0</v>
      </c>
      <c r="Q235" s="55"/>
      <c r="R235" s="55">
        <v>4682.6000000000004</v>
      </c>
      <c r="S235" s="55"/>
      <c r="T235" s="55">
        <v>4227</v>
      </c>
      <c r="U235" s="152">
        <v>455.60000000000036</v>
      </c>
      <c r="V235" s="57">
        <v>0.1613</v>
      </c>
      <c r="W235" s="57">
        <v>0.10390000000000001</v>
      </c>
      <c r="X235" s="153">
        <v>0.28839999999999999</v>
      </c>
      <c r="Y235" s="153">
        <v>6.6500000000000004E-2</v>
      </c>
      <c r="Z235" s="57">
        <v>2.01E-2</v>
      </c>
      <c r="AA235" s="57">
        <v>0.23369999999999999</v>
      </c>
      <c r="AB235" s="57">
        <v>0</v>
      </c>
      <c r="AC235" s="153">
        <v>0.63149999999999995</v>
      </c>
      <c r="AD235" s="57">
        <v>0.1351</v>
      </c>
      <c r="AE235" s="57">
        <v>0</v>
      </c>
      <c r="AF235" s="57">
        <v>1.7123999999999999</v>
      </c>
      <c r="AG235" s="57">
        <v>0.20899999999999999</v>
      </c>
      <c r="AH235" s="57">
        <v>0.3624</v>
      </c>
      <c r="AI235" s="57">
        <v>0.1273</v>
      </c>
      <c r="AJ235" s="57">
        <v>8.7900000000000006E-2</v>
      </c>
      <c r="AK235" s="57">
        <v>3.9E-2</v>
      </c>
      <c r="AL235" s="57">
        <v>7.3999999999999996E-2</v>
      </c>
      <c r="AM235" s="57">
        <v>2.8799999999999999E-2</v>
      </c>
      <c r="AN235" s="57">
        <v>0</v>
      </c>
      <c r="AO235" s="57">
        <v>1.7695000000000001</v>
      </c>
      <c r="AP235" s="153">
        <v>1.3569</v>
      </c>
      <c r="AQ235" s="153">
        <v>6.6199999999999995E-2</v>
      </c>
      <c r="AR235" s="57">
        <v>0.25729999999999997</v>
      </c>
      <c r="AS235" s="57">
        <v>3.4200000000000001E-2</v>
      </c>
      <c r="AT235" s="153">
        <v>5.4999999999999997E-3</v>
      </c>
      <c r="AU235" s="153">
        <v>0.21210000000000001</v>
      </c>
      <c r="AV235" s="153">
        <v>0</v>
      </c>
      <c r="AW235" s="154">
        <v>7.9830000000000005</v>
      </c>
      <c r="AX235" s="58">
        <v>0.3992</v>
      </c>
      <c r="AY235" s="155">
        <f t="shared" si="231"/>
        <v>0.39579999999999999</v>
      </c>
      <c r="AZ235" s="155">
        <f t="shared" si="232"/>
        <v>3.4000000000000141E-3</v>
      </c>
      <c r="BA235" s="14">
        <v>8.382200000000001</v>
      </c>
      <c r="BB235" s="59">
        <f>BA235-'[1]Тариф 26 свод без  ПДВ'!AU235</f>
        <v>3.2000000000014239E-3</v>
      </c>
      <c r="BC235" s="57">
        <v>1.25</v>
      </c>
      <c r="BD235" s="57">
        <v>0</v>
      </c>
      <c r="BE235" s="57">
        <v>0.53879999999999995</v>
      </c>
      <c r="BF235" s="156">
        <v>9.7718000000000007</v>
      </c>
      <c r="BG235" s="59">
        <v>0.48859999999999998</v>
      </c>
      <c r="BH235" s="59"/>
      <c r="BI235" s="59"/>
      <c r="BJ235" s="14">
        <v>10.260400000000001</v>
      </c>
      <c r="BK235" s="60"/>
      <c r="BL235" s="60">
        <v>4.3872000000000009</v>
      </c>
      <c r="BM235" s="60">
        <v>0.21940000000000001</v>
      </c>
      <c r="BN235" s="14">
        <v>4.6066000000000011</v>
      </c>
      <c r="BO235" s="14"/>
      <c r="BP235" s="157"/>
      <c r="BQ235" s="158">
        <f>BJ235-'[1]Тариф 26 свод без  ПДВ'!BG235</f>
        <v>-3.3999999999991815E-3</v>
      </c>
      <c r="BR235" s="77">
        <f>'[1]Тариф 26 свод без  ПДВ'!BG235</f>
        <v>10.2638</v>
      </c>
      <c r="BS235" s="159">
        <f t="shared" si="233"/>
        <v>-3.3999999999991815E-3</v>
      </c>
      <c r="BU235" s="77">
        <f>'[1]Тариф 26 свод без  ПДВ'!AU235</f>
        <v>8.3789999999999996</v>
      </c>
      <c r="BV235" s="159">
        <f t="shared" si="234"/>
        <v>3.2000000000014239E-3</v>
      </c>
      <c r="BX235" s="95">
        <v>4.2675999999999998</v>
      </c>
      <c r="BY235" s="95">
        <v>6.0075000000000003</v>
      </c>
      <c r="BZ235" s="95"/>
      <c r="CA235" s="182">
        <f t="shared" si="235"/>
        <v>1.9641484675227296</v>
      </c>
      <c r="CB235" s="182">
        <f t="shared" si="236"/>
        <v>1.7079317519766959</v>
      </c>
      <c r="CD235" s="160">
        <f>L235-CE235</f>
        <v>455.60000000000036</v>
      </c>
      <c r="CE235" s="160">
        <f>T235</f>
        <v>4227</v>
      </c>
      <c r="CF235" s="77">
        <f>CD235*BA235</f>
        <v>3818.9303200000036</v>
      </c>
      <c r="CG235" s="77">
        <f>BJ235*CE235</f>
        <v>43370.710800000001</v>
      </c>
      <c r="CI235" s="160">
        <f>'[1]0 СВОД'!AYY250</f>
        <v>45722.524644853511</v>
      </c>
      <c r="CJ235" s="77">
        <f t="shared" si="237"/>
        <v>548670.2957382421</v>
      </c>
      <c r="CM235" s="161">
        <v>232</v>
      </c>
      <c r="CN235" s="183" t="s">
        <v>921</v>
      </c>
      <c r="CO235" s="163">
        <v>10</v>
      </c>
      <c r="CP235" s="163">
        <v>2</v>
      </c>
      <c r="CQ235" s="164" t="s">
        <v>245</v>
      </c>
      <c r="CR235" s="165" t="s">
        <v>241</v>
      </c>
      <c r="CS235" s="166">
        <v>66.000000000000341</v>
      </c>
      <c r="CT235" s="166">
        <v>4226.7999999999993</v>
      </c>
      <c r="CU235" s="167">
        <v>388.6</v>
      </c>
      <c r="CV235" s="168">
        <v>4681.3999999999996</v>
      </c>
      <c r="CW235" s="166">
        <v>4292.7999999999993</v>
      </c>
      <c r="CX235" s="167">
        <v>388.6</v>
      </c>
      <c r="CY235" s="166">
        <v>0</v>
      </c>
      <c r="CZ235" s="166"/>
      <c r="DA235" s="166">
        <v>4681.3999999999996</v>
      </c>
      <c r="DB235" s="166"/>
      <c r="DC235" s="166">
        <v>4226.7999999999993</v>
      </c>
      <c r="DD235" s="59">
        <v>0.15859999999999999</v>
      </c>
      <c r="DE235" s="59">
        <v>0.1661</v>
      </c>
      <c r="DF235" s="59">
        <v>0.18959999999999999</v>
      </c>
      <c r="DG235" s="59">
        <v>3.9199999999999999E-2</v>
      </c>
      <c r="DH235" s="59">
        <v>7.4999999999999997E-3</v>
      </c>
      <c r="DI235" s="59">
        <v>0.1013</v>
      </c>
      <c r="DJ235" s="59">
        <v>4.8099999999999997E-2</v>
      </c>
      <c r="DK235" s="59">
        <v>0.3458</v>
      </c>
      <c r="DL235" s="169">
        <v>0</v>
      </c>
      <c r="DM235" s="59">
        <v>8.2199999999999995E-2</v>
      </c>
      <c r="DN235" s="169">
        <v>0</v>
      </c>
      <c r="DO235" s="184">
        <v>1.1369</v>
      </c>
      <c r="DP235" s="171">
        <f t="shared" si="238"/>
        <v>1.7123999999999999</v>
      </c>
      <c r="DQ235" s="59">
        <v>0.10050000000000001</v>
      </c>
      <c r="DR235" s="59">
        <v>0.21729999999999999</v>
      </c>
      <c r="DS235" s="59">
        <v>3.3099999999999997E-2</v>
      </c>
      <c r="DT235" s="59">
        <v>4.1599999999999998E-2</v>
      </c>
      <c r="DU235" s="59">
        <v>1.6500000000000001E-2</v>
      </c>
      <c r="DV235" s="59">
        <v>2.58E-2</v>
      </c>
      <c r="DW235" s="59">
        <v>6.8999999999999999E-3</v>
      </c>
      <c r="DX235" s="169">
        <v>0</v>
      </c>
      <c r="DY235" s="59">
        <v>0.93630000000000002</v>
      </c>
      <c r="DZ235" s="171">
        <f t="shared" si="239"/>
        <v>1.8898857203887642</v>
      </c>
      <c r="EA235" s="59">
        <v>0.81059999999999999</v>
      </c>
      <c r="EB235" s="171">
        <f t="shared" si="240"/>
        <v>1.7556131260794474</v>
      </c>
      <c r="EC235" s="59">
        <v>0.1414</v>
      </c>
      <c r="ED235" s="171">
        <f t="shared" si="241"/>
        <v>1.8196605374823196</v>
      </c>
      <c r="EE235" s="59">
        <v>2.6100000000000002E-2</v>
      </c>
      <c r="EF235" s="59">
        <v>3.5999999999999999E-3</v>
      </c>
      <c r="EG235" s="59">
        <v>0.12959999999999999</v>
      </c>
      <c r="EH235" s="59">
        <v>0</v>
      </c>
      <c r="EI235" s="155">
        <v>0.1191</v>
      </c>
      <c r="EJ235" s="172">
        <v>4.8836999999999993</v>
      </c>
      <c r="EK235" s="173"/>
      <c r="EL235" s="59">
        <v>0.86919999999999997</v>
      </c>
      <c r="EM235" s="59">
        <v>0.25319999999999998</v>
      </c>
      <c r="EN235" s="59">
        <v>0.1472</v>
      </c>
      <c r="EO235" s="172">
        <v>6.0341999999999985</v>
      </c>
      <c r="ES235" s="57">
        <f t="shared" si="251"/>
        <v>4.8836999999999993</v>
      </c>
      <c r="ET235" s="57">
        <f t="shared" si="252"/>
        <v>6.0341999999999985</v>
      </c>
      <c r="EU235" s="31"/>
      <c r="EV235" s="61">
        <f t="shared" si="242"/>
        <v>1.7163625939349267</v>
      </c>
      <c r="EW235" s="61">
        <f>BJ235/ET235</f>
        <v>1.7003745318352066</v>
      </c>
      <c r="EX235" s="185">
        <v>6.3464</v>
      </c>
      <c r="EY235" s="174">
        <v>8.2165999999999997</v>
      </c>
      <c r="EZ235" s="158">
        <f t="shared" si="243"/>
        <v>8.382200000000001</v>
      </c>
      <c r="FA235" s="158">
        <f t="shared" si="244"/>
        <v>10.260400000000001</v>
      </c>
      <c r="FH235" s="174">
        <f t="shared" si="274"/>
        <v>39250.489720000005</v>
      </c>
      <c r="FJ235" s="87">
        <v>1.2906</v>
      </c>
      <c r="FK235" s="176">
        <f t="shared" si="254"/>
        <v>1.329895082856754</v>
      </c>
      <c r="FL235" s="87">
        <v>1.3545</v>
      </c>
      <c r="FM235" s="87">
        <f t="shared" si="255"/>
        <v>1.2553521829717287</v>
      </c>
      <c r="FO235" s="88">
        <f t="shared" si="245"/>
        <v>39250.489720000005</v>
      </c>
      <c r="FP235" s="79">
        <f t="shared" si="246"/>
        <v>43370.710800000001</v>
      </c>
      <c r="FS235" s="79">
        <f t="shared" si="247"/>
        <v>22868.413619999999</v>
      </c>
      <c r="FT235" s="79">
        <f t="shared" si="248"/>
        <v>25506.563399999992</v>
      </c>
      <c r="FU235" s="79">
        <f t="shared" si="256"/>
        <v>1.7163625939349267</v>
      </c>
      <c r="FV235" s="79">
        <f t="shared" si="256"/>
        <v>1.7003745318352066</v>
      </c>
      <c r="FY235" s="79">
        <f t="shared" si="257"/>
        <v>3818.9303200000036</v>
      </c>
      <c r="FZ235" s="79">
        <f t="shared" si="258"/>
        <v>43370.710800000001</v>
      </c>
      <c r="GB235" s="178">
        <f t="shared" si="259"/>
        <v>455.60000000000036</v>
      </c>
      <c r="GC235" s="178">
        <f t="shared" si="260"/>
        <v>4227</v>
      </c>
      <c r="GG235" s="14">
        <v>6.6020000000000003</v>
      </c>
      <c r="GH235" s="175">
        <f t="shared" si="261"/>
        <v>1.2696455619509242</v>
      </c>
      <c r="GI235" s="14">
        <v>8.6256000000000004</v>
      </c>
      <c r="GJ235" s="175">
        <f t="shared" si="262"/>
        <v>1.1895288443702468</v>
      </c>
      <c r="GK235" s="175">
        <f t="shared" si="286"/>
        <v>8.0116717580677399E-2</v>
      </c>
      <c r="GN235" s="14">
        <v>8.3872</v>
      </c>
      <c r="GO235" s="175">
        <f t="shared" si="264"/>
        <v>1.2704029082096333</v>
      </c>
      <c r="GP235" s="179">
        <f t="shared" si="265"/>
        <v>0.99940385349103411</v>
      </c>
      <c r="GQ235" s="14">
        <v>10.014199999999999</v>
      </c>
      <c r="GR235" s="175">
        <f t="shared" si="266"/>
        <v>1.1609859024299758</v>
      </c>
      <c r="GS235" s="175">
        <f t="shared" si="267"/>
        <v>1.0245850891733741</v>
      </c>
      <c r="GV235" s="32">
        <f t="shared" si="268"/>
        <v>3818.9303200000036</v>
      </c>
      <c r="GW235" s="32">
        <f t="shared" si="269"/>
        <v>43370.710800000001</v>
      </c>
      <c r="GX235" s="180">
        <f t="shared" si="270"/>
        <v>47189.641120000008</v>
      </c>
      <c r="GZ235" s="32">
        <f t="shared" si="271"/>
        <v>8.382200000000001</v>
      </c>
      <c r="HA235" s="32">
        <f t="shared" si="272"/>
        <v>10.260400000000001</v>
      </c>
      <c r="HB235" s="32">
        <f t="shared" si="273"/>
        <v>10.077657950711144</v>
      </c>
    </row>
    <row r="236" spans="1:210" ht="19.2" customHeight="1" x14ac:dyDescent="0.3">
      <c r="A236" s="50">
        <v>228</v>
      </c>
      <c r="B236" s="51" t="s">
        <v>922</v>
      </c>
      <c r="C236" s="51"/>
      <c r="D236" s="52">
        <v>2</v>
      </c>
      <c r="E236" s="52">
        <v>2</v>
      </c>
      <c r="F236" s="187">
        <v>8</v>
      </c>
      <c r="G236" s="54" t="s">
        <v>35</v>
      </c>
      <c r="H236" s="181" t="s">
        <v>8</v>
      </c>
      <c r="I236" s="55">
        <f t="shared" si="249"/>
        <v>395.7</v>
      </c>
      <c r="J236" s="55">
        <f t="shared" si="229"/>
        <v>0</v>
      </c>
      <c r="K236" s="55">
        <f t="shared" si="230"/>
        <v>0</v>
      </c>
      <c r="L236" s="56">
        <v>395.7</v>
      </c>
      <c r="M236" s="56">
        <v>395.7</v>
      </c>
      <c r="N236" s="56">
        <f t="shared" si="250"/>
        <v>395.7</v>
      </c>
      <c r="O236" s="56">
        <v>0</v>
      </c>
      <c r="P236" s="56">
        <v>0</v>
      </c>
      <c r="Q236" s="55"/>
      <c r="R236" s="55">
        <v>395.7</v>
      </c>
      <c r="S236" s="55"/>
      <c r="T236" s="55">
        <v>0</v>
      </c>
      <c r="U236" s="152">
        <v>395.7</v>
      </c>
      <c r="V236" s="12">
        <v>0.18379999999999999</v>
      </c>
      <c r="W236" s="12">
        <v>0.1</v>
      </c>
      <c r="X236" s="12">
        <v>0</v>
      </c>
      <c r="Y236" s="12">
        <v>0</v>
      </c>
      <c r="Z236" s="12">
        <v>0</v>
      </c>
      <c r="AA236" s="12">
        <v>0.3206</v>
      </c>
      <c r="AB236" s="12">
        <v>0</v>
      </c>
      <c r="AC236" s="12">
        <v>0.61070000000000002</v>
      </c>
      <c r="AD236" s="12">
        <v>0.47960000000000003</v>
      </c>
      <c r="AE236" s="12">
        <v>0</v>
      </c>
      <c r="AF236" s="12">
        <v>1.7875000000000001</v>
      </c>
      <c r="AG236" s="12">
        <v>0.2351</v>
      </c>
      <c r="AH236" s="12">
        <v>0.30819999999999997</v>
      </c>
      <c r="AI236" s="12">
        <v>0</v>
      </c>
      <c r="AJ236" s="12">
        <v>0</v>
      </c>
      <c r="AK236" s="12">
        <v>0</v>
      </c>
      <c r="AL236" s="12">
        <v>0.12959999999999999</v>
      </c>
      <c r="AM236" s="12">
        <v>4.7399999999999998E-2</v>
      </c>
      <c r="AN236" s="12">
        <v>0</v>
      </c>
      <c r="AO236" s="12">
        <v>3.1983999999999999</v>
      </c>
      <c r="AP236" s="12">
        <v>0.94779999999999998</v>
      </c>
      <c r="AQ236" s="12">
        <v>0</v>
      </c>
      <c r="AR236" s="12">
        <v>0.94230000000000003</v>
      </c>
      <c r="AS236" s="12">
        <v>0</v>
      </c>
      <c r="AT236" s="12">
        <v>0</v>
      </c>
      <c r="AU236" s="12">
        <v>0.2354</v>
      </c>
      <c r="AV236" s="12">
        <v>0</v>
      </c>
      <c r="AW236" s="188">
        <v>9.5264000000000006</v>
      </c>
      <c r="AX236" s="13">
        <v>0.4763</v>
      </c>
      <c r="AY236" s="189">
        <f t="shared" si="231"/>
        <v>0.4763</v>
      </c>
      <c r="AZ236" s="189">
        <f t="shared" si="232"/>
        <v>0</v>
      </c>
      <c r="BA236" s="14">
        <v>10.002700000000001</v>
      </c>
      <c r="BB236" s="190">
        <f>BA236-'[1]Тариф 26 свод без  ПДВ'!AU236</f>
        <v>-3.5999999999987153E-3</v>
      </c>
      <c r="BC236" s="12">
        <v>0</v>
      </c>
      <c r="BD236" s="12">
        <v>0</v>
      </c>
      <c r="BE236" s="12">
        <v>0</v>
      </c>
      <c r="BF236" s="191">
        <v>9.5264000000000006</v>
      </c>
      <c r="BG236" s="190">
        <v>0.4763</v>
      </c>
      <c r="BH236" s="190"/>
      <c r="BI236" s="190"/>
      <c r="BJ236" s="14">
        <v>10.002700000000001</v>
      </c>
      <c r="BK236" s="60"/>
      <c r="BL236" s="60">
        <v>4.2025000000000006</v>
      </c>
      <c r="BM236" s="60">
        <v>0.21010000000000001</v>
      </c>
      <c r="BN236" s="14">
        <v>4.4126000000000003</v>
      </c>
      <c r="BO236" s="14"/>
      <c r="BP236" s="157"/>
      <c r="BQ236" s="158">
        <f>BJ236-'[1]Тариф 26 свод без  ПДВ'!BG236</f>
        <v>-3.5999999999987153E-3</v>
      </c>
      <c r="BR236" s="77">
        <f>'[1]Тариф 26 свод без  ПДВ'!BG236</f>
        <v>10.0063</v>
      </c>
      <c r="BS236" s="159">
        <f t="shared" si="233"/>
        <v>-3.5999999999987153E-3</v>
      </c>
      <c r="BU236" s="77">
        <f>'[1]Тариф 26 свод без  ПДВ'!AU236</f>
        <v>10.0063</v>
      </c>
      <c r="BV236" s="159">
        <f t="shared" si="234"/>
        <v>-3.5999999999987153E-3</v>
      </c>
      <c r="BX236" s="95">
        <v>4.1806000000000001</v>
      </c>
      <c r="BY236" s="95">
        <v>4.1806000000000001</v>
      </c>
      <c r="BZ236" s="95"/>
      <c r="CA236" s="182">
        <f t="shared" si="235"/>
        <v>2.3926469884705548</v>
      </c>
      <c r="CB236" s="182">
        <f t="shared" si="236"/>
        <v>2.3926469884705548</v>
      </c>
      <c r="CI236" s="160">
        <f>'[1]0 СВОД'!AYY251</f>
        <v>3958.1104175277846</v>
      </c>
      <c r="CJ236" s="77">
        <f t="shared" si="237"/>
        <v>47497.325010333414</v>
      </c>
      <c r="CM236" s="161">
        <v>233</v>
      </c>
      <c r="CN236" s="162" t="s">
        <v>923</v>
      </c>
      <c r="CO236" s="163">
        <v>2</v>
      </c>
      <c r="CP236" s="163">
        <v>2</v>
      </c>
      <c r="CQ236" s="164" t="s">
        <v>35</v>
      </c>
      <c r="CR236" s="165" t="s">
        <v>8</v>
      </c>
      <c r="CS236" s="166">
        <v>395.7</v>
      </c>
      <c r="CT236" s="166">
        <v>0</v>
      </c>
      <c r="CU236" s="167">
        <v>0</v>
      </c>
      <c r="CV236" s="168">
        <v>395.7</v>
      </c>
      <c r="CW236" s="166">
        <v>395.7</v>
      </c>
      <c r="CX236" s="167">
        <v>0</v>
      </c>
      <c r="CY236" s="166">
        <v>0</v>
      </c>
      <c r="CZ236" s="166"/>
      <c r="DA236" s="166">
        <v>395.7</v>
      </c>
      <c r="DB236" s="166"/>
      <c r="DC236" s="166">
        <v>0</v>
      </c>
      <c r="DD236" s="59">
        <v>0.23419999999999999</v>
      </c>
      <c r="DE236" s="59">
        <v>0.16239999999999999</v>
      </c>
      <c r="DF236" s="59">
        <v>0</v>
      </c>
      <c r="DG236" s="59">
        <v>0</v>
      </c>
      <c r="DH236" s="59">
        <v>0</v>
      </c>
      <c r="DI236" s="59">
        <v>0.25130000000000002</v>
      </c>
      <c r="DJ236" s="59">
        <v>4.8099999999999997E-2</v>
      </c>
      <c r="DK236" s="59">
        <v>0.3337</v>
      </c>
      <c r="DL236" s="169">
        <v>0</v>
      </c>
      <c r="DM236" s="59">
        <v>0.29189999999999999</v>
      </c>
      <c r="DN236" s="169">
        <v>0</v>
      </c>
      <c r="DO236" s="170">
        <v>1.0369000000000002</v>
      </c>
      <c r="DP236" s="171">
        <f t="shared" si="238"/>
        <v>1.7875000000000001</v>
      </c>
      <c r="DQ236" s="59">
        <v>0.15459999999999999</v>
      </c>
      <c r="DR236" s="59">
        <v>0.2122</v>
      </c>
      <c r="DS236" s="59">
        <v>0</v>
      </c>
      <c r="DT236" s="59">
        <v>0</v>
      </c>
      <c r="DU236" s="59">
        <v>0</v>
      </c>
      <c r="DV236" s="59">
        <v>4.5199999999999997E-2</v>
      </c>
      <c r="DW236" s="59">
        <v>1.5699999999999999E-2</v>
      </c>
      <c r="DX236" s="169">
        <v>0</v>
      </c>
      <c r="DY236" s="59">
        <v>1.4870000000000001</v>
      </c>
      <c r="DZ236" s="171">
        <f t="shared" si="239"/>
        <v>2.1509078681909886</v>
      </c>
      <c r="EA236" s="59">
        <v>0.52800000000000002</v>
      </c>
      <c r="EB236" s="171">
        <f t="shared" si="240"/>
        <v>1.7950757575757574</v>
      </c>
      <c r="EC236" s="59">
        <v>0.44109999999999999</v>
      </c>
      <c r="ED236" s="171">
        <f t="shared" si="241"/>
        <v>2.136250283382453</v>
      </c>
      <c r="EE236" s="169">
        <v>0</v>
      </c>
      <c r="EF236" s="169">
        <v>0</v>
      </c>
      <c r="EG236" s="59">
        <v>0.1605</v>
      </c>
      <c r="EH236" s="59">
        <v>0</v>
      </c>
      <c r="EI236" s="195">
        <v>0.1351</v>
      </c>
      <c r="EJ236" s="172">
        <v>5.5378999999999987</v>
      </c>
      <c r="EK236" s="173"/>
      <c r="EL236" s="169">
        <v>0</v>
      </c>
      <c r="EM236" s="169">
        <v>0</v>
      </c>
      <c r="EN236" s="59"/>
      <c r="EO236" s="172"/>
      <c r="ES236" s="57">
        <f t="shared" si="251"/>
        <v>5.5378999999999987</v>
      </c>
      <c r="ET236" s="57">
        <f t="shared" si="252"/>
        <v>0</v>
      </c>
      <c r="EU236" s="31"/>
      <c r="EV236" s="61">
        <f t="shared" si="242"/>
        <v>1.80622618682172</v>
      </c>
      <c r="EW236" s="62"/>
      <c r="EX236" s="159">
        <f>EY236/1.05</f>
        <v>-2.2163529523809555</v>
      </c>
      <c r="EY236" s="32">
        <f>ES236*1.386-BJ236</f>
        <v>-2.3271706000000032</v>
      </c>
      <c r="EZ236" s="158">
        <f t="shared" si="243"/>
        <v>10.002700000000001</v>
      </c>
      <c r="FA236" s="159">
        <f t="shared" si="244"/>
        <v>10.002700000000001</v>
      </c>
      <c r="FB236" s="158">
        <f>ES236*1.34</f>
        <v>7.4207859999999988</v>
      </c>
      <c r="FC236" s="158">
        <f>EZ236-FB236</f>
        <v>2.581914000000002</v>
      </c>
      <c r="FD236" s="158"/>
      <c r="FE236" s="158"/>
      <c r="FF236" s="158"/>
      <c r="FG236" s="174"/>
      <c r="FH236" s="174">
        <f t="shared" si="274"/>
        <v>3958.0683900000004</v>
      </c>
      <c r="FI236" s="174"/>
      <c r="FJ236" s="87">
        <v>1.4786999999999999</v>
      </c>
      <c r="FK236" s="176">
        <f t="shared" si="254"/>
        <v>1.2214960349102051</v>
      </c>
      <c r="FM236" s="87" t="e">
        <f t="shared" si="255"/>
        <v>#DIV/0!</v>
      </c>
      <c r="FO236" s="88">
        <f t="shared" si="245"/>
        <v>3958.0683900000004</v>
      </c>
      <c r="FP236" s="79">
        <f t="shared" si="246"/>
        <v>0</v>
      </c>
      <c r="FS236" s="79">
        <f t="shared" si="247"/>
        <v>2191.3470299999994</v>
      </c>
      <c r="FT236" s="79">
        <f t="shared" si="248"/>
        <v>0</v>
      </c>
      <c r="FU236" s="79">
        <f t="shared" si="256"/>
        <v>1.80622618682172</v>
      </c>
      <c r="FV236" s="79" t="e">
        <f t="shared" si="256"/>
        <v>#DIV/0!</v>
      </c>
      <c r="FY236" s="79">
        <f t="shared" si="257"/>
        <v>3958.0683900000004</v>
      </c>
      <c r="FZ236" s="79">
        <f t="shared" si="258"/>
        <v>0</v>
      </c>
      <c r="GB236" s="178">
        <f t="shared" si="259"/>
        <v>395.7</v>
      </c>
      <c r="GC236" s="178">
        <f t="shared" si="260"/>
        <v>0</v>
      </c>
      <c r="GE236" s="196"/>
      <c r="GF236" s="196"/>
      <c r="GG236" s="14">
        <v>7.8766000000000007</v>
      </c>
      <c r="GH236" s="197">
        <f t="shared" si="261"/>
        <v>1.2699261102506156</v>
      </c>
      <c r="GI236" s="14">
        <v>7.8766000000000007</v>
      </c>
      <c r="GJ236" s="197">
        <f t="shared" si="262"/>
        <v>1.2699261102506156</v>
      </c>
      <c r="GK236" s="197">
        <f>GH236-GJ236</f>
        <v>0</v>
      </c>
      <c r="GL236" s="196"/>
      <c r="GM236" s="196"/>
      <c r="GN236" s="14">
        <v>10.280999999999999</v>
      </c>
      <c r="GO236" s="197">
        <f t="shared" si="264"/>
        <v>1.3052586141228446</v>
      </c>
      <c r="GP236" s="198">
        <f t="shared" si="265"/>
        <v>0.97293064876957513</v>
      </c>
      <c r="GQ236" s="14">
        <v>10.280999999999999</v>
      </c>
      <c r="GR236" s="197">
        <f t="shared" si="266"/>
        <v>1.3052586141228446</v>
      </c>
      <c r="GS236" s="197">
        <f t="shared" si="267"/>
        <v>0.97293064876957513</v>
      </c>
      <c r="GT236" s="196"/>
      <c r="GV236" s="32">
        <f t="shared" si="268"/>
        <v>3958.0683900000004</v>
      </c>
      <c r="GW236" s="32">
        <f t="shared" si="269"/>
        <v>0</v>
      </c>
      <c r="GX236" s="180">
        <f t="shared" si="270"/>
        <v>3958.0683900000004</v>
      </c>
      <c r="GZ236" s="32">
        <f t="shared" si="271"/>
        <v>10.002700000000001</v>
      </c>
      <c r="HA236" s="32" t="e">
        <f t="shared" si="272"/>
        <v>#DIV/0!</v>
      </c>
      <c r="HB236" s="32">
        <f t="shared" si="273"/>
        <v>10.002700000000001</v>
      </c>
    </row>
    <row r="237" spans="1:210" ht="19.2" customHeight="1" x14ac:dyDescent="0.3">
      <c r="A237" s="50">
        <v>229</v>
      </c>
      <c r="B237" s="64" t="s">
        <v>409</v>
      </c>
      <c r="C237" s="64"/>
      <c r="D237" s="52">
        <v>9</v>
      </c>
      <c r="E237" s="52">
        <v>1</v>
      </c>
      <c r="F237" s="63">
        <v>136</v>
      </c>
      <c r="G237" s="54" t="s">
        <v>924</v>
      </c>
      <c r="H237" s="181" t="s">
        <v>383</v>
      </c>
      <c r="I237" s="55">
        <f t="shared" si="249"/>
        <v>0</v>
      </c>
      <c r="J237" s="55">
        <f t="shared" si="229"/>
        <v>5636.98</v>
      </c>
      <c r="K237" s="55">
        <f t="shared" si="230"/>
        <v>0</v>
      </c>
      <c r="L237" s="56">
        <v>5636.98</v>
      </c>
      <c r="M237" s="56">
        <v>5636.98</v>
      </c>
      <c r="N237" s="56">
        <f t="shared" si="250"/>
        <v>0</v>
      </c>
      <c r="O237" s="56">
        <v>0</v>
      </c>
      <c r="P237" s="56">
        <v>0</v>
      </c>
      <c r="Q237" s="55"/>
      <c r="R237" s="55">
        <v>5636.98</v>
      </c>
      <c r="S237" s="55"/>
      <c r="T237" s="55">
        <v>5636.98</v>
      </c>
      <c r="U237" s="152">
        <v>0</v>
      </c>
      <c r="V237" s="57">
        <v>0.10199999999999999</v>
      </c>
      <c r="W237" s="57">
        <v>4.6399999999999997E-2</v>
      </c>
      <c r="X237" s="153">
        <v>0.32929999999999998</v>
      </c>
      <c r="Y237" s="153">
        <v>0</v>
      </c>
      <c r="Z237" s="57">
        <v>2.5499999999999998E-2</v>
      </c>
      <c r="AA237" s="57">
        <v>0.2266</v>
      </c>
      <c r="AB237" s="57">
        <v>0</v>
      </c>
      <c r="AC237" s="153">
        <v>0.62080000000000002</v>
      </c>
      <c r="AD237" s="57">
        <v>0.15570000000000001</v>
      </c>
      <c r="AE237" s="57">
        <v>0</v>
      </c>
      <c r="AF237" s="57">
        <v>2.2242000000000002</v>
      </c>
      <c r="AG237" s="57">
        <v>0.14660000000000001</v>
      </c>
      <c r="AH237" s="57">
        <v>0.16719999999999999</v>
      </c>
      <c r="AI237" s="57">
        <v>0.1452</v>
      </c>
      <c r="AJ237" s="57">
        <v>0</v>
      </c>
      <c r="AK237" s="57">
        <v>4.9599999999999998E-2</v>
      </c>
      <c r="AL237" s="57">
        <v>4.87E-2</v>
      </c>
      <c r="AM237" s="57">
        <v>0</v>
      </c>
      <c r="AN237" s="57">
        <v>0</v>
      </c>
      <c r="AO237" s="57">
        <v>1.0446</v>
      </c>
      <c r="AP237" s="153">
        <v>3.9712999999999998</v>
      </c>
      <c r="AQ237" s="153">
        <v>0.1053</v>
      </c>
      <c r="AR237" s="57">
        <v>0.84619999999999995</v>
      </c>
      <c r="AS237" s="57">
        <v>4.0300000000000002E-2</v>
      </c>
      <c r="AT237" s="153">
        <v>6.4999999999999997E-3</v>
      </c>
      <c r="AU237" s="153">
        <v>0.20019999999999999</v>
      </c>
      <c r="AV237" s="153">
        <v>0</v>
      </c>
      <c r="AW237" s="154">
        <v>10.5022</v>
      </c>
      <c r="AX237" s="58">
        <v>0.52510000000000001</v>
      </c>
      <c r="AY237" s="155">
        <f t="shared" si="231"/>
        <v>0.51980000000000004</v>
      </c>
      <c r="AZ237" s="155">
        <f t="shared" si="232"/>
        <v>5.2999999999999714E-3</v>
      </c>
      <c r="BA237" s="14">
        <v>11.0273</v>
      </c>
      <c r="BB237" s="59">
        <f>BA237-'[1]Тариф 26 свод без  ПДВ'!AU237</f>
        <v>-3.0000000000001137E-3</v>
      </c>
      <c r="BC237" s="57">
        <v>1.1785000000000001</v>
      </c>
      <c r="BD237" s="57">
        <v>9.5600000000000004E-2</v>
      </c>
      <c r="BE237" s="57">
        <v>0.33050000000000002</v>
      </c>
      <c r="BF237" s="156">
        <v>12.1068</v>
      </c>
      <c r="BG237" s="59">
        <v>0.60529999999999995</v>
      </c>
      <c r="BH237" s="59"/>
      <c r="BI237" s="59"/>
      <c r="BJ237" s="14">
        <v>12.7121</v>
      </c>
      <c r="BK237" s="60"/>
      <c r="BL237" s="60">
        <v>4.4399000000000006</v>
      </c>
      <c r="BM237" s="60">
        <v>0.222</v>
      </c>
      <c r="BN237" s="14">
        <v>4.661900000000001</v>
      </c>
      <c r="BO237" s="14"/>
      <c r="BP237" s="157"/>
      <c r="BQ237" s="158">
        <f>BJ237-'[1]Тариф 26 свод без  ПДВ'!BG237</f>
        <v>5.0999999999987722E-3</v>
      </c>
      <c r="BR237" s="77">
        <f>'[1]Тариф 26 свод без  ПДВ'!BG237</f>
        <v>12.707000000000001</v>
      </c>
      <c r="BS237" s="159">
        <f t="shared" si="233"/>
        <v>5.0999999999987722E-3</v>
      </c>
      <c r="BU237" s="77">
        <f>'[1]Тариф 26 свод без  ПДВ'!AU237</f>
        <v>11.0303</v>
      </c>
      <c r="BV237" s="159">
        <f t="shared" si="234"/>
        <v>-3.0000000000001137E-3</v>
      </c>
      <c r="BX237" s="95">
        <v>4.3844000000000003</v>
      </c>
      <c r="BY237" s="95">
        <v>5.5502000000000002</v>
      </c>
      <c r="BZ237" s="95"/>
      <c r="CA237" s="182">
        <f t="shared" si="235"/>
        <v>2.515121795456619</v>
      </c>
      <c r="CB237" s="182">
        <f t="shared" si="236"/>
        <v>2.2903859320384847</v>
      </c>
      <c r="CD237" s="160">
        <f>L237-CE237</f>
        <v>0</v>
      </c>
      <c r="CE237" s="160">
        <f>T237</f>
        <v>5636.98</v>
      </c>
      <c r="CF237" s="77">
        <f>CD237*BA237</f>
        <v>0</v>
      </c>
      <c r="CG237" s="77">
        <f>BJ237*CE237</f>
        <v>71657.853457999998</v>
      </c>
      <c r="CI237" s="160">
        <f>'[1]0 СВОД'!AYY252</f>
        <v>71659.192163842396</v>
      </c>
      <c r="CJ237" s="77">
        <f t="shared" si="237"/>
        <v>859910.3059661088</v>
      </c>
      <c r="CN237" s="77" t="s">
        <v>925</v>
      </c>
      <c r="CO237" s="77">
        <v>9</v>
      </c>
      <c r="DD237" s="77">
        <v>0.16270000000000001</v>
      </c>
      <c r="DE237" s="77">
        <v>0.1573</v>
      </c>
      <c r="DF237" s="77">
        <v>0.2117</v>
      </c>
      <c r="DG237" s="77">
        <v>0</v>
      </c>
      <c r="DH237" s="77">
        <v>1.1900000000000001E-2</v>
      </c>
      <c r="DI237" s="77">
        <v>0.13519999999999999</v>
      </c>
      <c r="DJ237" s="77">
        <v>0</v>
      </c>
      <c r="DK237" s="77">
        <v>0.35709999999999997</v>
      </c>
      <c r="DL237" s="77">
        <v>0</v>
      </c>
      <c r="DM237" s="77">
        <v>0.19389999999999999</v>
      </c>
      <c r="DN237" s="77">
        <v>0</v>
      </c>
      <c r="DO237" s="77">
        <v>2.109</v>
      </c>
      <c r="DP237" s="171">
        <f t="shared" si="238"/>
        <v>2.2242000000000002</v>
      </c>
      <c r="DQ237" s="77">
        <v>0.10680000000000001</v>
      </c>
      <c r="DR237" s="77">
        <v>0.1903</v>
      </c>
      <c r="DS237" s="77">
        <v>3.1899999999999998E-2</v>
      </c>
      <c r="DT237" s="77">
        <v>0</v>
      </c>
      <c r="DU237" s="77">
        <v>2.6100000000000002E-2</v>
      </c>
      <c r="DV237" s="77">
        <v>3.6299999999999999E-2</v>
      </c>
      <c r="DW237" s="77">
        <v>0</v>
      </c>
      <c r="DX237" s="77">
        <v>0</v>
      </c>
      <c r="DY237" s="77">
        <v>1.1861999999999999</v>
      </c>
      <c r="DZ237" s="171">
        <f t="shared" si="239"/>
        <v>0.88062721294891255</v>
      </c>
      <c r="EA237" s="77">
        <v>1.6944999999999999</v>
      </c>
      <c r="EB237" s="171">
        <f t="shared" si="240"/>
        <v>2.4057834169371497</v>
      </c>
      <c r="EC237" s="77">
        <v>0.50839999999999996</v>
      </c>
      <c r="ED237" s="171">
        <f t="shared" si="241"/>
        <v>1.6644374508261213</v>
      </c>
      <c r="EE237" s="77">
        <v>2.92E-2</v>
      </c>
      <c r="EF237" s="77">
        <v>4.1000000000000003E-3</v>
      </c>
      <c r="EG237" s="77">
        <v>0</v>
      </c>
      <c r="EH237" s="77">
        <v>0</v>
      </c>
      <c r="EI237" s="77">
        <v>0.35759999999999997</v>
      </c>
      <c r="EJ237" s="172">
        <v>7.5102000000000002</v>
      </c>
      <c r="EL237" s="77">
        <v>1.3487</v>
      </c>
      <c r="EM237" s="77">
        <v>0</v>
      </c>
      <c r="EN237" s="77">
        <v>0.42509999999999998</v>
      </c>
      <c r="EO237" s="77">
        <v>8.9263999999999992</v>
      </c>
      <c r="ES237" s="57">
        <f t="shared" si="251"/>
        <v>7.5102000000000002</v>
      </c>
      <c r="ET237" s="57">
        <f t="shared" si="252"/>
        <v>8.9263999999999992</v>
      </c>
      <c r="EU237" s="31"/>
      <c r="EV237" s="61">
        <f t="shared" si="242"/>
        <v>1.468309765385742</v>
      </c>
      <c r="EW237" s="65">
        <f>BJ237/ET237</f>
        <v>1.4241015414948917</v>
      </c>
      <c r="EX237" s="185"/>
      <c r="EY237" s="174"/>
      <c r="EZ237" s="158">
        <f t="shared" si="243"/>
        <v>11.0273</v>
      </c>
      <c r="FA237" s="174">
        <f t="shared" si="244"/>
        <v>12.7121</v>
      </c>
      <c r="FB237" s="158">
        <f>BA237-EX237</f>
        <v>11.0273</v>
      </c>
      <c r="FC237" s="158">
        <f>BJ237-EY237</f>
        <v>12.7121</v>
      </c>
      <c r="FD237" s="175" t="e">
        <f t="shared" ref="FD237:FD238" si="287">FB237/EX237</f>
        <v>#DIV/0!</v>
      </c>
      <c r="FE237" s="175">
        <f t="shared" ref="FE237:FE238" si="288">FC237/FA237</f>
        <v>1</v>
      </c>
      <c r="FF237" s="158"/>
      <c r="FG237" s="174"/>
      <c r="FH237" s="174">
        <f t="shared" si="274"/>
        <v>62160.669554</v>
      </c>
      <c r="FI237" s="174"/>
      <c r="FJ237" s="176">
        <v>1.2170000000000001</v>
      </c>
      <c r="FK237" s="176">
        <f t="shared" si="254"/>
        <v>1.2064993963728363</v>
      </c>
      <c r="FL237" s="87">
        <v>1.4027000000000001</v>
      </c>
      <c r="FM237" s="177">
        <f t="shared" si="255"/>
        <v>1.0152573903863205</v>
      </c>
      <c r="FO237" s="88">
        <f t="shared" si="245"/>
        <v>62160.669554</v>
      </c>
      <c r="FP237" s="79">
        <f t="shared" si="246"/>
        <v>71657.853457999998</v>
      </c>
      <c r="FS237" s="79">
        <f t="shared" si="247"/>
        <v>42334.847195999995</v>
      </c>
      <c r="FT237" s="79">
        <f t="shared" si="248"/>
        <v>50317.938271999992</v>
      </c>
      <c r="FU237" s="79">
        <f t="shared" si="256"/>
        <v>1.4683097653857422</v>
      </c>
      <c r="FV237" s="79">
        <f t="shared" si="256"/>
        <v>1.4241015414948917</v>
      </c>
      <c r="FY237" s="79">
        <f t="shared" si="257"/>
        <v>0</v>
      </c>
      <c r="FZ237" s="79">
        <f t="shared" si="258"/>
        <v>71657.853457999998</v>
      </c>
      <c r="GB237" s="178">
        <f t="shared" si="259"/>
        <v>0</v>
      </c>
      <c r="GC237" s="178">
        <f t="shared" si="260"/>
        <v>5636.98</v>
      </c>
      <c r="GG237" s="14">
        <v>8.6836000000000002</v>
      </c>
      <c r="GH237" s="175">
        <f t="shared" si="261"/>
        <v>1.2698995808190152</v>
      </c>
      <c r="GI237" s="14">
        <v>11.104200000000001</v>
      </c>
      <c r="GJ237" s="175">
        <f t="shared" si="262"/>
        <v>1.1448010662632155</v>
      </c>
      <c r="GK237" s="175">
        <f t="shared" ref="GK237:GK239" si="289">GH237-GJ237</f>
        <v>0.12509851455579968</v>
      </c>
      <c r="GN237" s="14">
        <v>11.714499999999999</v>
      </c>
      <c r="GO237" s="175">
        <f t="shared" si="264"/>
        <v>1.349037265650191</v>
      </c>
      <c r="GP237" s="179">
        <f t="shared" si="265"/>
        <v>0.94133765845746731</v>
      </c>
      <c r="GQ237" s="14">
        <v>13.644599999999997</v>
      </c>
      <c r="GR237" s="175">
        <f t="shared" si="266"/>
        <v>1.2287783001026635</v>
      </c>
      <c r="GS237" s="175">
        <f t="shared" si="267"/>
        <v>0.93165794526772516</v>
      </c>
      <c r="GV237" s="32">
        <f t="shared" si="268"/>
        <v>0</v>
      </c>
      <c r="GW237" s="32">
        <f t="shared" si="269"/>
        <v>71657.853457999998</v>
      </c>
      <c r="GX237" s="180">
        <f t="shared" si="270"/>
        <v>71657.853457999998</v>
      </c>
      <c r="GZ237" s="32" t="e">
        <f t="shared" si="271"/>
        <v>#DIV/0!</v>
      </c>
      <c r="HA237" s="32">
        <f t="shared" si="272"/>
        <v>12.712100000000001</v>
      </c>
      <c r="HB237" s="32">
        <f t="shared" si="273"/>
        <v>12.712100000000001</v>
      </c>
    </row>
    <row r="238" spans="1:210" ht="19.2" customHeight="1" x14ac:dyDescent="0.3">
      <c r="A238" s="50">
        <v>230</v>
      </c>
      <c r="B238" s="51" t="s">
        <v>926</v>
      </c>
      <c r="C238" s="51"/>
      <c r="D238" s="52">
        <v>9</v>
      </c>
      <c r="E238" s="52">
        <v>2</v>
      </c>
      <c r="F238" s="63">
        <v>72</v>
      </c>
      <c r="G238" s="54" t="s">
        <v>239</v>
      </c>
      <c r="H238" s="181" t="s">
        <v>179</v>
      </c>
      <c r="I238" s="55">
        <f t="shared" si="249"/>
        <v>452.40000000000009</v>
      </c>
      <c r="J238" s="55">
        <f t="shared" si="229"/>
        <v>3758.9</v>
      </c>
      <c r="K238" s="55">
        <f t="shared" si="230"/>
        <v>0</v>
      </c>
      <c r="L238" s="56">
        <v>4211.3</v>
      </c>
      <c r="M238" s="56">
        <v>4211.3</v>
      </c>
      <c r="N238" s="56">
        <f t="shared" si="250"/>
        <v>452.40000000000009</v>
      </c>
      <c r="O238" s="56">
        <v>0</v>
      </c>
      <c r="P238" s="56">
        <v>0</v>
      </c>
      <c r="Q238" s="55"/>
      <c r="R238" s="55">
        <v>4211.3</v>
      </c>
      <c r="S238" s="55"/>
      <c r="T238" s="55">
        <v>3758.9</v>
      </c>
      <c r="U238" s="152">
        <v>452.40000000000009</v>
      </c>
      <c r="V238" s="57">
        <v>0.1653</v>
      </c>
      <c r="W238" s="57">
        <v>0.10929999999999999</v>
      </c>
      <c r="X238" s="153">
        <v>0.26690000000000003</v>
      </c>
      <c r="Y238" s="153">
        <v>0</v>
      </c>
      <c r="Z238" s="57">
        <v>2.0899999999999998E-2</v>
      </c>
      <c r="AA238" s="57">
        <v>0.21410000000000001</v>
      </c>
      <c r="AB238" s="57">
        <v>0</v>
      </c>
      <c r="AC238" s="153">
        <v>0.62080000000000002</v>
      </c>
      <c r="AD238" s="57">
        <v>0.13519999999999999</v>
      </c>
      <c r="AE238" s="57">
        <v>0</v>
      </c>
      <c r="AF238" s="57">
        <v>1.8042</v>
      </c>
      <c r="AG238" s="57">
        <v>0.21690000000000001</v>
      </c>
      <c r="AH238" s="57">
        <v>0.3911</v>
      </c>
      <c r="AI238" s="57">
        <v>0.1305</v>
      </c>
      <c r="AJ238" s="57">
        <v>0</v>
      </c>
      <c r="AK238" s="57">
        <v>4.0599999999999997E-2</v>
      </c>
      <c r="AL238" s="57">
        <v>7.7799999999999994E-2</v>
      </c>
      <c r="AM238" s="57">
        <v>2.58E-2</v>
      </c>
      <c r="AN238" s="57">
        <v>0</v>
      </c>
      <c r="AO238" s="57">
        <v>2.5091999999999999</v>
      </c>
      <c r="AP238" s="153">
        <v>1.2204999999999999</v>
      </c>
      <c r="AQ238" s="153">
        <v>7.9200000000000007E-2</v>
      </c>
      <c r="AR238" s="57">
        <v>0.27700000000000002</v>
      </c>
      <c r="AS238" s="57">
        <v>3.8899999999999997E-2</v>
      </c>
      <c r="AT238" s="153">
        <v>6.3E-3</v>
      </c>
      <c r="AU238" s="153">
        <v>0.49159999999999998</v>
      </c>
      <c r="AV238" s="153">
        <v>0</v>
      </c>
      <c r="AW238" s="154">
        <v>8.8420999999999985</v>
      </c>
      <c r="AX238" s="58">
        <v>0.44209999999999999</v>
      </c>
      <c r="AY238" s="155">
        <f t="shared" si="231"/>
        <v>0.43809999999999999</v>
      </c>
      <c r="AZ238" s="155">
        <f t="shared" si="232"/>
        <v>4.0000000000000036E-3</v>
      </c>
      <c r="BA238" s="14">
        <v>9.2841999999999985</v>
      </c>
      <c r="BB238" s="59">
        <f>BA238-'[1]Тариф 26 свод без  ПДВ'!AU238</f>
        <v>-1.800000000001134E-3</v>
      </c>
      <c r="BC238" s="57">
        <v>1.3095000000000001</v>
      </c>
      <c r="BD238" s="57">
        <v>9.5600000000000004E-2</v>
      </c>
      <c r="BE238" s="57">
        <v>0.55079999999999996</v>
      </c>
      <c r="BF238" s="156">
        <v>10.797999999999998</v>
      </c>
      <c r="BG238" s="59">
        <v>0.53990000000000005</v>
      </c>
      <c r="BH238" s="59"/>
      <c r="BI238" s="59"/>
      <c r="BJ238" s="14">
        <v>11.337899999999998</v>
      </c>
      <c r="BK238" s="60"/>
      <c r="BL238" s="60">
        <v>4.3437999999999999</v>
      </c>
      <c r="BM238" s="60">
        <v>0.2172</v>
      </c>
      <c r="BN238" s="14">
        <v>4.5609999999999999</v>
      </c>
      <c r="BO238" s="14"/>
      <c r="BP238" s="157"/>
      <c r="BQ238" s="158">
        <f>BJ238-'[1]Тариф 26 свод без  ПДВ'!BG238</f>
        <v>9.9999999997990585E-5</v>
      </c>
      <c r="BR238" s="77">
        <f>'[1]Тариф 26 свод без  ПДВ'!BG238</f>
        <v>11.3378</v>
      </c>
      <c r="BS238" s="159">
        <f t="shared" si="233"/>
        <v>9.9999999997990585E-5</v>
      </c>
      <c r="BU238" s="77">
        <f>'[1]Тариф 26 свод без  ПДВ'!AU238</f>
        <v>9.2859999999999996</v>
      </c>
      <c r="BV238" s="159">
        <f t="shared" si="234"/>
        <v>-1.800000000001134E-3</v>
      </c>
      <c r="BX238" s="95">
        <v>4.0175999999999998</v>
      </c>
      <c r="BY238" s="95">
        <v>4.8258000000000001</v>
      </c>
      <c r="BZ238" s="95"/>
      <c r="CA238" s="186">
        <f t="shared" si="235"/>
        <v>2.3108821186778172</v>
      </c>
      <c r="CB238" s="186">
        <f t="shared" si="236"/>
        <v>2.349434290687554</v>
      </c>
      <c r="CD238" s="160">
        <f>L238-CE238</f>
        <v>452.40000000000009</v>
      </c>
      <c r="CE238" s="160">
        <f>T238</f>
        <v>3758.9</v>
      </c>
      <c r="CF238" s="77">
        <f>CD238*BA238</f>
        <v>4200.1720800000003</v>
      </c>
      <c r="CG238" s="77">
        <f>BJ238*CE238</f>
        <v>42618.032309999995</v>
      </c>
      <c r="CI238" s="160">
        <f>'[1]0 СВОД'!AYY253</f>
        <v>46817.43460714176</v>
      </c>
      <c r="CJ238" s="77">
        <f t="shared" si="237"/>
        <v>561809.2152857011</v>
      </c>
      <c r="CM238" s="161">
        <v>234</v>
      </c>
      <c r="CN238" s="253" t="s">
        <v>927</v>
      </c>
      <c r="CO238" s="254">
        <v>9</v>
      </c>
      <c r="CP238" s="163">
        <v>2</v>
      </c>
      <c r="CQ238" s="164" t="s">
        <v>239</v>
      </c>
      <c r="CR238" s="165" t="s">
        <v>179</v>
      </c>
      <c r="CS238" s="166">
        <v>452.40000000000009</v>
      </c>
      <c r="CT238" s="166">
        <v>3751.2999999999997</v>
      </c>
      <c r="CU238" s="166">
        <v>0</v>
      </c>
      <c r="CV238" s="168">
        <v>4203.7</v>
      </c>
      <c r="CW238" s="166">
        <v>4203.7</v>
      </c>
      <c r="CX238" s="166">
        <v>0</v>
      </c>
      <c r="CY238" s="166">
        <v>0</v>
      </c>
      <c r="CZ238" s="166"/>
      <c r="DA238" s="166">
        <v>4203.7</v>
      </c>
      <c r="DB238" s="166"/>
      <c r="DC238" s="166">
        <v>3751.2999999999997</v>
      </c>
      <c r="DD238" s="255">
        <v>0.14270000000000002</v>
      </c>
      <c r="DE238" s="255">
        <v>0.14780000000000001</v>
      </c>
      <c r="DF238" s="255">
        <v>0.15580000000000002</v>
      </c>
      <c r="DG238" s="59">
        <v>0</v>
      </c>
      <c r="DH238" s="59">
        <v>7.9000000000000008E-3</v>
      </c>
      <c r="DI238" s="59">
        <v>9.3399999999999997E-2</v>
      </c>
      <c r="DJ238" s="59">
        <v>4.8099999999999997E-2</v>
      </c>
      <c r="DK238" s="59">
        <v>0.33839999999999998</v>
      </c>
      <c r="DL238" s="59">
        <v>7.7200000000000005E-2</v>
      </c>
      <c r="DM238" s="59">
        <v>8.2400000000000001E-2</v>
      </c>
      <c r="DN238" s="169">
        <v>0</v>
      </c>
      <c r="DO238" s="255">
        <v>0.95760000000000001</v>
      </c>
      <c r="DP238" s="171">
        <f t="shared" si="238"/>
        <v>1.8042</v>
      </c>
      <c r="DQ238" s="255">
        <v>8.4599999999999995E-2</v>
      </c>
      <c r="DR238" s="255">
        <v>0.19069999999999998</v>
      </c>
      <c r="DS238" s="59">
        <v>3.3399999999999999E-2</v>
      </c>
      <c r="DT238" s="59">
        <v>0</v>
      </c>
      <c r="DU238" s="59">
        <v>1.72E-2</v>
      </c>
      <c r="DV238" s="59">
        <v>2.7099999999999999E-2</v>
      </c>
      <c r="DW238" s="59">
        <v>5.4999999999999997E-3</v>
      </c>
      <c r="DX238" s="169">
        <v>0</v>
      </c>
      <c r="DY238" s="255">
        <v>1.6686999999999999</v>
      </c>
      <c r="DZ238" s="171">
        <f t="shared" si="239"/>
        <v>1.5036855036855037</v>
      </c>
      <c r="EA238" s="255">
        <v>0.77429999999999999</v>
      </c>
      <c r="EB238" s="171">
        <f t="shared" si="240"/>
        <v>1.678548366266305</v>
      </c>
      <c r="EC238" s="59">
        <v>9.4399999999999998E-2</v>
      </c>
      <c r="ED238" s="171">
        <f t="shared" si="241"/>
        <v>2.9343220338983054</v>
      </c>
      <c r="EE238" s="59">
        <v>3.0700000000000002E-2</v>
      </c>
      <c r="EF238" s="59">
        <v>4.3E-3</v>
      </c>
      <c r="EG238" s="59">
        <v>0.25180000000000002</v>
      </c>
      <c r="EH238" s="59">
        <v>0</v>
      </c>
      <c r="EI238" s="59">
        <v>0.13089999999999999</v>
      </c>
      <c r="EJ238" s="172">
        <v>5.3649000000000004</v>
      </c>
      <c r="EK238" s="173"/>
      <c r="EL238" s="59">
        <v>0.77349999999999997</v>
      </c>
      <c r="EM238" s="59">
        <v>0.54079999999999995</v>
      </c>
      <c r="EN238" s="59">
        <v>0.16370000000000001</v>
      </c>
      <c r="EO238" s="172">
        <v>6.7120000000000015</v>
      </c>
      <c r="ES238" s="57">
        <f t="shared" si="251"/>
        <v>5.3649000000000004</v>
      </c>
      <c r="ET238" s="57">
        <f t="shared" si="252"/>
        <v>6.7120000000000015</v>
      </c>
      <c r="EU238" s="31"/>
      <c r="EV238" s="61">
        <f t="shared" si="242"/>
        <v>1.7305448377416164</v>
      </c>
      <c r="EW238" s="61">
        <f>BJ238/ET238</f>
        <v>1.689198450536352</v>
      </c>
      <c r="EX238" s="174">
        <v>6.9930000000000003</v>
      </c>
      <c r="EY238" s="174">
        <v>9.4619999999999997</v>
      </c>
      <c r="EZ238" s="158">
        <f t="shared" si="243"/>
        <v>9.2841999999999985</v>
      </c>
      <c r="FA238" s="158">
        <f t="shared" si="244"/>
        <v>11.337899999999998</v>
      </c>
      <c r="FB238" s="158">
        <f>BA238-EX238</f>
        <v>2.2911999999999981</v>
      </c>
      <c r="FC238" s="158">
        <f>BJ238-EY238</f>
        <v>1.8758999999999979</v>
      </c>
      <c r="FD238" s="175">
        <f t="shared" si="287"/>
        <v>0.32764192764192734</v>
      </c>
      <c r="FE238" s="175">
        <f t="shared" si="288"/>
        <v>0.16545392003810214</v>
      </c>
      <c r="FH238" s="174">
        <f t="shared" si="274"/>
        <v>39098.551459999995</v>
      </c>
      <c r="FJ238" s="176">
        <v>1.2825</v>
      </c>
      <c r="FK238" s="176">
        <f t="shared" si="254"/>
        <v>1.3493526999934631</v>
      </c>
      <c r="FL238" s="87">
        <v>1.3998999999999999</v>
      </c>
      <c r="FM238" s="177">
        <f t="shared" si="255"/>
        <v>1.2066565115625059</v>
      </c>
      <c r="FO238" s="88">
        <f t="shared" si="245"/>
        <v>39098.551459999995</v>
      </c>
      <c r="FP238" s="79">
        <f t="shared" si="246"/>
        <v>42618.032309999995</v>
      </c>
      <c r="FS238" s="79">
        <f t="shared" si="247"/>
        <v>22593.203370000003</v>
      </c>
      <c r="FT238" s="79">
        <f t="shared" si="248"/>
        <v>25229.736800000006</v>
      </c>
      <c r="FU238" s="79">
        <f t="shared" si="256"/>
        <v>1.7305448377416164</v>
      </c>
      <c r="FV238" s="79">
        <f t="shared" si="256"/>
        <v>1.6891984505363522</v>
      </c>
      <c r="FY238" s="79">
        <f t="shared" si="257"/>
        <v>4200.1720800000003</v>
      </c>
      <c r="FZ238" s="79">
        <f t="shared" si="258"/>
        <v>42618.032309999995</v>
      </c>
      <c r="GB238" s="178">
        <f t="shared" si="259"/>
        <v>452.40000000000009</v>
      </c>
      <c r="GC238" s="178">
        <f t="shared" si="260"/>
        <v>3758.9</v>
      </c>
      <c r="GG238" s="14">
        <v>7.3266000000000009</v>
      </c>
      <c r="GH238" s="175">
        <f t="shared" si="261"/>
        <v>1.2671907842655525</v>
      </c>
      <c r="GI238" s="14">
        <v>9.8381000000000007</v>
      </c>
      <c r="GJ238" s="175">
        <f t="shared" si="262"/>
        <v>1.1524481353106797</v>
      </c>
      <c r="GK238" s="175">
        <f t="shared" si="289"/>
        <v>0.11474264895487285</v>
      </c>
      <c r="GN238" s="14">
        <v>9.1555999999999997</v>
      </c>
      <c r="GO238" s="175">
        <f t="shared" si="264"/>
        <v>1.2496383042611852</v>
      </c>
      <c r="GP238" s="179">
        <f t="shared" si="265"/>
        <v>1.0140460483201537</v>
      </c>
      <c r="GQ238" s="14">
        <v>11.179600000000001</v>
      </c>
      <c r="GR238" s="175">
        <f t="shared" si="266"/>
        <v>1.1363576300301887</v>
      </c>
      <c r="GS238" s="175">
        <f t="shared" si="267"/>
        <v>1.014159719489069</v>
      </c>
      <c r="GV238" s="32">
        <f t="shared" si="268"/>
        <v>4200.1720800000003</v>
      </c>
      <c r="GW238" s="32">
        <f t="shared" si="269"/>
        <v>42618.032309999995</v>
      </c>
      <c r="GX238" s="180">
        <f t="shared" si="270"/>
        <v>46818.204389999999</v>
      </c>
      <c r="GZ238" s="32">
        <f t="shared" si="271"/>
        <v>9.2841999999999985</v>
      </c>
      <c r="HA238" s="32">
        <f t="shared" si="272"/>
        <v>11.337899999999998</v>
      </c>
      <c r="HB238" s="32">
        <f t="shared" si="273"/>
        <v>11.117280742288603</v>
      </c>
    </row>
    <row r="239" spans="1:210" ht="55.2" x14ac:dyDescent="0.3">
      <c r="A239" s="50">
        <v>231</v>
      </c>
      <c r="B239" s="51" t="s">
        <v>928</v>
      </c>
      <c r="C239" s="150" t="s">
        <v>459</v>
      </c>
      <c r="D239" s="52">
        <v>3</v>
      </c>
      <c r="E239" s="52">
        <v>1</v>
      </c>
      <c r="F239" s="201">
        <v>58</v>
      </c>
      <c r="G239" s="54" t="s">
        <v>929</v>
      </c>
      <c r="H239" s="181" t="s">
        <v>930</v>
      </c>
      <c r="I239" s="55">
        <f t="shared" si="249"/>
        <v>1174.8</v>
      </c>
      <c r="J239" s="55">
        <f t="shared" si="229"/>
        <v>0</v>
      </c>
      <c r="K239" s="55">
        <f t="shared" si="230"/>
        <v>0</v>
      </c>
      <c r="L239" s="56">
        <v>1174.8</v>
      </c>
      <c r="M239" s="56">
        <v>1174.8</v>
      </c>
      <c r="N239" s="56">
        <f t="shared" si="250"/>
        <v>1174.8</v>
      </c>
      <c r="O239" s="56">
        <v>0</v>
      </c>
      <c r="P239" s="56">
        <v>0</v>
      </c>
      <c r="Q239" s="55"/>
      <c r="R239" s="55">
        <v>1174.8</v>
      </c>
      <c r="S239" s="55"/>
      <c r="T239" s="55">
        <v>0</v>
      </c>
      <c r="U239" s="152">
        <v>1174.8</v>
      </c>
      <c r="V239" s="57">
        <v>0.2742</v>
      </c>
      <c r="W239" s="153">
        <v>0.12529999999999999</v>
      </c>
      <c r="X239" s="57">
        <v>0.28739999999999999</v>
      </c>
      <c r="Y239" s="57">
        <v>0</v>
      </c>
      <c r="Z239" s="153">
        <v>0</v>
      </c>
      <c r="AA239" s="57">
        <v>0.42970000000000003</v>
      </c>
      <c r="AB239" s="153">
        <v>0</v>
      </c>
      <c r="AC239" s="57">
        <v>0.62080000000000002</v>
      </c>
      <c r="AD239" s="57">
        <v>8.4099999999999994E-2</v>
      </c>
      <c r="AE239" s="57">
        <v>0</v>
      </c>
      <c r="AF239" s="57">
        <v>1.8594999999999999</v>
      </c>
      <c r="AG239" s="57">
        <v>0.24110000000000001</v>
      </c>
      <c r="AH239" s="57">
        <v>0.36680000000000001</v>
      </c>
      <c r="AI239" s="153">
        <v>7.6700000000000004E-2</v>
      </c>
      <c r="AJ239" s="153">
        <v>0</v>
      </c>
      <c r="AK239" s="153">
        <v>0</v>
      </c>
      <c r="AL239" s="57">
        <v>5.6000000000000001E-2</v>
      </c>
      <c r="AM239" s="153">
        <v>3.5499999999999997E-2</v>
      </c>
      <c r="AN239" s="57">
        <v>0</v>
      </c>
      <c r="AO239" s="153">
        <v>4.0468999999999999</v>
      </c>
      <c r="AP239" s="57">
        <v>0.90210000000000001</v>
      </c>
      <c r="AQ239" s="57">
        <v>0</v>
      </c>
      <c r="AR239" s="153">
        <v>0.90749999999999997</v>
      </c>
      <c r="AS239" s="57">
        <v>0</v>
      </c>
      <c r="AT239" s="57">
        <v>0</v>
      </c>
      <c r="AU239" s="153">
        <v>2.4716</v>
      </c>
      <c r="AV239" s="153">
        <v>0</v>
      </c>
      <c r="AW239" s="154">
        <v>12.785200000000001</v>
      </c>
      <c r="AX239" s="58">
        <v>0.63929999999999998</v>
      </c>
      <c r="AY239" s="155">
        <f t="shared" si="231"/>
        <v>0.63929999999999998</v>
      </c>
      <c r="AZ239" s="155">
        <f t="shared" si="232"/>
        <v>0</v>
      </c>
      <c r="BA239" s="242">
        <v>13.424500000000002</v>
      </c>
      <c r="BB239" s="59">
        <f>BA239-'[1]Тариф 26 свод без  ПДВ'!AU239</f>
        <v>3.2000000000014239E-3</v>
      </c>
      <c r="BC239" s="57">
        <v>0</v>
      </c>
      <c r="BD239" s="57">
        <v>0</v>
      </c>
      <c r="BE239" s="57">
        <v>0</v>
      </c>
      <c r="BF239" s="156">
        <v>12.785200000000001</v>
      </c>
      <c r="BG239" s="59">
        <v>0.63929999999999998</v>
      </c>
      <c r="BH239" s="59"/>
      <c r="BI239" s="59"/>
      <c r="BJ239" s="242">
        <v>13.424500000000002</v>
      </c>
      <c r="BK239" s="256"/>
      <c r="BL239" s="60">
        <v>4.4570999999999996</v>
      </c>
      <c r="BM239" s="60">
        <v>0.22289999999999999</v>
      </c>
      <c r="BN239" s="14">
        <v>4.68</v>
      </c>
      <c r="BO239" s="242"/>
      <c r="BP239" s="257"/>
      <c r="BQ239" s="158">
        <f>BJ239-'[1]Тариф 26 свод без  ПДВ'!BG239</f>
        <v>3.2000000000014239E-3</v>
      </c>
      <c r="BR239" s="77">
        <f>'[1]Тариф 26 свод без  ПДВ'!BG239</f>
        <v>13.4213</v>
      </c>
      <c r="BS239" s="159">
        <f t="shared" si="233"/>
        <v>3.2000000000014239E-3</v>
      </c>
      <c r="BU239" s="77">
        <f>'[1]Тариф 26 свод без  ПДВ'!AU239</f>
        <v>13.4213</v>
      </c>
      <c r="BV239" s="159">
        <f t="shared" si="234"/>
        <v>3.2000000000014239E-3</v>
      </c>
      <c r="BX239" s="95">
        <v>4.4763999999999999</v>
      </c>
      <c r="BY239" s="95">
        <v>5.5727000000000002</v>
      </c>
      <c r="BZ239" s="95"/>
      <c r="CA239" s="186">
        <f t="shared" si="235"/>
        <v>2.9989500491466363</v>
      </c>
      <c r="CB239" s="186">
        <f t="shared" si="236"/>
        <v>2.4089759003714541</v>
      </c>
      <c r="CD239" s="160">
        <f>L239-CE239</f>
        <v>1174.8</v>
      </c>
      <c r="CE239" s="160">
        <f>T239</f>
        <v>0</v>
      </c>
      <c r="CF239" s="77">
        <f>CD239*BA239</f>
        <v>15771.102600000002</v>
      </c>
      <c r="CG239" s="77">
        <f>BJ239*CE239</f>
        <v>0</v>
      </c>
      <c r="CI239" s="160">
        <f>'[1]0 СВОД'!AYY254</f>
        <v>15771.104575783002</v>
      </c>
      <c r="CJ239" s="77">
        <f t="shared" si="237"/>
        <v>189253.25490939603</v>
      </c>
      <c r="ES239" s="59">
        <f t="shared" si="251"/>
        <v>0</v>
      </c>
      <c r="ET239" s="59">
        <f t="shared" si="252"/>
        <v>0</v>
      </c>
      <c r="EU239" s="95"/>
      <c r="EV239" s="62"/>
      <c r="EW239" s="62"/>
      <c r="EX239" s="203"/>
      <c r="EY239" s="32"/>
      <c r="FA239" s="32"/>
      <c r="FH239" s="174">
        <f t="shared" si="274"/>
        <v>15771.102600000002</v>
      </c>
      <c r="FJ239" s="87"/>
      <c r="FK239" s="87"/>
      <c r="FM239" s="87"/>
      <c r="FO239" s="88">
        <f t="shared" si="245"/>
        <v>15771.102600000002</v>
      </c>
      <c r="FY239" s="79">
        <f t="shared" si="257"/>
        <v>15771.102600000002</v>
      </c>
      <c r="FZ239" s="79">
        <f t="shared" si="258"/>
        <v>0</v>
      </c>
      <c r="GG239" s="258">
        <v>12.526300000000001</v>
      </c>
      <c r="GH239" s="175">
        <f>BA239/GG239</f>
        <v>1.0717051324014275</v>
      </c>
      <c r="GI239" s="14">
        <v>12.526300000000001</v>
      </c>
      <c r="GJ239" s="175">
        <f t="shared" si="262"/>
        <v>1.0717051324014275</v>
      </c>
      <c r="GK239" s="175">
        <f t="shared" si="289"/>
        <v>0</v>
      </c>
      <c r="GN239" s="242">
        <v>13.932600000000001</v>
      </c>
      <c r="GO239" s="175">
        <f t="shared" si="264"/>
        <v>1.1122677885728427</v>
      </c>
      <c r="GP239" s="179">
        <f t="shared" si="265"/>
        <v>0.96353157343209461</v>
      </c>
      <c r="GQ239" s="242">
        <v>13.932600000000001</v>
      </c>
      <c r="GR239" s="175">
        <f t="shared" si="266"/>
        <v>1.1122677885728427</v>
      </c>
      <c r="GS239" s="175">
        <f t="shared" si="267"/>
        <v>0.96353157343209461</v>
      </c>
      <c r="GV239" s="32">
        <f t="shared" si="268"/>
        <v>15771.102600000002</v>
      </c>
      <c r="GW239" s="32">
        <f t="shared" si="269"/>
        <v>0</v>
      </c>
      <c r="GX239" s="180">
        <f t="shared" si="270"/>
        <v>15771.102600000002</v>
      </c>
      <c r="GZ239" s="32">
        <f t="shared" si="271"/>
        <v>13.424500000000002</v>
      </c>
      <c r="HA239" s="32" t="e">
        <f t="shared" si="272"/>
        <v>#DIV/0!</v>
      </c>
      <c r="HB239" s="32">
        <f t="shared" si="273"/>
        <v>13.424500000000002</v>
      </c>
    </row>
    <row r="240" spans="1:210" ht="15.6" x14ac:dyDescent="0.3">
      <c r="A240" s="50"/>
      <c r="B240" s="51"/>
      <c r="C240" s="51"/>
      <c r="D240" s="52"/>
      <c r="E240" s="52"/>
      <c r="F240" s="63"/>
      <c r="G240" s="54"/>
      <c r="H240" s="181"/>
      <c r="I240" s="55"/>
      <c r="J240" s="55"/>
      <c r="K240" s="55"/>
      <c r="L240" s="56"/>
      <c r="M240" s="56"/>
      <c r="N240" s="56"/>
      <c r="O240" s="56"/>
      <c r="P240" s="56"/>
      <c r="Q240" s="55"/>
      <c r="R240" s="55"/>
      <c r="S240" s="55"/>
      <c r="T240" s="55"/>
      <c r="U240" s="55"/>
      <c r="V240" s="57"/>
      <c r="W240" s="153"/>
      <c r="X240" s="153"/>
      <c r="Y240" s="153"/>
      <c r="Z240" s="153"/>
      <c r="AA240" s="57"/>
      <c r="AB240" s="153"/>
      <c r="AC240" s="153"/>
      <c r="AD240" s="57"/>
      <c r="AE240" s="57"/>
      <c r="AF240" s="57"/>
      <c r="AG240" s="57"/>
      <c r="AH240" s="57"/>
      <c r="AI240" s="153"/>
      <c r="AJ240" s="153"/>
      <c r="AK240" s="153"/>
      <c r="AL240" s="57"/>
      <c r="AM240" s="153"/>
      <c r="AN240" s="57"/>
      <c r="AO240" s="153"/>
      <c r="AP240" s="153"/>
      <c r="AQ240" s="153"/>
      <c r="AR240" s="153"/>
      <c r="AS240" s="57"/>
      <c r="AT240" s="153"/>
      <c r="AU240" s="153"/>
      <c r="AV240" s="153"/>
      <c r="AW240" s="154"/>
      <c r="AX240" s="58"/>
      <c r="AY240" s="155"/>
      <c r="AZ240" s="155"/>
      <c r="BA240" s="242"/>
      <c r="BB240" s="59"/>
      <c r="BC240" s="57"/>
      <c r="BD240" s="57"/>
      <c r="BE240" s="57"/>
      <c r="BF240" s="156"/>
      <c r="BG240" s="59"/>
      <c r="BH240" s="59"/>
      <c r="BI240" s="59"/>
      <c r="BJ240" s="242"/>
      <c r="BK240" s="256"/>
      <c r="BL240" s="60"/>
      <c r="BM240" s="60"/>
      <c r="BN240" s="14"/>
      <c r="BO240" s="242"/>
      <c r="BP240" s="257"/>
      <c r="BQ240" s="158"/>
      <c r="BS240" s="159"/>
      <c r="BV240" s="159"/>
      <c r="BX240" s="95"/>
      <c r="BY240" s="95"/>
      <c r="BZ240" s="95"/>
      <c r="CA240" s="186"/>
      <c r="CB240" s="186"/>
      <c r="CD240" s="160"/>
      <c r="CE240" s="160"/>
      <c r="CI240" s="160"/>
      <c r="ES240" s="59"/>
      <c r="ET240" s="59"/>
      <c r="EU240" s="95"/>
      <c r="EV240" s="62"/>
      <c r="EW240" s="62"/>
      <c r="EX240" s="203"/>
      <c r="EY240" s="32"/>
      <c r="FA240" s="32"/>
      <c r="FH240" s="174"/>
      <c r="FJ240" s="87"/>
      <c r="FK240" s="87"/>
      <c r="FM240" s="87"/>
      <c r="GG240" s="259"/>
      <c r="GI240" s="259"/>
      <c r="GJ240" s="175"/>
      <c r="GK240" s="175"/>
      <c r="GN240" s="242"/>
      <c r="GX240" s="180"/>
    </row>
    <row r="241" spans="1:214" ht="15.6" x14ac:dyDescent="0.3">
      <c r="A241" s="50"/>
      <c r="B241" s="51"/>
      <c r="C241" s="51"/>
      <c r="D241" s="52"/>
      <c r="E241" s="52"/>
      <c r="F241" s="63"/>
      <c r="G241" s="54"/>
      <c r="H241" s="181"/>
      <c r="I241" s="55"/>
      <c r="J241" s="55"/>
      <c r="K241" s="55"/>
      <c r="L241" s="56"/>
      <c r="M241" s="56"/>
      <c r="N241" s="56"/>
      <c r="O241" s="56"/>
      <c r="P241" s="56"/>
      <c r="Q241" s="55"/>
      <c r="R241" s="55"/>
      <c r="S241" s="55"/>
      <c r="T241" s="55"/>
      <c r="U241" s="55"/>
      <c r="V241" s="57"/>
      <c r="W241" s="153"/>
      <c r="X241" s="153"/>
      <c r="Y241" s="153"/>
      <c r="Z241" s="153"/>
      <c r="AA241" s="57"/>
      <c r="AB241" s="153"/>
      <c r="AC241" s="153"/>
      <c r="AD241" s="57"/>
      <c r="AE241" s="57"/>
      <c r="AF241" s="57"/>
      <c r="AG241" s="57"/>
      <c r="AH241" s="57"/>
      <c r="AI241" s="153"/>
      <c r="AJ241" s="153"/>
      <c r="AK241" s="153"/>
      <c r="AL241" s="57"/>
      <c r="AM241" s="153"/>
      <c r="AN241" s="57"/>
      <c r="AO241" s="153"/>
      <c r="AP241" s="153"/>
      <c r="AQ241" s="153"/>
      <c r="AR241" s="153"/>
      <c r="AS241" s="57"/>
      <c r="AT241" s="153"/>
      <c r="AU241" s="153"/>
      <c r="AV241" s="153"/>
      <c r="AW241" s="154"/>
      <c r="AX241" s="58"/>
      <c r="AY241" s="155"/>
      <c r="AZ241" s="155"/>
      <c r="BA241" s="242"/>
      <c r="BB241" s="59"/>
      <c r="BC241" s="57"/>
      <c r="BD241" s="57"/>
      <c r="BE241" s="57"/>
      <c r="BF241" s="156"/>
      <c r="BG241" s="59"/>
      <c r="BH241" s="59"/>
      <c r="BI241" s="59"/>
      <c r="BJ241" s="242"/>
      <c r="BK241" s="256"/>
      <c r="BL241" s="60"/>
      <c r="BM241" s="60"/>
      <c r="BN241" s="14"/>
      <c r="BO241" s="242"/>
      <c r="BP241" s="257"/>
      <c r="BQ241" s="158"/>
      <c r="BS241" s="159"/>
      <c r="BV241" s="159"/>
      <c r="BX241" s="95"/>
      <c r="BY241" s="95"/>
      <c r="BZ241" s="95"/>
      <c r="CA241" s="200"/>
      <c r="CB241" s="200"/>
      <c r="CI241" s="160"/>
      <c r="ES241" s="59"/>
      <c r="ET241" s="59"/>
      <c r="EU241" s="95"/>
      <c r="EV241" s="62"/>
      <c r="EW241" s="62"/>
      <c r="EX241" s="203"/>
      <c r="EY241" s="32"/>
      <c r="FA241" s="32"/>
      <c r="FH241" s="174"/>
      <c r="FJ241" s="87"/>
      <c r="FK241" s="87"/>
      <c r="FM241" s="87"/>
      <c r="GG241" s="260"/>
      <c r="GH241" s="175"/>
      <c r="GI241" s="260"/>
      <c r="GJ241" s="175"/>
      <c r="GK241" s="175"/>
      <c r="GN241" s="242"/>
      <c r="GX241" s="180"/>
    </row>
    <row r="242" spans="1:214" ht="15.6" x14ac:dyDescent="0.3">
      <c r="A242" s="50"/>
      <c r="B242" s="51"/>
      <c r="C242" s="51"/>
      <c r="D242" s="52"/>
      <c r="E242" s="52"/>
      <c r="F242" s="52"/>
      <c r="G242" s="54"/>
      <c r="H242" s="181"/>
      <c r="I242" s="55"/>
      <c r="J242" s="55"/>
      <c r="K242" s="55"/>
      <c r="L242" s="56"/>
      <c r="M242" s="55"/>
      <c r="N242" s="55"/>
      <c r="O242" s="55"/>
      <c r="P242" s="55"/>
      <c r="Q242" s="55"/>
      <c r="R242" s="55"/>
      <c r="S242" s="55"/>
      <c r="T242" s="55"/>
      <c r="U242" s="55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6"/>
      <c r="AH242" s="16"/>
      <c r="AI242" s="12"/>
      <c r="AJ242" s="12"/>
      <c r="AK242" s="12"/>
      <c r="AL242" s="12"/>
      <c r="AM242" s="12"/>
      <c r="AN242" s="261"/>
      <c r="AO242" s="16"/>
      <c r="AP242" s="16"/>
      <c r="AQ242" s="16"/>
      <c r="AR242" s="12"/>
      <c r="AS242" s="12"/>
      <c r="AT242" s="12"/>
      <c r="AU242" s="12"/>
      <c r="AV242" s="12"/>
      <c r="AW242" s="262"/>
      <c r="AX242" s="263"/>
      <c r="AY242" s="189"/>
      <c r="AZ242" s="189"/>
      <c r="BA242" s="14"/>
      <c r="BB242" s="264"/>
      <c r="BC242" s="12"/>
      <c r="BD242" s="12"/>
      <c r="BE242" s="12"/>
      <c r="BF242" s="12"/>
      <c r="BG242" s="12"/>
      <c r="BH242" s="12"/>
      <c r="BI242" s="12"/>
      <c r="BJ242" s="14"/>
      <c r="BK242" s="265"/>
      <c r="BL242" s="265"/>
      <c r="BM242" s="265"/>
      <c r="BN242" s="260"/>
      <c r="BO242" s="260"/>
      <c r="BP242" s="266"/>
      <c r="BS242" s="159"/>
      <c r="BV242" s="159"/>
      <c r="BX242" s="95"/>
      <c r="BY242" s="95"/>
      <c r="BZ242" s="95"/>
      <c r="CA242" s="215"/>
      <c r="CB242" s="215"/>
      <c r="CD242" s="160"/>
      <c r="CE242" s="160"/>
      <c r="CI242" s="160"/>
      <c r="ES242" s="59">
        <f t="shared" si="251"/>
        <v>0</v>
      </c>
      <c r="ET242" s="59">
        <f t="shared" si="252"/>
        <v>0</v>
      </c>
      <c r="EU242" s="95"/>
      <c r="EV242" s="62"/>
      <c r="EW242" s="62"/>
      <c r="EX242" s="203"/>
      <c r="EY242" s="32"/>
      <c r="FA242" s="32"/>
      <c r="FH242" s="174">
        <f t="shared" si="274"/>
        <v>0</v>
      </c>
      <c r="FJ242" s="87"/>
      <c r="FK242" s="87"/>
      <c r="FM242" s="87"/>
      <c r="FY242" s="79">
        <f t="shared" si="257"/>
        <v>0</v>
      </c>
      <c r="FZ242" s="79">
        <f t="shared" si="258"/>
        <v>0</v>
      </c>
      <c r="GE242" s="196"/>
      <c r="GF242" s="196"/>
      <c r="GG242" s="267">
        <v>-2.7999999999792601E-3</v>
      </c>
      <c r="GH242" s="196"/>
      <c r="GI242" s="267">
        <v>-3.6310999999982414</v>
      </c>
      <c r="GJ242" s="196"/>
      <c r="GK242" s="196"/>
      <c r="GL242" s="196"/>
      <c r="GM242" s="196"/>
      <c r="GN242" s="196"/>
      <c r="GO242" s="196"/>
      <c r="GP242" s="268"/>
      <c r="GQ242" s="196"/>
      <c r="GR242" s="196"/>
      <c r="GS242" s="196"/>
      <c r="GT242" s="196"/>
      <c r="GX242" s="180"/>
    </row>
    <row r="243" spans="1:214" s="288" customFormat="1" ht="15.6" x14ac:dyDescent="0.3">
      <c r="A243" s="269"/>
      <c r="B243" s="270" t="s">
        <v>384</v>
      </c>
      <c r="C243" s="270"/>
      <c r="D243" s="271">
        <f>SUM(D9:D241)</f>
        <v>1368</v>
      </c>
      <c r="E243" s="271">
        <f>SUM(E9:E241)</f>
        <v>767</v>
      </c>
      <c r="F243" s="271">
        <f>SUM(F9:F241)</f>
        <v>17107</v>
      </c>
      <c r="G243" s="272">
        <f t="shared" ref="G243:BS243" si="290">SUM(G9:G241)</f>
        <v>0</v>
      </c>
      <c r="H243" s="273">
        <f t="shared" si="290"/>
        <v>0</v>
      </c>
      <c r="I243" s="273">
        <f t="shared" si="290"/>
        <v>448862.12</v>
      </c>
      <c r="J243" s="273">
        <f t="shared" si="290"/>
        <v>383661.88000000012</v>
      </c>
      <c r="K243" s="273">
        <f t="shared" si="290"/>
        <v>8418.5600000000013</v>
      </c>
      <c r="L243" s="273">
        <f>SUM(L9:L241)</f>
        <v>840942.55999999982</v>
      </c>
      <c r="M243" s="273">
        <f t="shared" si="290"/>
        <v>832217.09999999939</v>
      </c>
      <c r="N243" s="273">
        <f>SUM(N9:N242)</f>
        <v>448862.12</v>
      </c>
      <c r="O243" s="273">
        <f t="shared" si="290"/>
        <v>8418.5600000000013</v>
      </c>
      <c r="P243" s="273">
        <f t="shared" si="290"/>
        <v>306.89999999999998</v>
      </c>
      <c r="Q243" s="273">
        <f t="shared" si="290"/>
        <v>0</v>
      </c>
      <c r="R243" s="273">
        <f t="shared" si="290"/>
        <v>840555.96</v>
      </c>
      <c r="S243" s="273">
        <f t="shared" si="290"/>
        <v>0</v>
      </c>
      <c r="T243" s="273">
        <f t="shared" si="290"/>
        <v>383661.88000000012</v>
      </c>
      <c r="U243" s="273">
        <f t="shared" si="290"/>
        <v>457280.67999999988</v>
      </c>
      <c r="V243" s="60">
        <f>SUM(V9:V241)</f>
        <v>37.521000000000008</v>
      </c>
      <c r="W243" s="60">
        <f t="shared" si="290"/>
        <v>21.130400000000012</v>
      </c>
      <c r="X243" s="60">
        <f t="shared" si="290"/>
        <v>67.387799999999984</v>
      </c>
      <c r="Y243" s="60">
        <f t="shared" si="290"/>
        <v>14.156599999999994</v>
      </c>
      <c r="Z243" s="60">
        <f t="shared" si="290"/>
        <v>5.3205999999999953</v>
      </c>
      <c r="AA243" s="60">
        <f t="shared" si="290"/>
        <v>94.293099999999967</v>
      </c>
      <c r="AB243" s="60">
        <f t="shared" si="290"/>
        <v>0</v>
      </c>
      <c r="AC243" s="60">
        <f t="shared" si="290"/>
        <v>143.48750000000007</v>
      </c>
      <c r="AD243" s="60">
        <f>SUM(AD9:AD241)</f>
        <v>44.570299999999996</v>
      </c>
      <c r="AE243" s="60">
        <f t="shared" si="290"/>
        <v>0</v>
      </c>
      <c r="AF243" s="60">
        <f>SUM(AF9:AF241)</f>
        <v>444.54350000000022</v>
      </c>
      <c r="AG243" s="60">
        <f t="shared" si="290"/>
        <v>49.060000000000016</v>
      </c>
      <c r="AH243" s="60">
        <f t="shared" si="290"/>
        <v>72.764099999999956</v>
      </c>
      <c r="AI243" s="60">
        <f t="shared" si="290"/>
        <v>20.713100000000008</v>
      </c>
      <c r="AJ243" s="60">
        <f t="shared" si="290"/>
        <v>20.224300000000007</v>
      </c>
      <c r="AK243" s="60">
        <f t="shared" si="290"/>
        <v>10.347000000000001</v>
      </c>
      <c r="AL243" s="60">
        <f t="shared" si="290"/>
        <v>31.542699999999993</v>
      </c>
      <c r="AM243" s="60">
        <f t="shared" si="290"/>
        <v>7.2282999999999973</v>
      </c>
      <c r="AN243" s="60">
        <f t="shared" si="290"/>
        <v>0</v>
      </c>
      <c r="AO243" s="60">
        <f t="shared" si="290"/>
        <v>515.63819999999964</v>
      </c>
      <c r="AP243" s="60">
        <f t="shared" si="290"/>
        <v>296.48850000000004</v>
      </c>
      <c r="AQ243" s="60">
        <f t="shared" si="290"/>
        <v>18.799700000000005</v>
      </c>
      <c r="AR243" s="60">
        <f t="shared" si="290"/>
        <v>130.89629999999997</v>
      </c>
      <c r="AS243" s="60">
        <f t="shared" si="290"/>
        <v>12.069699999999996</v>
      </c>
      <c r="AT243" s="60">
        <f t="shared" si="290"/>
        <v>1.9588999999999994</v>
      </c>
      <c r="AU243" s="60">
        <f t="shared" si="290"/>
        <v>81.620999999999995</v>
      </c>
      <c r="AV243" s="60">
        <f t="shared" si="290"/>
        <v>0</v>
      </c>
      <c r="AW243" s="60">
        <f t="shared" si="290"/>
        <v>2141.7626000000009</v>
      </c>
      <c r="AX243" s="60">
        <f>SUM(AX9:AX241)</f>
        <v>107.08869999999993</v>
      </c>
      <c r="AY243" s="256">
        <f t="shared" si="290"/>
        <v>106.14880000000008</v>
      </c>
      <c r="AZ243" s="256">
        <f t="shared" si="290"/>
        <v>0.93989999999999874</v>
      </c>
      <c r="BA243" s="60">
        <f t="shared" si="290"/>
        <v>2248.8513000000003</v>
      </c>
      <c r="BB243" s="256">
        <f t="shared" si="290"/>
        <v>1.0999999999585786E-3</v>
      </c>
      <c r="BC243" s="60">
        <f t="shared" si="290"/>
        <v>124.29859999999999</v>
      </c>
      <c r="BD243" s="60">
        <f t="shared" si="290"/>
        <v>1.1883999999999999</v>
      </c>
      <c r="BE243" s="60">
        <f t="shared" si="290"/>
        <v>39.567099999999996</v>
      </c>
      <c r="BF243" s="60">
        <f t="shared" si="290"/>
        <v>2306.8167000000012</v>
      </c>
      <c r="BG243" s="60">
        <f t="shared" si="290"/>
        <v>115.34089999999999</v>
      </c>
      <c r="BH243" s="60">
        <f t="shared" si="290"/>
        <v>0</v>
      </c>
      <c r="BI243" s="60">
        <f t="shared" si="290"/>
        <v>0</v>
      </c>
      <c r="BJ243" s="60">
        <f t="shared" si="290"/>
        <v>2422.1576000000005</v>
      </c>
      <c r="BK243" s="259">
        <f t="shared" si="290"/>
        <v>0</v>
      </c>
      <c r="BL243" s="259">
        <f t="shared" si="290"/>
        <v>1117.1186000000002</v>
      </c>
      <c r="BM243" s="259">
        <f t="shared" si="290"/>
        <v>55.856500000000004</v>
      </c>
      <c r="BN243" s="259">
        <f t="shared" si="290"/>
        <v>1172.9750999999997</v>
      </c>
      <c r="BO243" s="259"/>
      <c r="BP243" s="274"/>
      <c r="BQ243" s="259">
        <f t="shared" si="290"/>
        <v>-2.5500000000071799E-2</v>
      </c>
      <c r="BR243" s="275">
        <f t="shared" si="290"/>
        <v>2422.1830999999988</v>
      </c>
      <c r="BS243" s="275">
        <f t="shared" si="290"/>
        <v>-2.5500000000071799E-2</v>
      </c>
      <c r="BT243" s="275">
        <f t="shared" ref="BT243:BV243" si="291">SUM(BT9:BT241)</f>
        <v>0</v>
      </c>
      <c r="BU243" s="275">
        <f t="shared" si="291"/>
        <v>2248.8501999999985</v>
      </c>
      <c r="BV243" s="275">
        <f t="shared" si="291"/>
        <v>1.0999999999585786E-3</v>
      </c>
      <c r="BW243" s="276"/>
      <c r="BX243" s="277"/>
      <c r="BY243" s="277"/>
      <c r="BZ243" s="277"/>
      <c r="CA243" s="277"/>
      <c r="CB243" s="277"/>
      <c r="CC243" s="276"/>
      <c r="CD243" s="276"/>
      <c r="CE243" s="276"/>
      <c r="CF243" s="276"/>
      <c r="CG243" s="276"/>
      <c r="CH243" s="276"/>
      <c r="CI243" s="276"/>
      <c r="CJ243" s="276"/>
      <c r="CK243" s="276"/>
      <c r="CL243" s="278"/>
      <c r="CM243" s="279"/>
      <c r="CN243" s="280" t="s">
        <v>384</v>
      </c>
      <c r="CO243" s="281"/>
      <c r="CP243" s="281"/>
      <c r="CQ243" s="281"/>
      <c r="CR243" s="282"/>
      <c r="CS243" s="283">
        <v>384114.95999999985</v>
      </c>
      <c r="CT243" s="283">
        <v>331511.86999999994</v>
      </c>
      <c r="CU243" s="284">
        <v>4865.96</v>
      </c>
      <c r="CV243" s="283">
        <v>720492.79000000015</v>
      </c>
      <c r="CW243" s="283">
        <v>715075.67000000016</v>
      </c>
      <c r="CX243" s="284">
        <v>4865.96</v>
      </c>
      <c r="CY243" s="283">
        <v>551.15999999999849</v>
      </c>
      <c r="CZ243" s="283"/>
      <c r="DA243" s="283">
        <v>720106.19000000029</v>
      </c>
      <c r="DB243" s="283"/>
      <c r="DC243" s="283">
        <v>331511.86999999994</v>
      </c>
      <c r="DD243" s="285">
        <v>30.462900000000001</v>
      </c>
      <c r="DE243" s="285">
        <v>28.603299999999987</v>
      </c>
      <c r="DF243" s="285">
        <v>37.815300000000008</v>
      </c>
      <c r="DG243" s="285">
        <v>7.2347999999999999</v>
      </c>
      <c r="DH243" s="285">
        <v>1.7288999999999977</v>
      </c>
      <c r="DI243" s="285">
        <v>35.388399999999997</v>
      </c>
      <c r="DJ243" s="285">
        <v>9.0908999999999729</v>
      </c>
      <c r="DK243" s="285">
        <v>66.510099999999753</v>
      </c>
      <c r="DL243" s="285">
        <v>1.3484999999999996</v>
      </c>
      <c r="DM243" s="285">
        <v>22.858900000000006</v>
      </c>
      <c r="DN243" s="285">
        <v>0</v>
      </c>
      <c r="DO243" s="285">
        <v>234.7516</v>
      </c>
      <c r="DP243" s="286"/>
      <c r="DQ243" s="285">
        <v>19.990000000000002</v>
      </c>
      <c r="DR243" s="285">
        <v>37.41020000000001</v>
      </c>
      <c r="DS243" s="285">
        <v>4.544999999999999</v>
      </c>
      <c r="DT243" s="285">
        <v>8.333000000000002</v>
      </c>
      <c r="DU243" s="285">
        <v>3.7470000000000008</v>
      </c>
      <c r="DV243" s="285">
        <v>9.3687999999999949</v>
      </c>
      <c r="DW243" s="285">
        <v>1.6998999999999997</v>
      </c>
      <c r="DX243" s="285">
        <v>0</v>
      </c>
      <c r="DY243" s="285">
        <v>224.25709999999989</v>
      </c>
      <c r="DZ243" s="286"/>
      <c r="EA243" s="285">
        <v>148.69979999999995</v>
      </c>
      <c r="EB243" s="286"/>
      <c r="EC243" s="285">
        <v>60.169499999999985</v>
      </c>
      <c r="ED243" s="286"/>
      <c r="EE243" s="285">
        <v>7.9795000000000016</v>
      </c>
      <c r="EF243" s="285">
        <v>1.1081999999999994</v>
      </c>
      <c r="EG243" s="285">
        <v>47.914000000000023</v>
      </c>
      <c r="EH243" s="285">
        <v>0</v>
      </c>
      <c r="EI243" s="287">
        <v>26.275099999999984</v>
      </c>
      <c r="EJ243" s="285">
        <v>1077.2907</v>
      </c>
      <c r="EK243" s="285">
        <v>0</v>
      </c>
      <c r="EL243" s="285">
        <v>82.785599999999988</v>
      </c>
      <c r="EM243" s="285">
        <v>21.661099999999998</v>
      </c>
      <c r="EN243" s="285">
        <v>11.257100000000001</v>
      </c>
      <c r="EO243" s="285">
        <v>461.53434999999979</v>
      </c>
      <c r="EP243" s="32"/>
      <c r="EQ243" s="85"/>
      <c r="ER243" s="32"/>
      <c r="ES243" s="59">
        <f t="shared" ref="ES243" si="292">EO243</f>
        <v>461.53434999999979</v>
      </c>
      <c r="ET243" s="95">
        <v>239.8689</v>
      </c>
      <c r="EU243" s="95"/>
      <c r="EV243" s="62">
        <f>BA243/ES243</f>
        <v>4.8725545563401758</v>
      </c>
      <c r="EW243" s="62">
        <f>BJ243/ET243</f>
        <v>10.097839278038965</v>
      </c>
      <c r="EX243" s="203"/>
      <c r="FG243" s="88"/>
      <c r="FH243" s="174">
        <f t="shared" si="274"/>
        <v>1891154769.2813277</v>
      </c>
      <c r="FI243" s="88"/>
      <c r="FJ243" s="209"/>
      <c r="FK243" s="209"/>
      <c r="FL243" s="209"/>
      <c r="FM243" s="209"/>
      <c r="FN243" s="88"/>
      <c r="FO243" s="88"/>
      <c r="FP243" s="88"/>
      <c r="FQ243" s="88"/>
      <c r="FR243" s="88"/>
      <c r="FS243" s="88"/>
      <c r="FT243" s="88"/>
      <c r="FU243" s="88"/>
      <c r="FV243" s="88"/>
      <c r="FW243" s="88"/>
      <c r="FX243" s="88"/>
      <c r="FY243" s="88"/>
      <c r="FZ243" s="88"/>
      <c r="GA243" s="88"/>
      <c r="GB243" s="88"/>
      <c r="GC243" s="88"/>
      <c r="GD243" s="88"/>
      <c r="GE243" s="289"/>
      <c r="GF243" s="289"/>
      <c r="GG243" s="289"/>
      <c r="GH243" s="290">
        <f>SUM(GH9:GH238)</f>
        <v>291.61306218124872</v>
      </c>
      <c r="GI243" s="289"/>
      <c r="GJ243" s="289"/>
      <c r="GK243" s="289"/>
      <c r="GL243" s="289"/>
      <c r="GM243" s="289"/>
      <c r="GN243" s="289"/>
      <c r="GO243" s="289"/>
      <c r="GP243" s="291"/>
      <c r="GQ243" s="289"/>
      <c r="GR243" s="289"/>
      <c r="GS243" s="289"/>
      <c r="GT243" s="289"/>
      <c r="GV243" s="288">
        <f>SUM(GV9:GV242)</f>
        <v>4529085.5331700006</v>
      </c>
      <c r="GW243" s="288">
        <f>SUM(GW9:GW242)</f>
        <v>4411388.3469639998</v>
      </c>
      <c r="GX243" s="180">
        <f t="shared" si="270"/>
        <v>8940473.8801340014</v>
      </c>
      <c r="GZ243" s="288">
        <f t="shared" ref="GZ243" si="293">GV243/(L243-T243)</f>
        <v>9.9043885544650685</v>
      </c>
      <c r="HA243" s="288">
        <f t="shared" ref="HA243" si="294">GW243/T243</f>
        <v>11.498114816525423</v>
      </c>
      <c r="HB243" s="288">
        <f t="shared" ref="HB243" si="295">GX243/L243</f>
        <v>10.631491739618939</v>
      </c>
    </row>
    <row r="244" spans="1:214" ht="15.6" x14ac:dyDescent="0.3">
      <c r="A244" s="292">
        <f>'[1]1-1 ХАРАКТЕРИСТИКА'!A249</f>
        <v>0</v>
      </c>
      <c r="B244" s="293" t="s">
        <v>385</v>
      </c>
      <c r="C244" s="293"/>
      <c r="D244" s="294">
        <f>'[1]0 СВОД'!L258</f>
        <v>1368</v>
      </c>
      <c r="E244" s="294">
        <f>'[1]0 СВОД'!M258</f>
        <v>767</v>
      </c>
      <c r="F244" s="294">
        <f>'[1]1-1 ХАРАКТЕРИСТИКА'!HZ251</f>
        <v>-17107</v>
      </c>
      <c r="G244" s="240"/>
      <c r="H244" s="31"/>
      <c r="I244" s="31"/>
      <c r="J244" s="31"/>
      <c r="K244" s="31"/>
      <c r="L244" s="56">
        <f>'[1]0 СВОД'!O258</f>
        <v>840942.55999999982</v>
      </c>
      <c r="M244" s="56">
        <f>'[1]0 СВОД'!P258</f>
        <v>832217.09999999939</v>
      </c>
      <c r="N244" s="56"/>
      <c r="O244" s="56">
        <f>'[1]0 СВОД'!Q258</f>
        <v>8418.5600000000013</v>
      </c>
      <c r="P244" s="56">
        <f>'[1]0 СВОД'!R258</f>
        <v>306.89999999999998</v>
      </c>
      <c r="Q244" s="55"/>
      <c r="R244" s="55">
        <f>'[1]0 СВОД'!T258</f>
        <v>840555.96</v>
      </c>
      <c r="S244" s="55"/>
      <c r="T244" s="55">
        <f>'[1]0 СВОД'!V258</f>
        <v>383661.88000000012</v>
      </c>
      <c r="U244" s="55"/>
      <c r="V244" s="12">
        <f>'[1]0 СВОД'!AAR261</f>
        <v>72.764099999999956</v>
      </c>
      <c r="W244" s="12">
        <f>'[1]0 СВОД'!CP261</f>
        <v>21.130400000000012</v>
      </c>
      <c r="X244" s="12">
        <f>'[1]0 СВОД'!EF261</f>
        <v>67.387799999999984</v>
      </c>
      <c r="Y244" s="12">
        <f>'[1]0 СВОД'!FU261</f>
        <v>14.156599999999994</v>
      </c>
      <c r="Z244" s="12">
        <f>'[1]0 СВОД'!HG261</f>
        <v>5.3205999999999953</v>
      </c>
      <c r="AA244" s="12">
        <f>'[1]0 СВОД'!IP261</f>
        <v>94.293099999999967</v>
      </c>
      <c r="AB244" s="12">
        <f>'[1]0 СВОД'!JK261</f>
        <v>0</v>
      </c>
      <c r="AC244" s="12">
        <f>'[1]0 СВОД'!KO261</f>
        <v>143.48750000000007</v>
      </c>
      <c r="AD244" s="12">
        <f>'[1]0 СВОД'!NV261</f>
        <v>44.570299999999996</v>
      </c>
      <c r="AE244" s="12">
        <f>'[1]0 СВОД'!OE261</f>
        <v>0</v>
      </c>
      <c r="AF244" s="12">
        <f>'[1]0 СВОД'!XU261</f>
        <v>444.54350000000022</v>
      </c>
      <c r="AG244" s="12">
        <f>'[1]0 СВОД'!ZH261</f>
        <v>49.060000000000016</v>
      </c>
      <c r="AH244" s="12">
        <f>'[1]0 СВОД'!AAR261</f>
        <v>72.764099999999956</v>
      </c>
      <c r="AI244" s="12">
        <f>'[1]0 СВОД'!ABX261</f>
        <v>20.713100000000008</v>
      </c>
      <c r="AJ244" s="12">
        <f>'[1]0 СВОД'!ADD261</f>
        <v>20.224300000000007</v>
      </c>
      <c r="AK244" s="12">
        <f>'[1]0 СВОД'!AEK261</f>
        <v>10.347000000000001</v>
      </c>
      <c r="AL244" s="12">
        <f>'[1]0 СВОД'!AFU261</f>
        <v>31.542699999999993</v>
      </c>
      <c r="AM244" s="12">
        <f>'[1]0 СВОД'!AHE261</f>
        <v>7.2282999999999973</v>
      </c>
      <c r="AN244" s="12">
        <f>'[1]0 СВОД'!AIH261</f>
        <v>0</v>
      </c>
      <c r="AO244" s="12">
        <f>'[1]0 СВОД'!AKD261</f>
        <v>515.63819999999964</v>
      </c>
      <c r="AP244" s="12">
        <f>'[1]0 СВОД'!ALF261</f>
        <v>296.48850000000004</v>
      </c>
      <c r="AQ244" s="12">
        <f>'[1]0 СВОД'!APO261</f>
        <v>18.799700000000005</v>
      </c>
      <c r="AR244" s="12">
        <f>'[1]0 СВОД'!AQZ261</f>
        <v>130.89629999999997</v>
      </c>
      <c r="AS244" s="12">
        <f>'[1]0 СВОД'!ARP261</f>
        <v>12.069699999999996</v>
      </c>
      <c r="AT244" s="12">
        <f>'[1]0 СВОД'!ASF261</f>
        <v>1.9588999999999994</v>
      </c>
      <c r="AU244" s="12">
        <f>'[1]0 СВОД'!ASW261</f>
        <v>81.620999999999995</v>
      </c>
      <c r="AV244" s="12">
        <f>'[1]0 СВОД'!AVU261</f>
        <v>0</v>
      </c>
      <c r="AW244" s="12">
        <f>AW243</f>
        <v>2141.7626000000009</v>
      </c>
      <c r="AX244" s="263">
        <f t="shared" ref="AX244" si="296">ROUND(AW244*$AX$8,2)</f>
        <v>107.09</v>
      </c>
      <c r="AY244" s="189"/>
      <c r="AZ244" s="189"/>
      <c r="BA244" s="14">
        <f t="shared" ref="BA244" si="297">AW244+AX244</f>
        <v>2248.8526000000011</v>
      </c>
      <c r="BB244" s="264"/>
      <c r="BC244" s="12">
        <f>'[1]0 СВОД'!MK261</f>
        <v>124.29859999999999</v>
      </c>
      <c r="BD244" s="12">
        <f>'[1]0 СВОД'!MW261</f>
        <v>1.1883999999999999</v>
      </c>
      <c r="BE244" s="295">
        <f>'[1]0 СВОД'!ATS261</f>
        <v>39.567099999999996</v>
      </c>
      <c r="BF244" s="296">
        <f t="shared" ref="BF244" si="298">AW244+BC244+BD244+BE244</f>
        <v>2306.8167000000012</v>
      </c>
      <c r="BG244" s="12">
        <f t="shared" ref="BG244" si="299">ROUND(BF244*$BG$8,4)</f>
        <v>115.3408</v>
      </c>
      <c r="BH244" s="12"/>
      <c r="BI244" s="12"/>
      <c r="BJ244" s="14">
        <f t="shared" ref="BJ244" si="300">BF244+BG244</f>
        <v>2422.1575000000012</v>
      </c>
      <c r="BK244" s="297"/>
      <c r="BL244" s="297"/>
      <c r="BM244" s="297"/>
      <c r="BN244" s="266"/>
      <c r="BO244" s="266"/>
      <c r="BP244" s="266"/>
      <c r="BQ244" s="32">
        <f>BJ244-'[1]Тариф 26 свод без  ПДВ'!BG244</f>
        <v>-2.55999999976666E-2</v>
      </c>
      <c r="BS244" s="159">
        <f>BJ244-'[1]0 СВОД'!AYQ259</f>
        <v>2412.2903596051256</v>
      </c>
      <c r="BX244" s="95"/>
      <c r="BY244" s="95"/>
      <c r="BZ244" s="95"/>
      <c r="CA244" s="95"/>
      <c r="CB244" s="95"/>
      <c r="ES244" s="95"/>
      <c r="ET244" s="95"/>
      <c r="EU244" s="95"/>
      <c r="EV244" s="95"/>
      <c r="EW244" s="95"/>
      <c r="EX244" s="77"/>
      <c r="EY244" s="32"/>
      <c r="FA244" s="32"/>
      <c r="FJ244" s="87"/>
      <c r="FK244" s="87"/>
      <c r="FM244" s="87"/>
      <c r="GE244" s="196"/>
      <c r="GF244" s="196"/>
      <c r="GG244" s="196"/>
      <c r="GH244" s="196"/>
      <c r="GI244" s="196"/>
      <c r="GJ244" s="196"/>
      <c r="GK244" s="196"/>
      <c r="GL244" s="196"/>
      <c r="GM244" s="196"/>
      <c r="GN244" s="196"/>
      <c r="GO244" s="196"/>
      <c r="GP244" s="268"/>
      <c r="GQ244" s="196"/>
      <c r="GR244" s="196"/>
      <c r="GS244" s="196"/>
      <c r="GT244" s="196"/>
    </row>
    <row r="245" spans="1:214" ht="15.6" x14ac:dyDescent="0.3">
      <c r="B245" s="32" t="s">
        <v>386</v>
      </c>
      <c r="L245" s="158">
        <f t="shared" ref="L245:T245" si="301">L244-L243</f>
        <v>0</v>
      </c>
      <c r="M245" s="158">
        <f t="shared" si="301"/>
        <v>0</v>
      </c>
      <c r="N245" s="158"/>
      <c r="O245" s="158">
        <f t="shared" si="301"/>
        <v>0</v>
      </c>
      <c r="P245" s="158">
        <f t="shared" si="301"/>
        <v>0</v>
      </c>
      <c r="Q245" s="158">
        <f t="shared" si="301"/>
        <v>0</v>
      </c>
      <c r="R245" s="158">
        <f t="shared" si="301"/>
        <v>0</v>
      </c>
      <c r="S245" s="158">
        <f t="shared" si="301"/>
        <v>0</v>
      </c>
      <c r="T245" s="158">
        <f t="shared" si="301"/>
        <v>0</v>
      </c>
      <c r="U245" s="158"/>
      <c r="V245" s="267">
        <f t="shared" ref="V245:AV245" si="302">V244-V243</f>
        <v>35.243099999999949</v>
      </c>
      <c r="W245" s="267">
        <f t="shared" si="302"/>
        <v>0</v>
      </c>
      <c r="X245" s="267">
        <f t="shared" si="302"/>
        <v>0</v>
      </c>
      <c r="Y245" s="267">
        <f t="shared" si="302"/>
        <v>0</v>
      </c>
      <c r="Z245" s="267">
        <f t="shared" si="302"/>
        <v>0</v>
      </c>
      <c r="AA245" s="267">
        <f t="shared" si="302"/>
        <v>0</v>
      </c>
      <c r="AB245" s="267">
        <f t="shared" si="302"/>
        <v>0</v>
      </c>
      <c r="AC245" s="267">
        <f t="shared" si="302"/>
        <v>0</v>
      </c>
      <c r="AD245" s="267">
        <f t="shared" si="302"/>
        <v>0</v>
      </c>
      <c r="AE245" s="267">
        <f t="shared" si="302"/>
        <v>0</v>
      </c>
      <c r="AF245" s="267">
        <f t="shared" si="302"/>
        <v>0</v>
      </c>
      <c r="AG245" s="267">
        <f t="shared" si="302"/>
        <v>0</v>
      </c>
      <c r="AH245" s="267">
        <f t="shared" si="302"/>
        <v>0</v>
      </c>
      <c r="AI245" s="267">
        <f t="shared" si="302"/>
        <v>0</v>
      </c>
      <c r="AJ245" s="267">
        <f t="shared" si="302"/>
        <v>0</v>
      </c>
      <c r="AK245" s="267">
        <f t="shared" si="302"/>
        <v>0</v>
      </c>
      <c r="AL245" s="267">
        <f t="shared" si="302"/>
        <v>0</v>
      </c>
      <c r="AM245" s="267">
        <f t="shared" si="302"/>
        <v>0</v>
      </c>
      <c r="AN245" s="267">
        <f t="shared" si="302"/>
        <v>0</v>
      </c>
      <c r="AO245" s="267">
        <f t="shared" si="302"/>
        <v>0</v>
      </c>
      <c r="AP245" s="267">
        <f t="shared" si="302"/>
        <v>0</v>
      </c>
      <c r="AQ245" s="267">
        <f t="shared" si="302"/>
        <v>0</v>
      </c>
      <c r="AR245" s="267">
        <f t="shared" si="302"/>
        <v>0</v>
      </c>
      <c r="AS245" s="267">
        <f t="shared" si="302"/>
        <v>0</v>
      </c>
      <c r="AT245" s="267">
        <f t="shared" si="302"/>
        <v>0</v>
      </c>
      <c r="AU245" s="298">
        <f t="shared" si="302"/>
        <v>0</v>
      </c>
      <c r="AV245" s="298">
        <f t="shared" si="302"/>
        <v>0</v>
      </c>
      <c r="AW245" s="267"/>
      <c r="AX245" s="299">
        <f>AX244-AX243</f>
        <v>1.3000000000715772E-3</v>
      </c>
      <c r="AY245" s="300"/>
      <c r="AZ245" s="300"/>
      <c r="BA245" s="267">
        <f t="shared" ref="BA245:BG245" si="303">BA244-BA243</f>
        <v>1.3000000008105417E-3</v>
      </c>
      <c r="BB245" s="300">
        <f t="shared" si="303"/>
        <v>-1.0999999999585786E-3</v>
      </c>
      <c r="BC245" s="267">
        <f t="shared" si="303"/>
        <v>0</v>
      </c>
      <c r="BD245" s="267">
        <f t="shared" si="303"/>
        <v>0</v>
      </c>
      <c r="BE245" s="267">
        <f t="shared" si="303"/>
        <v>0</v>
      </c>
      <c r="BF245" s="267">
        <f t="shared" si="303"/>
        <v>0</v>
      </c>
      <c r="BG245" s="267">
        <f t="shared" si="303"/>
        <v>-9.9999999989108801E-5</v>
      </c>
      <c r="BH245" s="267"/>
      <c r="BI245" s="267"/>
      <c r="BJ245" s="267">
        <f>BJ244-BJ243</f>
        <v>-9.999999929277692E-5</v>
      </c>
      <c r="BK245" s="158"/>
      <c r="BL245" s="158"/>
      <c r="BM245" s="158"/>
      <c r="BN245" s="158"/>
      <c r="BO245" s="158"/>
      <c r="BP245" s="158"/>
      <c r="BQ245" s="158">
        <f>BQ244-BQ243</f>
        <v>-9.9999997594801826E-5</v>
      </c>
      <c r="BS245" s="159">
        <f>BS244-BS243</f>
        <v>2412.3158596051258</v>
      </c>
      <c r="ES245" s="77"/>
      <c r="ET245" s="77"/>
      <c r="EU245" s="77"/>
      <c r="EV245" s="77"/>
      <c r="EW245" s="77"/>
      <c r="EX245" s="77"/>
      <c r="EY245" s="32"/>
      <c r="FA245" s="32"/>
      <c r="FJ245" s="79"/>
      <c r="FK245" s="79"/>
      <c r="FL245" s="79"/>
      <c r="FM245" s="79"/>
      <c r="GE245" s="196"/>
      <c r="GF245" s="196"/>
      <c r="GG245" s="196"/>
      <c r="GH245" s="196"/>
      <c r="GI245" s="196"/>
      <c r="GJ245" s="196"/>
      <c r="GK245" s="196"/>
      <c r="GL245" s="196"/>
      <c r="GM245" s="196"/>
      <c r="GN245" s="196"/>
      <c r="GO245" s="196"/>
      <c r="GP245" s="268"/>
      <c r="GQ245" s="196"/>
      <c r="GR245" s="196"/>
      <c r="GS245" s="196"/>
      <c r="GT245" s="196"/>
    </row>
    <row r="246" spans="1:214" ht="14.4" customHeight="1" x14ac:dyDescent="0.3"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301"/>
      <c r="AV246" s="301"/>
      <c r="AW246" s="196"/>
      <c r="AX246" s="302"/>
      <c r="AY246" s="268"/>
      <c r="AZ246" s="268"/>
      <c r="BA246" s="196"/>
      <c r="BB246" s="268"/>
      <c r="BC246" s="196"/>
      <c r="BD246" s="196"/>
      <c r="BE246" s="196"/>
      <c r="BF246" s="196"/>
      <c r="BG246" s="196"/>
      <c r="BH246" s="196"/>
      <c r="BI246" s="196"/>
      <c r="BJ246" s="196"/>
      <c r="ES246" s="77"/>
      <c r="ET246" s="77"/>
      <c r="EU246" s="77"/>
      <c r="EV246" s="77"/>
      <c r="EW246" s="77"/>
      <c r="EX246" s="77"/>
      <c r="EY246" s="32"/>
      <c r="FA246" s="32"/>
      <c r="FJ246" s="79"/>
      <c r="FK246" s="79"/>
      <c r="FL246" s="79"/>
      <c r="FM246" s="79"/>
      <c r="GE246" s="196"/>
      <c r="GF246" s="196"/>
      <c r="GG246" s="196"/>
      <c r="GH246" s="196"/>
      <c r="GI246" s="196"/>
      <c r="GJ246" s="196"/>
      <c r="GK246" s="196"/>
      <c r="GL246" s="196"/>
      <c r="GM246" s="196"/>
      <c r="GN246" s="196"/>
      <c r="GO246" s="196"/>
      <c r="GP246" s="268"/>
      <c r="GQ246" s="196"/>
      <c r="GR246" s="196"/>
      <c r="GS246" s="196"/>
      <c r="GT246" s="196"/>
      <c r="GV246" s="540" t="s">
        <v>931</v>
      </c>
      <c r="GW246" s="540"/>
      <c r="GX246" s="540"/>
      <c r="GZ246" s="540" t="s">
        <v>932</v>
      </c>
      <c r="HA246" s="540"/>
      <c r="HB246" s="540"/>
      <c r="HD246" s="540" t="s">
        <v>933</v>
      </c>
      <c r="HE246" s="540"/>
      <c r="HF246" s="540"/>
    </row>
    <row r="247" spans="1:214" ht="51" customHeight="1" x14ac:dyDescent="0.3"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301"/>
      <c r="AV247" s="301"/>
      <c r="AW247" s="196"/>
      <c r="AX247" s="302"/>
      <c r="AY247" s="268"/>
      <c r="AZ247" s="268"/>
      <c r="BA247" s="196"/>
      <c r="BB247" s="268"/>
      <c r="BC247" s="196"/>
      <c r="BD247" s="196"/>
      <c r="BE247" s="196"/>
      <c r="BF247" s="196"/>
      <c r="BG247" s="196"/>
      <c r="BH247" s="196"/>
      <c r="BI247" s="196"/>
      <c r="BJ247" s="196"/>
      <c r="CM247" s="238">
        <v>165</v>
      </c>
      <c r="CN247" s="239" t="s">
        <v>782</v>
      </c>
      <c r="CO247" s="240">
        <v>3</v>
      </c>
      <c r="CP247" s="240">
        <v>4</v>
      </c>
      <c r="CQ247" s="54" t="s">
        <v>382</v>
      </c>
      <c r="CR247" s="241" t="s">
        <v>37</v>
      </c>
      <c r="CS247" s="168">
        <v>1564.2</v>
      </c>
      <c r="CT247" s="168">
        <v>0</v>
      </c>
      <c r="CU247" s="168">
        <v>0</v>
      </c>
      <c r="CV247" s="168">
        <v>1564.2</v>
      </c>
      <c r="CW247" s="168">
        <v>1564.2</v>
      </c>
      <c r="CX247" s="168">
        <v>0</v>
      </c>
      <c r="CY247" s="168">
        <v>0</v>
      </c>
      <c r="CZ247" s="168"/>
      <c r="DA247" s="168">
        <v>1564.2</v>
      </c>
      <c r="DB247" s="168"/>
      <c r="DC247" s="168">
        <v>0</v>
      </c>
      <c r="DD247" s="59">
        <v>0.1961</v>
      </c>
      <c r="DE247" s="59">
        <v>0.24110000000000001</v>
      </c>
      <c r="DF247" s="59">
        <v>0.22170000000000001</v>
      </c>
      <c r="DG247" s="59">
        <v>4.5999999999999999E-2</v>
      </c>
      <c r="DH247" s="59">
        <v>0</v>
      </c>
      <c r="DI247" s="59">
        <v>0.27329999999999999</v>
      </c>
      <c r="DJ247" s="59">
        <v>4.8099999999999997E-2</v>
      </c>
      <c r="DK247" s="59">
        <v>0.3458</v>
      </c>
      <c r="DL247" s="169">
        <v>0</v>
      </c>
      <c r="DM247" s="59">
        <v>7.3800000000000004E-2</v>
      </c>
      <c r="DN247" s="169">
        <v>0</v>
      </c>
      <c r="DO247" s="229">
        <v>1.0371999999999999</v>
      </c>
      <c r="DP247" s="171"/>
      <c r="DQ247" s="59">
        <v>0.14080000000000001</v>
      </c>
      <c r="DR247" s="59">
        <v>0.31490000000000001</v>
      </c>
      <c r="DS247" s="59">
        <v>2.2499999999999999E-2</v>
      </c>
      <c r="DT247" s="59">
        <v>4.2599999999999999E-2</v>
      </c>
      <c r="DU247" s="59">
        <v>0</v>
      </c>
      <c r="DV247" s="59">
        <v>8.5500000000000007E-2</v>
      </c>
      <c r="DW247" s="59">
        <v>9.1000000000000004E-3</v>
      </c>
      <c r="DX247" s="169">
        <v>0</v>
      </c>
      <c r="DY247" s="59">
        <v>0.59089999999999998</v>
      </c>
      <c r="DZ247" s="171"/>
      <c r="EA247" s="59">
        <v>0.94489999999999996</v>
      </c>
      <c r="EB247" s="171"/>
      <c r="EC247" s="59">
        <v>0.4602</v>
      </c>
      <c r="ED247" s="171"/>
      <c r="EE247" s="59">
        <v>7.3400000000000007E-2</v>
      </c>
      <c r="EF247" s="59">
        <v>1.0200000000000001E-2</v>
      </c>
      <c r="EG247" s="59">
        <v>0.30149999999999999</v>
      </c>
      <c r="EH247" s="59">
        <v>0</v>
      </c>
      <c r="EI247" s="230">
        <v>0.13700000000000001</v>
      </c>
      <c r="EJ247" s="242">
        <v>5.6166000000000018</v>
      </c>
      <c r="EK247" s="173"/>
      <c r="EL247" s="169">
        <v>0</v>
      </c>
      <c r="EM247" s="169">
        <v>0</v>
      </c>
      <c r="EN247" s="59"/>
      <c r="EO247" s="242">
        <v>5.6166000000000018</v>
      </c>
      <c r="ES247" s="77"/>
      <c r="ET247" s="77"/>
      <c r="EU247" s="77"/>
      <c r="EV247" s="77"/>
      <c r="EW247" s="77"/>
      <c r="EX247" s="77"/>
      <c r="EY247" s="32"/>
      <c r="FA247" s="32"/>
      <c r="FJ247" s="79"/>
      <c r="FK247" s="79"/>
      <c r="FL247" s="79"/>
      <c r="FM247" s="79"/>
      <c r="GE247" s="196"/>
      <c r="GF247" s="196"/>
      <c r="GG247" s="196"/>
      <c r="GH247" s="196"/>
      <c r="GI247" s="196"/>
      <c r="GJ247" s="196"/>
      <c r="GK247" s="196"/>
      <c r="GL247" s="196"/>
      <c r="GM247" s="196"/>
      <c r="GN247" s="196"/>
      <c r="GO247" s="196"/>
      <c r="GP247" s="268"/>
      <c r="GQ247" s="196"/>
      <c r="GR247" s="196"/>
      <c r="GS247" s="196"/>
      <c r="GT247" s="196"/>
      <c r="GU247" s="31"/>
      <c r="GV247" s="303" t="s">
        <v>454</v>
      </c>
      <c r="GW247" s="303" t="s">
        <v>455</v>
      </c>
      <c r="GX247" s="303" t="s">
        <v>456</v>
      </c>
      <c r="GY247" s="31"/>
      <c r="GZ247" s="303" t="s">
        <v>454</v>
      </c>
      <c r="HA247" s="303" t="s">
        <v>455</v>
      </c>
      <c r="HB247" s="303" t="s">
        <v>456</v>
      </c>
      <c r="HC247" s="31"/>
      <c r="HD247" s="303" t="s">
        <v>454</v>
      </c>
      <c r="HE247" s="303" t="s">
        <v>455</v>
      </c>
      <c r="HF247" s="303" t="s">
        <v>456</v>
      </c>
    </row>
    <row r="248" spans="1:214" x14ac:dyDescent="0.3">
      <c r="CC248" s="77">
        <v>8</v>
      </c>
      <c r="CD248" s="160">
        <f>CD91+CD93+CD94</f>
        <v>1922.4999999999995</v>
      </c>
      <c r="CE248" s="160">
        <f>CE91+CE93+CE94</f>
        <v>15658.9</v>
      </c>
      <c r="CF248" s="160">
        <f>CF91+CF93+CF94</f>
        <v>19184.014199999998</v>
      </c>
      <c r="CG248" s="160">
        <f>CG91+CG93+CG94</f>
        <v>185354.02246999997</v>
      </c>
      <c r="CH248" s="77">
        <f>CF248/CD248</f>
        <v>9.9786809882964906</v>
      </c>
      <c r="CI248" s="77">
        <f>CG248/CE248</f>
        <v>11.836975935091225</v>
      </c>
      <c r="EX248" s="32"/>
      <c r="EY248" s="32"/>
      <c r="FA248" s="32"/>
      <c r="FJ248" s="79"/>
      <c r="FK248" s="79"/>
      <c r="FL248" s="79"/>
      <c r="FM248" s="79"/>
      <c r="GU248" s="31" t="s">
        <v>448</v>
      </c>
      <c r="GV248" s="31">
        <f>SUMIF($D$9:$D$238,1,$U$9:$U$239)</f>
        <v>386.6</v>
      </c>
      <c r="GW248" s="31">
        <f>SUMIF($D$9:$D$239,1,$T$9:$T$239)</f>
        <v>0</v>
      </c>
      <c r="GX248" s="31">
        <f>SUMIF($D$9:$D$239,1,$L$9:$L$239)</f>
        <v>386.6</v>
      </c>
      <c r="GY248" s="31">
        <f>GX248-GV248-GW248</f>
        <v>0</v>
      </c>
      <c r="GZ248" s="304">
        <f>SUMIF($D$9:$D$239,1,$GV$9:$GV$239)</f>
        <v>789.59249</v>
      </c>
      <c r="HA248" s="304">
        <f>SUMIF($D$9:$D$239,1,$GW$9:$GW$239)</f>
        <v>0</v>
      </c>
      <c r="HB248" s="304">
        <f>SUMIF($D$9:$D$239,1,$GX$9:$GX$239)</f>
        <v>789.59249</v>
      </c>
      <c r="HC248" s="304">
        <f>HB248-HA248-GZ248</f>
        <v>0</v>
      </c>
      <c r="HD248" s="57">
        <f>GZ248/GV248</f>
        <v>2.0424016813243662</v>
      </c>
      <c r="HE248" s="57"/>
      <c r="HF248" s="57">
        <f>HB248/GX248</f>
        <v>2.0424016813243662</v>
      </c>
    </row>
    <row r="249" spans="1:214" x14ac:dyDescent="0.3">
      <c r="CC249" s="77">
        <v>10</v>
      </c>
      <c r="CD249" s="160">
        <f>CD13++CD100+CD238+CD239+CD240</f>
        <v>8598.92</v>
      </c>
      <c r="CE249" s="160">
        <f>CE13++CE100+CE238+CE239+CE240</f>
        <v>5966.5</v>
      </c>
      <c r="CF249" s="160">
        <f>CF13++CF100+CF238+CF239+CF240</f>
        <v>86696.750196000023</v>
      </c>
      <c r="CG249" s="160">
        <f>CG13++CG100+CG238+CG239+CG240</f>
        <v>68559.098389999999</v>
      </c>
      <c r="CH249" s="77">
        <f t="shared" ref="CH249:CI252" si="304">CF249/CD249</f>
        <v>10.08228361189545</v>
      </c>
      <c r="CI249" s="77">
        <f t="shared" si="304"/>
        <v>11.490672653984747</v>
      </c>
      <c r="EX249" s="32"/>
      <c r="EY249" s="32"/>
      <c r="FA249" s="32"/>
      <c r="FJ249" s="79"/>
      <c r="FK249" s="79"/>
      <c r="FL249" s="79"/>
      <c r="FM249" s="79"/>
      <c r="GU249" s="31" t="s">
        <v>934</v>
      </c>
      <c r="GV249" s="31">
        <f>SUMIF($D$9:$D$238,2,$U$9:$U$239)</f>
        <v>20909.770000000004</v>
      </c>
      <c r="GW249" s="31">
        <f>SUMIF($D$9:$D$239,2,$T$9:$T$239)</f>
        <v>0</v>
      </c>
      <c r="GX249" s="31">
        <f>SUMIF($D$9:$D$239,2,$L$9:$L$239)</f>
        <v>20909.770000000004</v>
      </c>
      <c r="GY249" s="31">
        <f t="shared" ref="GY249:GY258" si="305">GX249-GV249-GW249</f>
        <v>0</v>
      </c>
      <c r="GZ249" s="304">
        <f>SUMIF($D$9:$D$239,2,$GV$9:$GV$239)</f>
        <v>226663.23149300006</v>
      </c>
      <c r="HA249" s="304">
        <f>SUMIF($D$9:$D$239,2,$GW$9:$GW$239)</f>
        <v>0</v>
      </c>
      <c r="HB249" s="304">
        <f>SUMIF($D$9:$D$239,2,$GX$9:$GX$239)</f>
        <v>226663.23149300006</v>
      </c>
      <c r="HC249" s="304">
        <f t="shared" ref="HC249:HC258" si="306">HB249-HA249-GZ249</f>
        <v>0</v>
      </c>
      <c r="HD249" s="57">
        <f t="shared" ref="HD249:HE259" si="307">GZ249/GV249</f>
        <v>10.84006335282502</v>
      </c>
      <c r="HE249" s="57"/>
      <c r="HF249" s="57">
        <f t="shared" ref="HF249:HF259" si="308">HB249/GX249</f>
        <v>10.84006335282502</v>
      </c>
    </row>
    <row r="250" spans="1:214" x14ac:dyDescent="0.3">
      <c r="CC250" s="77">
        <v>14</v>
      </c>
      <c r="CD250" s="160">
        <f>CD58+CD59++CD219</f>
        <v>7994.82</v>
      </c>
      <c r="CE250" s="160">
        <f t="shared" ref="CE250:CG250" si="309">CE58+CE59++CE219</f>
        <v>0</v>
      </c>
      <c r="CF250" s="160">
        <f t="shared" si="309"/>
        <v>80135.017089999994</v>
      </c>
      <c r="CG250" s="160">
        <f t="shared" si="309"/>
        <v>0</v>
      </c>
      <c r="CH250" s="77">
        <f t="shared" si="304"/>
        <v>10.023367266555095</v>
      </c>
      <c r="CI250" s="77" t="e">
        <f t="shared" si="304"/>
        <v>#DIV/0!</v>
      </c>
      <c r="EX250" s="32"/>
      <c r="EY250" s="32"/>
      <c r="FA250" s="32"/>
      <c r="FJ250" s="79"/>
      <c r="FK250" s="79"/>
      <c r="FL250" s="79"/>
      <c r="FM250" s="79"/>
      <c r="GU250" s="31" t="s">
        <v>935</v>
      </c>
      <c r="GV250" s="31">
        <f>SUMIF($D$9:$D$239,3,$U$9:$U$239)</f>
        <v>16784.8</v>
      </c>
      <c r="GW250" s="31">
        <f>SUMIF($D$9:$D$239,3,$T$9:$T$239)</f>
        <v>0</v>
      </c>
      <c r="GX250" s="31">
        <f>SUMIF($D$9:$D$239,3,$L$9:$L$239)</f>
        <v>16784.8</v>
      </c>
      <c r="GY250" s="31">
        <f t="shared" si="305"/>
        <v>0</v>
      </c>
      <c r="GZ250" s="304">
        <f>SUMIF($D$9:$D$239,3,$GV$9:$GV$239)</f>
        <v>178947.39932000003</v>
      </c>
      <c r="HA250" s="304">
        <f>SUMIF($D$9:$D$239,3,$GW$9:$GW$239)</f>
        <v>0</v>
      </c>
      <c r="HB250" s="304">
        <f>SUMIF($D$9:$D$239,3,$GX$9:$GX$239)</f>
        <v>178947.39932000003</v>
      </c>
      <c r="HC250" s="304">
        <f t="shared" si="306"/>
        <v>0</v>
      </c>
      <c r="HD250" s="57">
        <f t="shared" si="307"/>
        <v>10.661276829035796</v>
      </c>
      <c r="HE250" s="57"/>
      <c r="HF250" s="57">
        <f t="shared" si="308"/>
        <v>10.661276829035796</v>
      </c>
    </row>
    <row r="251" spans="1:214" x14ac:dyDescent="0.3">
      <c r="CC251" s="77">
        <v>9</v>
      </c>
      <c r="CD251" s="160">
        <v>40799.39</v>
      </c>
      <c r="CE251" s="160">
        <v>339044.44999999995</v>
      </c>
      <c r="CF251" s="160">
        <v>240399.10544900005</v>
      </c>
      <c r="CG251" s="160">
        <v>2651636.9616539991</v>
      </c>
      <c r="CH251" s="77">
        <f t="shared" si="304"/>
        <v>5.892223031986509</v>
      </c>
      <c r="CI251" s="77">
        <f t="shared" si="304"/>
        <v>7.8209124545586848</v>
      </c>
      <c r="EX251" s="32"/>
      <c r="EY251" s="32"/>
      <c r="FA251" s="32"/>
      <c r="FJ251" s="79"/>
      <c r="FK251" s="79"/>
      <c r="FL251" s="79"/>
      <c r="FM251" s="79"/>
      <c r="GU251" s="31" t="s">
        <v>936</v>
      </c>
      <c r="GV251" s="31">
        <f>SUMIF($D$9:$D$238,4,$U$9:$U$239)</f>
        <v>4541.8</v>
      </c>
      <c r="GW251" s="31">
        <f>SUMIF($D$9:$D$239,4,$T$9:$T$239)</f>
        <v>0</v>
      </c>
      <c r="GX251" s="31">
        <f>SUMIF($D$9:$D$239,4,$L$9:$L$239)</f>
        <v>4541.8</v>
      </c>
      <c r="GY251" s="31">
        <f t="shared" si="305"/>
        <v>0</v>
      </c>
      <c r="GZ251" s="304">
        <f>SUMIF($D$9:$D$239,4,$GV$9:$GV$239)</f>
        <v>39738.024920000003</v>
      </c>
      <c r="HA251" s="304">
        <f>SUMIF($D$9:$D$239,4,$GW$9:$GW$239)</f>
        <v>0</v>
      </c>
      <c r="HB251" s="304">
        <f>SUMIF($D$9:$D$239,4,$GX$9:$GX$239)</f>
        <v>39738.024920000003</v>
      </c>
      <c r="HC251" s="304">
        <f t="shared" si="306"/>
        <v>0</v>
      </c>
      <c r="HD251" s="57">
        <f t="shared" si="307"/>
        <v>8.7493999999999996</v>
      </c>
      <c r="HE251" s="57"/>
      <c r="HF251" s="57">
        <f t="shared" si="308"/>
        <v>8.7493999999999996</v>
      </c>
    </row>
    <row r="252" spans="1:214" x14ac:dyDescent="0.3">
      <c r="CH252" s="77" t="e">
        <f t="shared" si="304"/>
        <v>#DIV/0!</v>
      </c>
      <c r="CI252" s="77" t="e">
        <f t="shared" si="304"/>
        <v>#DIV/0!</v>
      </c>
      <c r="EX252" s="32"/>
      <c r="EY252" s="32"/>
      <c r="FA252" s="32"/>
      <c r="FJ252" s="79"/>
      <c r="FK252" s="79"/>
      <c r="FL252" s="79"/>
      <c r="FM252" s="79"/>
      <c r="GU252" s="31" t="s">
        <v>937</v>
      </c>
      <c r="GV252" s="31">
        <f>SUMIF($D$9:$D$238,5,$U$9:$U$239)</f>
        <v>370364.65999999986</v>
      </c>
      <c r="GW252" s="31">
        <f>SUMIF($D$9:$D$239,5,$T$9:$T$239)</f>
        <v>0</v>
      </c>
      <c r="GX252" s="31">
        <f>SUMIF($D$9:$D$239,5,$L$9:$L$239)</f>
        <v>370364.65999999986</v>
      </c>
      <c r="GY252" s="31">
        <f t="shared" si="305"/>
        <v>0</v>
      </c>
      <c r="GZ252" s="304">
        <f>SUMIF($D$9:$D$239,5,$GV$9:$GV$239)</f>
        <v>3672754.4711450003</v>
      </c>
      <c r="HA252" s="304">
        <f>SUMIF($D$9:$D$239,5,$GW$9:$GW$239)</f>
        <v>0</v>
      </c>
      <c r="HB252" s="304">
        <f>SUMIF($D$9:$D$239,5,$GX$9:$GX$239)</f>
        <v>3672754.4711450003</v>
      </c>
      <c r="HC252" s="304">
        <f t="shared" si="306"/>
        <v>0</v>
      </c>
      <c r="HD252" s="57">
        <f t="shared" si="307"/>
        <v>9.9165899660756018</v>
      </c>
      <c r="HE252" s="57"/>
      <c r="HF252" s="57">
        <f t="shared" si="308"/>
        <v>9.9165899660756018</v>
      </c>
    </row>
    <row r="253" spans="1:214" x14ac:dyDescent="0.3">
      <c r="EX253" s="32"/>
      <c r="EY253" s="32"/>
      <c r="FA253" s="32"/>
      <c r="FJ253" s="176"/>
      <c r="FM253" s="79"/>
      <c r="GU253" s="31" t="s">
        <v>938</v>
      </c>
      <c r="GV253" s="31">
        <f>SUMIF($D$9:$D$238,7,$U$9:$U$239)</f>
        <v>508.52999999999975</v>
      </c>
      <c r="GW253" s="31">
        <f>SUMIF($D$9:$D$239,7,$T$9:$T$239)</f>
        <v>3092.57</v>
      </c>
      <c r="GX253" s="31">
        <f>SUMIF($D$9:$D$239,7,$L$9:$L$239)</f>
        <v>3601.1</v>
      </c>
      <c r="GY253" s="31">
        <f t="shared" si="305"/>
        <v>0</v>
      </c>
      <c r="GZ253" s="304">
        <f>SUMIF($D$9:$D$239,7,$GV$9:$GV$239)</f>
        <v>4865.1573629999975</v>
      </c>
      <c r="HA253" s="304">
        <f>SUMIF($D$9:$D$239,7,$GW$9:$GW$239)</f>
        <v>32568.473183999995</v>
      </c>
      <c r="HB253" s="304">
        <f>SUMIF($D$9:$D$239,7,$GX$9:$GX$239)</f>
        <v>37433.630546999993</v>
      </c>
      <c r="HC253" s="304">
        <f t="shared" si="306"/>
        <v>0</v>
      </c>
      <c r="HD253" s="57">
        <f t="shared" si="307"/>
        <v>9.5670999999999999</v>
      </c>
      <c r="HE253" s="57">
        <f t="shared" si="307"/>
        <v>10.531199999999998</v>
      </c>
      <c r="HF253" s="57">
        <f t="shared" si="308"/>
        <v>10.395054440865289</v>
      </c>
    </row>
    <row r="254" spans="1:214" x14ac:dyDescent="0.3">
      <c r="EX254" s="178"/>
      <c r="EY254" s="178"/>
      <c r="FB254" s="158">
        <f t="shared" ref="FB254:FB255" si="310">ES254*1.34</f>
        <v>0</v>
      </c>
      <c r="GU254" s="31" t="s">
        <v>939</v>
      </c>
      <c r="GV254" s="31">
        <f>SUMIF($D$9:$D$238,8,$U$9:$U$239)</f>
        <v>2400.7000000000007</v>
      </c>
      <c r="GW254" s="31">
        <f>SUMIF($D$9:$D$239,8,$T$9:$T$239)</f>
        <v>17291</v>
      </c>
      <c r="GX254" s="31">
        <f>SUMIF($D$9:$D$239,8,$L$9:$L$239)</f>
        <v>19691.7</v>
      </c>
      <c r="GY254" s="31">
        <f t="shared" si="305"/>
        <v>0</v>
      </c>
      <c r="GZ254" s="304">
        <f>SUMIF($D$9:$D$239,8,$GV$9:$GV$239)</f>
        <v>23972.569780000005</v>
      </c>
      <c r="HA254" s="304">
        <f>SUMIF($D$9:$D$239,8,$GW$9:$GW$239)</f>
        <v>210059.69216000001</v>
      </c>
      <c r="HB254" s="304">
        <f>SUMIF($D$9:$D$239,8,$GX$9:$GX$239)</f>
        <v>234032.26194</v>
      </c>
      <c r="HC254" s="304">
        <f t="shared" si="306"/>
        <v>0</v>
      </c>
      <c r="HD254" s="57">
        <f t="shared" si="307"/>
        <v>9.9856582580080797</v>
      </c>
      <c r="HE254" s="57">
        <f t="shared" si="307"/>
        <v>12.148498765831937</v>
      </c>
      <c r="HF254" s="57">
        <f t="shared" si="308"/>
        <v>11.884817559682505</v>
      </c>
    </row>
    <row r="255" spans="1:214" x14ac:dyDescent="0.3">
      <c r="FB255" s="158">
        <f t="shared" si="310"/>
        <v>0</v>
      </c>
      <c r="FI255" s="79">
        <f t="shared" ref="FI255:FX255" si="311">SUBTOTAL(9,FI13:FI235)</f>
        <v>0</v>
      </c>
      <c r="FJ255" s="79">
        <f t="shared" si="311"/>
        <v>303.3739208652014</v>
      </c>
      <c r="FK255" s="79">
        <f t="shared" si="311"/>
        <v>290.92838083894048</v>
      </c>
      <c r="FL255" s="79">
        <f t="shared" si="311"/>
        <v>100.56270000000004</v>
      </c>
      <c r="FM255" s="79" t="e">
        <f t="shared" si="311"/>
        <v>#DIV/0!</v>
      </c>
      <c r="FN255" s="79">
        <f t="shared" si="311"/>
        <v>0</v>
      </c>
      <c r="FO255" s="79">
        <f t="shared" si="311"/>
        <v>7743761.6763089988</v>
      </c>
      <c r="FP255" s="79">
        <f t="shared" si="311"/>
        <v>4057935.33415</v>
      </c>
      <c r="FQ255" s="79">
        <f t="shared" si="311"/>
        <v>0</v>
      </c>
      <c r="FR255" s="79">
        <f t="shared" si="311"/>
        <v>0</v>
      </c>
      <c r="FS255" s="79">
        <f t="shared" si="311"/>
        <v>4431347.8668830013</v>
      </c>
      <c r="FT255" s="79">
        <f t="shared" si="311"/>
        <v>2472225.3580850014</v>
      </c>
      <c r="FU255" s="79">
        <f t="shared" si="311"/>
        <v>394.96530619475936</v>
      </c>
      <c r="FV255" s="79" t="e">
        <f t="shared" si="311"/>
        <v>#DIV/0!</v>
      </c>
      <c r="FW255" s="79">
        <f t="shared" si="311"/>
        <v>0</v>
      </c>
      <c r="FX255" s="79">
        <f t="shared" si="311"/>
        <v>0</v>
      </c>
      <c r="FY255" s="79">
        <f>SUBTOTAL(9,FY9:FY238)</f>
        <v>4513314.4305700008</v>
      </c>
      <c r="FZ255" s="79">
        <f>SUBTOTAL(9,FZ9:FZ238)</f>
        <v>4411388.3469639998</v>
      </c>
      <c r="GA255" s="79">
        <f t="shared" ref="GA255:GC255" si="312">SUBTOTAL(9,GA9:GA238)</f>
        <v>0</v>
      </c>
      <c r="GB255" s="79">
        <f t="shared" si="312"/>
        <v>456105.87999999989</v>
      </c>
      <c r="GC255" s="79">
        <f t="shared" si="312"/>
        <v>383661.88000000012</v>
      </c>
      <c r="GU255" s="31" t="s">
        <v>940</v>
      </c>
      <c r="GV255" s="31">
        <f>SUMIF($D$9:$D$238,9,$U$9:$U$239)</f>
        <v>38255.269999999997</v>
      </c>
      <c r="GW255" s="31">
        <f>SUMIF($D$9:$D$239,9,$T$9:$T$239)</f>
        <v>325835.82000000012</v>
      </c>
      <c r="GX255" s="31">
        <f>SUMIF($D$9:$D$239,9,$L$9:$L$239)</f>
        <v>364091.08999999997</v>
      </c>
      <c r="GY255" s="31">
        <f t="shared" si="305"/>
        <v>0</v>
      </c>
      <c r="GZ255" s="304">
        <f>SUMIF($D$9:$D$239,9,$GV$9:$GV$239)</f>
        <v>353725.21474900004</v>
      </c>
      <c r="HA255" s="304">
        <f>SUMIF($D$9:$D$239,9,$GW$9:$GW$239)</f>
        <v>3766387.6931049996</v>
      </c>
      <c r="HB255" s="304">
        <f>SUMIF($D$9:$D$239,9,$GX$9:$GX$239)</f>
        <v>4120112.9078539996</v>
      </c>
      <c r="HC255" s="304">
        <f t="shared" si="306"/>
        <v>0</v>
      </c>
      <c r="HD255" s="57">
        <f t="shared" si="307"/>
        <v>9.2464440781361645</v>
      </c>
      <c r="HE255" s="57">
        <f t="shared" si="307"/>
        <v>11.55915790076425</v>
      </c>
      <c r="HF255" s="57">
        <f t="shared" si="308"/>
        <v>11.316159667225035</v>
      </c>
    </row>
    <row r="256" spans="1:214" x14ac:dyDescent="0.3">
      <c r="FH256" s="178">
        <f>SUBTOTAL(9,FH17:FH236)</f>
        <v>7582582.7859639982</v>
      </c>
      <c r="FY256" s="79">
        <f>FY255/GB255</f>
        <v>9.8953217410176819</v>
      </c>
      <c r="FZ256" s="79">
        <f>FZ255/GC255</f>
        <v>11.498114816525423</v>
      </c>
      <c r="GU256" s="31" t="s">
        <v>941</v>
      </c>
      <c r="GV256" s="31">
        <f>SUMIF($D$9:$D$238,10,$U$9:$U$239)</f>
        <v>1880.9500000000016</v>
      </c>
      <c r="GW256" s="31">
        <f>SUMIF($D$9:$D$239,10,$T$9:$T$239)</f>
        <v>19510.169999999998</v>
      </c>
      <c r="GX256" s="31">
        <f>SUMIF($D$9:$D$239,10,$L$9:$L$239)</f>
        <v>21391.120000000003</v>
      </c>
      <c r="GY256" s="31">
        <f t="shared" si="305"/>
        <v>0</v>
      </c>
      <c r="GZ256" s="304">
        <f>SUMIF($D$9:$D$239,10,$GV$9:$GV$239)</f>
        <v>16592.106130000015</v>
      </c>
      <c r="HA256" s="304">
        <f>SUMIF($D$9:$D$239,10,$GW$9:$GW$239)</f>
        <v>206805.85448699998</v>
      </c>
      <c r="HB256" s="304">
        <f>SUMIF($D$9:$D$239,10,$GX$9:$GX$239)</f>
        <v>223397.960617</v>
      </c>
      <c r="HC256" s="304">
        <f t="shared" si="306"/>
        <v>0</v>
      </c>
      <c r="HD256" s="57">
        <f t="shared" si="307"/>
        <v>8.8211308806720012</v>
      </c>
      <c r="HE256" s="57">
        <f t="shared" si="307"/>
        <v>10.59990017959864</v>
      </c>
      <c r="HF256" s="57">
        <f t="shared" si="308"/>
        <v>10.443490598762477</v>
      </c>
    </row>
    <row r="257" spans="38:214" x14ac:dyDescent="0.3">
      <c r="FH257" s="79">
        <f>SUBTOTAL(9,L17:L236)</f>
        <v>788642.29999999946</v>
      </c>
      <c r="GU257" s="31" t="s">
        <v>942</v>
      </c>
      <c r="GV257" s="31">
        <f>SUMIF($D$9:$D$238,13,$U$9:$U$239)</f>
        <v>271.39999999999964</v>
      </c>
      <c r="GW257" s="31">
        <f>SUMIF($D$9:$D$239,13,$T$9:$T$239)</f>
        <v>3887.8</v>
      </c>
      <c r="GX257" s="31">
        <f>SUMIF($D$9:$D$239,13,$L$9:$L$239)</f>
        <v>4159.2</v>
      </c>
      <c r="GY257" s="31">
        <f t="shared" si="305"/>
        <v>0</v>
      </c>
      <c r="GZ257" s="304">
        <f>SUMIF($D$9:$D$239,13,$GV$9:$GV$239)</f>
        <v>2594.285459999996</v>
      </c>
      <c r="HA257" s="304">
        <f>SUMIF($D$9:$D$239,13,$GW$9:$GW$239)</f>
        <v>46650.489759999997</v>
      </c>
      <c r="HB257" s="304">
        <f>SUMIF($D$9:$D$239,13,$GX$9:$GX$239)</f>
        <v>49244.775219999996</v>
      </c>
      <c r="HC257" s="304">
        <f t="shared" si="306"/>
        <v>0</v>
      </c>
      <c r="HD257" s="57">
        <f t="shared" si="307"/>
        <v>9.5588999999999977</v>
      </c>
      <c r="HE257" s="57">
        <f t="shared" si="307"/>
        <v>11.999199999999998</v>
      </c>
      <c r="HF257" s="57">
        <f t="shared" si="308"/>
        <v>11.839963266974417</v>
      </c>
    </row>
    <row r="258" spans="38:214" x14ac:dyDescent="0.3">
      <c r="FH258" s="79">
        <f>FH256/FH257</f>
        <v>9.6147300061941934</v>
      </c>
      <c r="GU258" s="31" t="s">
        <v>943</v>
      </c>
      <c r="GV258" s="31">
        <f>SUMIF($D$9:$D$238,14,$U$9:$U$239)</f>
        <v>976.20000000000027</v>
      </c>
      <c r="GW258" s="31">
        <f>SUMIF($D$9:$D$239,14,$T$9:$T$239)</f>
        <v>14044.52</v>
      </c>
      <c r="GX258" s="31">
        <f>SUMIF($D$9:$D$239,14,$L$9:$L$239)</f>
        <v>15020.72</v>
      </c>
      <c r="GY258" s="31">
        <f t="shared" si="305"/>
        <v>0</v>
      </c>
      <c r="GZ258" s="304">
        <f>SUMIF($D$9:$D$239,14,$GV$9:$GV$239)</f>
        <v>8443.4803200000024</v>
      </c>
      <c r="HA258" s="304">
        <f>SUMIF($D$9:$D$239,14,$GW$9:$GW$239)</f>
        <v>148916.14426799997</v>
      </c>
      <c r="HB258" s="304">
        <f>SUMIF($D$9:$D$239,14,$GX$9:$GX$239)</f>
        <v>157359.62458799998</v>
      </c>
      <c r="HC258" s="304">
        <f t="shared" si="306"/>
        <v>0</v>
      </c>
      <c r="HD258" s="57">
        <f t="shared" si="307"/>
        <v>8.6493344806392134</v>
      </c>
      <c r="HE258" s="57">
        <f t="shared" si="307"/>
        <v>10.603149432518874</v>
      </c>
      <c r="HF258" s="57">
        <f t="shared" si="308"/>
        <v>10.476170555605856</v>
      </c>
    </row>
    <row r="259" spans="38:214" x14ac:dyDescent="0.3">
      <c r="AL259" s="32" t="s">
        <v>944</v>
      </c>
      <c r="GU259" s="31"/>
      <c r="GV259" s="305">
        <f>SUM(GV248:GV258)</f>
        <v>457280.68</v>
      </c>
      <c r="GW259" s="305">
        <f t="shared" ref="GW259:GX259" si="313">SUM(GW248:GW258)</f>
        <v>383661.88000000012</v>
      </c>
      <c r="GX259" s="305">
        <f t="shared" si="313"/>
        <v>840942.55999999971</v>
      </c>
      <c r="GY259" s="305"/>
      <c r="GZ259" s="306">
        <f>SUM(GZ248:GZ258)</f>
        <v>4529085.5331700006</v>
      </c>
      <c r="HA259" s="306">
        <f t="shared" ref="HA259:HB259" si="314">SUM(HA248:HA258)</f>
        <v>4411388.3469639989</v>
      </c>
      <c r="HB259" s="306">
        <f t="shared" si="314"/>
        <v>8940473.8801339995</v>
      </c>
      <c r="HC259" s="305"/>
      <c r="HD259" s="259">
        <f t="shared" si="307"/>
        <v>9.9043885544650632</v>
      </c>
      <c r="HE259" s="259">
        <f t="shared" si="307"/>
        <v>11.498114816525419</v>
      </c>
      <c r="HF259" s="259">
        <f t="shared" si="308"/>
        <v>10.631491739618937</v>
      </c>
    </row>
    <row r="260" spans="38:214" x14ac:dyDescent="0.3"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</row>
  </sheetData>
  <sheetProtection algorithmName="SHA-512" hashValue="R4d9X3SE0BdF7J5z8+Cy/e8CYCKNDWbaebobnYK4RGQLKPePMxe3JqcHQTY0cmQGG9KOA02wPQYQXFNsc2qv7w==" saltValue="m/hBskL1OaBbl1qjB2Xgzw==" spinCount="100000" sheet="1" objects="1" scenarios="1"/>
  <mergeCells count="36">
    <mergeCell ref="HD246:HF246"/>
    <mergeCell ref="GG6:GJ6"/>
    <mergeCell ref="GN6:GQ6"/>
    <mergeCell ref="GV6:GX6"/>
    <mergeCell ref="GZ6:HB6"/>
    <mergeCell ref="GV246:GX246"/>
    <mergeCell ref="GZ246:HB246"/>
    <mergeCell ref="FS6:FT6"/>
    <mergeCell ref="CW5:CY5"/>
    <mergeCell ref="DA5:DA7"/>
    <mergeCell ref="DC5:DC7"/>
    <mergeCell ref="V6:AC6"/>
    <mergeCell ref="AG6:AM6"/>
    <mergeCell ref="BX6:BY6"/>
    <mergeCell ref="CA6:CB6"/>
    <mergeCell ref="CV5:CV7"/>
    <mergeCell ref="DD6:DK6"/>
    <mergeCell ref="DQ6:DW6"/>
    <mergeCell ref="ES6:ET6"/>
    <mergeCell ref="EV6:EW6"/>
    <mergeCell ref="FO6:FP6"/>
    <mergeCell ref="EF2:EG2"/>
    <mergeCell ref="A4:B4"/>
    <mergeCell ref="A5:A7"/>
    <mergeCell ref="B5:B7"/>
    <mergeCell ref="D5:D7"/>
    <mergeCell ref="E5:E7"/>
    <mergeCell ref="F5:F7"/>
    <mergeCell ref="L5:L7"/>
    <mergeCell ref="M5:P5"/>
    <mergeCell ref="R5:R7"/>
    <mergeCell ref="T5:T7"/>
    <mergeCell ref="CM5:CM7"/>
    <mergeCell ref="CN5:CN7"/>
    <mergeCell ref="CO5:CO7"/>
    <mergeCell ref="CP5:C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кошт буд. без ліфтів </vt:lpstr>
      <vt:lpstr>кошториси буд. з ліфтами</vt:lpstr>
      <vt:lpstr>'кошт буд. без ліфтів '!Область_печати</vt:lpstr>
      <vt:lpstr>'кошториси буд. з ліфтами'!Область_печати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2026-03-30T11:03:27Z</cp:lastPrinted>
  <dcterms:created xsi:type="dcterms:W3CDTF">2015-06-05T18:17:20Z</dcterms:created>
  <dcterms:modified xsi:type="dcterms:W3CDTF">2026-03-31T11:47:20Z</dcterms:modified>
</cp:coreProperties>
</file>